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tabRatio="912" activeTab="5"/>
  </bookViews>
  <sheets>
    <sheet name="WPU c ДК пл классик." sheetId="1" r:id="rId1"/>
    <sheet name="WPU c ДК пл безэк." sheetId="2" r:id="rId2"/>
    <sheet name="WPU c ДК жим безэк." sheetId="3" r:id="rId3"/>
    <sheet name="WPU c ДК жим в одн сл. эк." sheetId="4" r:id="rId4"/>
    <sheet name="WPU c ДК тяга без эк." sheetId="5" r:id="rId5"/>
    <sheet name="WPU c ДК тяга в одн сл. эк." sheetId="6" r:id="rId6"/>
    <sheet name="WPU c ДК тяга в мн сл. эк." sheetId="7" r:id="rId7"/>
    <sheet name="WPU пл в одн сл. эк." sheetId="8" r:id="rId8"/>
    <sheet name="WPU пл в мн сл. эк." sheetId="9" r:id="rId9"/>
    <sheet name="WPU жим безэк." sheetId="10" r:id="rId10"/>
    <sheet name="WPU жим в одн сл. эк." sheetId="11" r:id="rId11"/>
    <sheet name="WPU жим в мн сл. эк." sheetId="12" r:id="rId12"/>
    <sheet name="WPU тяга без эк." sheetId="13" r:id="rId13"/>
    <sheet name="WPU тяга в одн сл. эк." sheetId="14" r:id="rId14"/>
    <sheet name="WPU пл безэк." sheetId="15" r:id="rId15"/>
    <sheet name="WPU пл классик." sheetId="16" r:id="rId16"/>
    <sheet name="WPU с ДК НЖ 1_2 вес" sheetId="17" r:id="rId17"/>
    <sheet name="WPU с ДК НЖ 1 вес" sheetId="18" r:id="rId18"/>
    <sheet name="WPU НЖ 1_2 вес" sheetId="19" r:id="rId19"/>
    <sheet name="WPU НЖ 1 вес" sheetId="20" r:id="rId20"/>
  </sheets>
  <definedNames/>
  <calcPr fullCalcOnLoad="1" refMode="R1C1"/>
</workbook>
</file>

<file path=xl/sharedStrings.xml><?xml version="1.0" encoding="utf-8"?>
<sst xmlns="http://schemas.openxmlformats.org/spreadsheetml/2006/main" count="4091" uniqueCount="1334">
  <si>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</si>
  <si>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</si>
  <si>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</si>
  <si>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</si>
  <si>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</si>
  <si>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</si>
  <si>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</si>
  <si>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</si>
  <si>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</si>
  <si>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</si>
  <si>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</si>
  <si>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</si>
  <si>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Wilks</t>
  </si>
  <si>
    <t>ВЕСОВАЯ КАТЕГОРИЯ   82.5</t>
  </si>
  <si>
    <t>1. Пономаренко Григорий (+2)</t>
  </si>
  <si>
    <t>Открытая (18.01.1993)/24</t>
  </si>
  <si>
    <t>80,90</t>
  </si>
  <si>
    <t xml:space="preserve">Московская </t>
  </si>
  <si>
    <t xml:space="preserve">Зеленоград/Московская область </t>
  </si>
  <si>
    <t>130,0</t>
  </si>
  <si>
    <t>140,0</t>
  </si>
  <si>
    <t>150,0</t>
  </si>
  <si>
    <t>100,0</t>
  </si>
  <si>
    <t>107,5</t>
  </si>
  <si>
    <t>112,5</t>
  </si>
  <si>
    <t>175,0</t>
  </si>
  <si>
    <t>190,0</t>
  </si>
  <si>
    <t>200,0</t>
  </si>
  <si>
    <t xml:space="preserve">Зверев Р.О. </t>
  </si>
  <si>
    <t>ВЕСОВАЯ КАТЕГОРИЯ   110</t>
  </si>
  <si>
    <t>1. Солопов Евгений (+МС)</t>
  </si>
  <si>
    <t>Открытая (04.09.1989)/28</t>
  </si>
  <si>
    <t>108,00</t>
  </si>
  <si>
    <t xml:space="preserve">Москва </t>
  </si>
  <si>
    <t xml:space="preserve">Москва/ </t>
  </si>
  <si>
    <t>245,0</t>
  </si>
  <si>
    <t>250,0</t>
  </si>
  <si>
    <t>260,0</t>
  </si>
  <si>
    <t>180,0</t>
  </si>
  <si>
    <t>185,0</t>
  </si>
  <si>
    <t>187,5</t>
  </si>
  <si>
    <t>285,0</t>
  </si>
  <si>
    <t>295,0</t>
  </si>
  <si>
    <t>300,0</t>
  </si>
  <si>
    <t xml:space="preserve"> </t>
  </si>
  <si>
    <t>ВЕСОВАЯ КАТЕГОРИЯ   125</t>
  </si>
  <si>
    <t>1. Федоренко Алексей</t>
  </si>
  <si>
    <t>1. Федоренко Алексей (+1)</t>
  </si>
  <si>
    <t>Юниоры 20 - 23 (02.06.1996)/21</t>
  </si>
  <si>
    <t>120,00</t>
  </si>
  <si>
    <t xml:space="preserve">Химки/Московская область </t>
  </si>
  <si>
    <t>207,5</t>
  </si>
  <si>
    <t>215,0</t>
  </si>
  <si>
    <t>160,0</t>
  </si>
  <si>
    <t>165,0</t>
  </si>
  <si>
    <t>170,0</t>
  </si>
  <si>
    <t>230,0</t>
  </si>
  <si>
    <t xml:space="preserve">. </t>
  </si>
  <si>
    <t>Открытая (02.06.1996)/21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</si>
  <si>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</si>
  <si>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</si>
  <si>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</si>
  <si>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</si>
  <si>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</si>
  <si>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</si>
  <si>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</si>
  <si>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</si>
  <si>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</si>
  <si>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</si>
  <si>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</si>
  <si>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</si>
  <si>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</si>
  <si>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Юниоры 20 - 23 </t>
  </si>
  <si>
    <t>125,0</t>
  </si>
  <si>
    <t xml:space="preserve">Открытая </t>
  </si>
  <si>
    <t>110,0</t>
  </si>
  <si>
    <t>82,5</t>
  </si>
  <si>
    <t>Мякишев Сергей</t>
  </si>
  <si>
    <t>1. Мякишев Сергей (+МС)</t>
  </si>
  <si>
    <t>Открытая (13.11.1985)/31</t>
  </si>
  <si>
    <t>81,60</t>
  </si>
  <si>
    <t>222,5</t>
  </si>
  <si>
    <t>145,0</t>
  </si>
  <si>
    <t>155,0</t>
  </si>
  <si>
    <t>242,5</t>
  </si>
  <si>
    <t>ВЕСОВАЯ КАТЕГОРИЯ   100</t>
  </si>
  <si>
    <t>1. Трофимов Алексей (+КМС)</t>
  </si>
  <si>
    <t>Открытая (21.02.1981)/36</t>
  </si>
  <si>
    <t>98,80</t>
  </si>
  <si>
    <t>225,0</t>
  </si>
  <si>
    <t>177,5</t>
  </si>
  <si>
    <t>235,0</t>
  </si>
  <si>
    <t>257,5</t>
  </si>
  <si>
    <t>2. Кузнецов Александр (+КМС)</t>
  </si>
  <si>
    <t>Открытая (21.03.1978)/39</t>
  </si>
  <si>
    <t>95,40</t>
  </si>
  <si>
    <t xml:space="preserve">Раменское/Московская область </t>
  </si>
  <si>
    <t>265,0</t>
  </si>
  <si>
    <t>255,0</t>
  </si>
  <si>
    <t>1. Сапожков Денис (+КМС)</t>
  </si>
  <si>
    <t>Открытая (06.02.1979)/38</t>
  </si>
  <si>
    <t>220,0</t>
  </si>
  <si>
    <t>135,0</t>
  </si>
  <si>
    <t>240,0</t>
  </si>
  <si>
    <t xml:space="preserve">Аверьянов А.Ю. </t>
  </si>
  <si>
    <t>2. Свиридов Дмитрий (+КМС)</t>
  </si>
  <si>
    <t>Открытая (27.03.1992)/25</t>
  </si>
  <si>
    <t>108,80</t>
  </si>
  <si>
    <t xml:space="preserve">Королёв/Московская область </t>
  </si>
  <si>
    <t>167,5</t>
  </si>
  <si>
    <t>252,5</t>
  </si>
  <si>
    <t>3. Кирилин Максим (+2)</t>
  </si>
  <si>
    <t>Открытая (13.12.1983)/33</t>
  </si>
  <si>
    <t>107,80</t>
  </si>
  <si>
    <t>162,5</t>
  </si>
  <si>
    <t>147,5</t>
  </si>
  <si>
    <t>195,0</t>
  </si>
  <si>
    <t xml:space="preserve">Брехов Р.О. </t>
  </si>
  <si>
    <t>4. Фалалеев Алексей (+2)</t>
  </si>
  <si>
    <t>Открытая (09.08.1993)/24</t>
  </si>
  <si>
    <t>100,10</t>
  </si>
  <si>
    <t>137,5</t>
  </si>
  <si>
    <t>612,5</t>
  </si>
  <si>
    <t>413,0700</t>
  </si>
  <si>
    <t>1. Родионов Иван</t>
  </si>
  <si>
    <t>Открытая (18.04.1991)/26</t>
  </si>
  <si>
    <t>80,80</t>
  </si>
  <si>
    <t>210,0</t>
  </si>
  <si>
    <t>ВЕСОВАЯ КАТЕГОРИЯ   90</t>
  </si>
  <si>
    <t>1. Симанин Павел</t>
  </si>
  <si>
    <t>Юниоры 20 - 23 (12.06.1994)/23</t>
  </si>
  <si>
    <t>88,20</t>
  </si>
  <si>
    <t>1. Бахарев Дмитрий</t>
  </si>
  <si>
    <t>Юниоры 20 - 23 (05.04.1995)/22</t>
  </si>
  <si>
    <t>106,60</t>
  </si>
  <si>
    <t xml:space="preserve">Дмитров/Московская область </t>
  </si>
  <si>
    <t>280,0</t>
  </si>
  <si>
    <t>302,5</t>
  </si>
  <si>
    <t>270,0</t>
  </si>
  <si>
    <t>275,0</t>
  </si>
  <si>
    <t>1. Дрожжин Андрей</t>
  </si>
  <si>
    <t>Открытая (21.11.1977)/39</t>
  </si>
  <si>
    <t>118,00</t>
  </si>
  <si>
    <t xml:space="preserve">Хотьково/Московская область </t>
  </si>
  <si>
    <t>340,0</t>
  </si>
  <si>
    <t>360,0</t>
  </si>
  <si>
    <t>380,0</t>
  </si>
  <si>
    <t>315,0</t>
  </si>
  <si>
    <t xml:space="preserve">Мамичева Е. </t>
  </si>
  <si>
    <t>90,0</t>
  </si>
  <si>
    <t>1. Мавренков Сергей</t>
  </si>
  <si>
    <t>Открытая (05.11.1966)/50</t>
  </si>
  <si>
    <t>103,00</t>
  </si>
  <si>
    <t>Ветераны 50 - 54 (05.11.1966)/50</t>
  </si>
  <si>
    <t>-. Арутюнов Станислав</t>
  </si>
  <si>
    <t>Открытая (11.11.1980)/36</t>
  </si>
  <si>
    <t>110,20</t>
  </si>
  <si>
    <t xml:space="preserve">Пензенская </t>
  </si>
  <si>
    <t xml:space="preserve">Пенза/Пензенская область </t>
  </si>
  <si>
    <t xml:space="preserve">Постнов Д.М. </t>
  </si>
  <si>
    <t xml:space="preserve">Ветераны </t>
  </si>
  <si>
    <t>Продвижение 2017
WPU Жим лежа Безэкипировочный
Москва/ октября 2017 г.</t>
  </si>
  <si>
    <t>ВЕСОВАЯ КАТЕГОРИЯ   52</t>
  </si>
  <si>
    <t>1. Клементьева Наталья (+МС)</t>
  </si>
  <si>
    <t>Открытая (17.10.1980)/36</t>
  </si>
  <si>
    <t>51,80</t>
  </si>
  <si>
    <t>60,0</t>
  </si>
  <si>
    <t>62,5</t>
  </si>
  <si>
    <t>67,5</t>
  </si>
  <si>
    <t xml:space="preserve">Щегольков В.И. </t>
  </si>
  <si>
    <t>ВЕСОВАЯ КАТЕГОРИЯ   56</t>
  </si>
  <si>
    <t>1. Ящук Вера (+3)</t>
  </si>
  <si>
    <t>Открытая (20.05.1980)/37</t>
  </si>
  <si>
    <t>55,60</t>
  </si>
  <si>
    <t>40,0</t>
  </si>
  <si>
    <t>42,5</t>
  </si>
  <si>
    <t>45,0</t>
  </si>
  <si>
    <t>ВЕСОВАЯ КАТЕГОРИЯ   60</t>
  </si>
  <si>
    <t>1. Чеснакова Екатерина (+3)</t>
  </si>
  <si>
    <t>Открытая (28.07.1978)/39</t>
  </si>
  <si>
    <t>59,90</t>
  </si>
  <si>
    <t>47,5</t>
  </si>
  <si>
    <t>50,0</t>
  </si>
  <si>
    <t>ВЕСОВАЯ КАТЕГОРИЯ   75</t>
  </si>
  <si>
    <t>1. Аблаева Виктория (+МС)</t>
  </si>
  <si>
    <t>Открытая (08.05.1983)/34</t>
  </si>
  <si>
    <t>70,60</t>
  </si>
  <si>
    <t>95,0</t>
  </si>
  <si>
    <t xml:space="preserve">Марченко В.В. </t>
  </si>
  <si>
    <t>ВЕСОВАЯ КАТЕГОРИЯ   67.5</t>
  </si>
  <si>
    <t>1. Розиков Дилшод (+КМС)</t>
  </si>
  <si>
    <t>Юниоры 20 - 23 (14.11.1994)/22</t>
  </si>
  <si>
    <t>62,70</t>
  </si>
  <si>
    <t xml:space="preserve">Розиков Б. </t>
  </si>
  <si>
    <t>1. Ермолин Юрий (+3)</t>
  </si>
  <si>
    <t>Ветераны 60 - 64 (24.10.1952)/64</t>
  </si>
  <si>
    <t>74,40</t>
  </si>
  <si>
    <t xml:space="preserve">Владимирская </t>
  </si>
  <si>
    <t xml:space="preserve">Киржач/Владимирская область </t>
  </si>
  <si>
    <t xml:space="preserve">Васильев С.А. </t>
  </si>
  <si>
    <t>1. Ионов Николай (+3)</t>
  </si>
  <si>
    <t>Ветераны 65 - 69 (20.05.1949)/68</t>
  </si>
  <si>
    <t>73,00</t>
  </si>
  <si>
    <t>105,0</t>
  </si>
  <si>
    <t xml:space="preserve">Хуснетдинова Т.И. </t>
  </si>
  <si>
    <t>1. Петрокович Николай (+2)</t>
  </si>
  <si>
    <t>Открытая (17.08.1979)/38</t>
  </si>
  <si>
    <t>75,60</t>
  </si>
  <si>
    <t>117,5</t>
  </si>
  <si>
    <t>Тимченко Сергей</t>
  </si>
  <si>
    <t>1. Тимченко Сергей (+МСМК)</t>
  </si>
  <si>
    <t>Открытая (23.12.1979)/37</t>
  </si>
  <si>
    <t>86,70</t>
  </si>
  <si>
    <t xml:space="preserve">Подольск/Московская область </t>
  </si>
  <si>
    <t>202,5</t>
  </si>
  <si>
    <t>217,5</t>
  </si>
  <si>
    <t xml:space="preserve">Тимченко Ю. </t>
  </si>
  <si>
    <t>2. Снежков Илья (+МС)</t>
  </si>
  <si>
    <t>Открытая (06.12.1989)/27</t>
  </si>
  <si>
    <t>89,90</t>
  </si>
  <si>
    <t>Хуснетдинов Амир</t>
  </si>
  <si>
    <t>1. Хуснетдинов Амир (+1)</t>
  </si>
  <si>
    <t>Ветераны 65 - 69 (01.03.1948)/69</t>
  </si>
  <si>
    <t>88,90</t>
  </si>
  <si>
    <t>120,0</t>
  </si>
  <si>
    <t>1. Рукавишников Сергей (+МС)</t>
  </si>
  <si>
    <t>Открытая (17.04.1988)/29</t>
  </si>
  <si>
    <t>99,60</t>
  </si>
  <si>
    <t>205,0</t>
  </si>
  <si>
    <t>2. Кротов Кирилл (+КМС)</t>
  </si>
  <si>
    <t>Открытая (14.03.1991)/26</t>
  </si>
  <si>
    <t>99,00</t>
  </si>
  <si>
    <t xml:space="preserve">Поздняков А. </t>
  </si>
  <si>
    <t>3. Важдаев Кирилл (+КМС)</t>
  </si>
  <si>
    <t>Открытая (23.06.1990)/27</t>
  </si>
  <si>
    <t>98,10</t>
  </si>
  <si>
    <t>172,5</t>
  </si>
  <si>
    <t>1. Максимов Сергей (+КМС)</t>
  </si>
  <si>
    <t>Ветераны 40 - 44 (15.09.1975)/42</t>
  </si>
  <si>
    <t>97,50</t>
  </si>
  <si>
    <t>-. Тихомиров Михаил</t>
  </si>
  <si>
    <t>Ветераны 40 - 44 (03.03.1974)/43</t>
  </si>
  <si>
    <t>97,10</t>
  </si>
  <si>
    <t xml:space="preserve">Дубна/Московская область </t>
  </si>
  <si>
    <t xml:space="preserve">Козырев О.В. </t>
  </si>
  <si>
    <t>1. Рыбин Дмитрий (+КМС)</t>
  </si>
  <si>
    <t>Юниоры 20 - 23 (23.10.1993)/23</t>
  </si>
  <si>
    <t>110,00</t>
  </si>
  <si>
    <t xml:space="preserve">Долгопрудный/Московская область </t>
  </si>
  <si>
    <t xml:space="preserve">Черней Б. </t>
  </si>
  <si>
    <t>1. Комиссаров Константин (+МС)</t>
  </si>
  <si>
    <t>Открытая (12.05.1985)/32</t>
  </si>
  <si>
    <t>105,00</t>
  </si>
  <si>
    <t>212,5</t>
  </si>
  <si>
    <t xml:space="preserve">Ульянов А.В. </t>
  </si>
  <si>
    <t>1. Котов Николай (+КМС)</t>
  </si>
  <si>
    <t>Ветераны 40 - 44 (12.07.1975)/42</t>
  </si>
  <si>
    <t>102,20</t>
  </si>
  <si>
    <t xml:space="preserve">Мытищи/Московская область </t>
  </si>
  <si>
    <t xml:space="preserve">Игамов Ш.Ш. </t>
  </si>
  <si>
    <t>2. Герштанский Сергей (+1)</t>
  </si>
  <si>
    <t>Ветераны 40 - 44 (06.04.1974)/43</t>
  </si>
  <si>
    <t>105,90</t>
  </si>
  <si>
    <t>1. Апальков Андрей (+МС)</t>
  </si>
  <si>
    <t>Открытая (21.06.1979)/38</t>
  </si>
  <si>
    <t>112,40</t>
  </si>
  <si>
    <t>1. Веретенников Анатолий (+КМС)</t>
  </si>
  <si>
    <t>Ветераны 40 - 44 (14.07.1976)/41</t>
  </si>
  <si>
    <t>123,30</t>
  </si>
  <si>
    <t xml:space="preserve">Липецкая </t>
  </si>
  <si>
    <t xml:space="preserve">Липецк/Липецкая область </t>
  </si>
  <si>
    <t xml:space="preserve">Чепец Ю.П. </t>
  </si>
  <si>
    <t xml:space="preserve">Женщины </t>
  </si>
  <si>
    <t>75,0</t>
  </si>
  <si>
    <t>56,0</t>
  </si>
  <si>
    <t>141,6142</t>
  </si>
  <si>
    <t xml:space="preserve">Ветераны 65 - 69 </t>
  </si>
  <si>
    <t>144,7970</t>
  </si>
  <si>
    <t xml:space="preserve">Ветераны 60 - 64 </t>
  </si>
  <si>
    <t>Результат</t>
  </si>
  <si>
    <t>Продвижение 2017
WPU Жим лежа в Однослойной экипировке
Москва/ октября 2017 г.</t>
  </si>
  <si>
    <t>1. Нечпал Вячеслав (+МСМК)</t>
  </si>
  <si>
    <t>Ветераны 40 - 44 (02.07.1973)/44</t>
  </si>
  <si>
    <t>89,30</t>
  </si>
  <si>
    <t xml:space="preserve">Балашиха/Московская область </t>
  </si>
  <si>
    <t>1. Филиппов Кирилл (+МС)</t>
  </si>
  <si>
    <t>Открытая (07.01.1989)/28</t>
  </si>
  <si>
    <t>99,40</t>
  </si>
  <si>
    <t xml:space="preserve">Тучково/Московская область </t>
  </si>
  <si>
    <t>262,5</t>
  </si>
  <si>
    <t>1. Кузнецов Евгений (+КМС)</t>
  </si>
  <si>
    <t>Открытая (09.12.1990)/26</t>
  </si>
  <si>
    <t xml:space="preserve">Абдуллин М.Р. </t>
  </si>
  <si>
    <t>2. Хвостанцев Павел (+2)</t>
  </si>
  <si>
    <t>Открытая (24.01.1989)/28</t>
  </si>
  <si>
    <t>105,30</t>
  </si>
  <si>
    <t xml:space="preserve">Саратовская </t>
  </si>
  <si>
    <t xml:space="preserve">Саратов/Саратовская область </t>
  </si>
  <si>
    <t>0,0</t>
  </si>
  <si>
    <t xml:space="preserve">Митенкова В. </t>
  </si>
  <si>
    <t>Филин Илья</t>
  </si>
  <si>
    <t>1. Филин Илья (+МС)</t>
  </si>
  <si>
    <t>Открытая (16.08.1988)/29</t>
  </si>
  <si>
    <t>86,30</t>
  </si>
  <si>
    <t xml:space="preserve">Ивантеевка/Московская область </t>
  </si>
  <si>
    <t>164,8320</t>
  </si>
  <si>
    <t>1. Ковешникова Екатерина (+3)</t>
  </si>
  <si>
    <t>Ветераны 40 - 44 (21.06.1977)/40</t>
  </si>
  <si>
    <t>49,70</t>
  </si>
  <si>
    <t>80,0</t>
  </si>
  <si>
    <t xml:space="preserve">Мишенин С.В. </t>
  </si>
  <si>
    <t>1. Нетребина Галина (+МС)</t>
  </si>
  <si>
    <t>Открытая (07.07.1978)/39</t>
  </si>
  <si>
    <t>64,90</t>
  </si>
  <si>
    <t>2. Асабина Ирина (+КМС)</t>
  </si>
  <si>
    <t>Открытая (09.08.1982)/35</t>
  </si>
  <si>
    <t>60,90</t>
  </si>
  <si>
    <t>1. Липчанский Эдуард (+2)</t>
  </si>
  <si>
    <t>Юниоры 20 - 23 (15.01.1997)/20</t>
  </si>
  <si>
    <t xml:space="preserve">Реутов/Московская область </t>
  </si>
  <si>
    <t>1. Акаев Рохман (+КМС)</t>
  </si>
  <si>
    <t>Открытая (13.07.1993)/24</t>
  </si>
  <si>
    <t>74,60</t>
  </si>
  <si>
    <t xml:space="preserve">Чечня </t>
  </si>
  <si>
    <t xml:space="preserve">Грозный/Чечня </t>
  </si>
  <si>
    <t>2. Зуев Михаил (+1)</t>
  </si>
  <si>
    <t>Открытая (25.04.1985)/32</t>
  </si>
  <si>
    <t xml:space="preserve">Талдом/Московская область </t>
  </si>
  <si>
    <t>1. Лихолай Алексанрд (+2Ю)</t>
  </si>
  <si>
    <t>Ветераны 75 - 79 (22.02.1939)/78</t>
  </si>
  <si>
    <t>73,80</t>
  </si>
  <si>
    <t>1. Денисов Андрей (+1)</t>
  </si>
  <si>
    <t>Открытая (29.06.1980)/37</t>
  </si>
  <si>
    <t>81,50</t>
  </si>
  <si>
    <t xml:space="preserve">Желудев В. </t>
  </si>
  <si>
    <t>1. Сагитов Марат (+КМС)</t>
  </si>
  <si>
    <t>Ветераны 45 - 49 (05.03.1971)/46</t>
  </si>
  <si>
    <t>82,00</t>
  </si>
  <si>
    <t>1. Егоров Иван (+3)</t>
  </si>
  <si>
    <t>Открытая (22.11.1998)/18</t>
  </si>
  <si>
    <t>85,30</t>
  </si>
  <si>
    <t>1. Середин Роман (+МС)</t>
  </si>
  <si>
    <t>Открытая (03.12.1992)/24</t>
  </si>
  <si>
    <t xml:space="preserve">Солнечногорск/Московская область </t>
  </si>
  <si>
    <t>290,0</t>
  </si>
  <si>
    <t xml:space="preserve">Зайцев В.Б. </t>
  </si>
  <si>
    <t>1. Тихомиров Михаил (+1)</t>
  </si>
  <si>
    <t>1. Курмей Денис (+МС)</t>
  </si>
  <si>
    <t>Открытая (21.10.1987)/29</t>
  </si>
  <si>
    <t xml:space="preserve">Руза/Московская область </t>
  </si>
  <si>
    <t>330,0</t>
  </si>
  <si>
    <t xml:space="preserve">Губаев Р. </t>
  </si>
  <si>
    <t>Марченко Владимир</t>
  </si>
  <si>
    <t>1. Марченко Владимир (+МСМК)</t>
  </si>
  <si>
    <t>Открытая (22.04.1978)/39</t>
  </si>
  <si>
    <t>123,00</t>
  </si>
  <si>
    <t>325,0</t>
  </si>
  <si>
    <t>345,0</t>
  </si>
  <si>
    <t>365,0</t>
  </si>
  <si>
    <t>197,2710</t>
  </si>
  <si>
    <t>1. Пономаренко Григорий (+1)</t>
  </si>
  <si>
    <t>2. Родионов Иван</t>
  </si>
  <si>
    <t>1. Зверев Роман</t>
  </si>
  <si>
    <t>Открытая (15.05.1988)/29</t>
  </si>
  <si>
    <t>98,60</t>
  </si>
  <si>
    <t xml:space="preserve">Материкин О.Ю. Суровецкий А.Е. </t>
  </si>
  <si>
    <t>2. Трофимов Алексей</t>
  </si>
  <si>
    <t>ВЕСОВАЯ КАТЕГОРИЯ   48</t>
  </si>
  <si>
    <t>Курбанова Хадижат</t>
  </si>
  <si>
    <t>1. Курбанова Хадижат (МСМК)</t>
  </si>
  <si>
    <t>Открытая (30.08.1985)/32</t>
  </si>
  <si>
    <t>47,00</t>
  </si>
  <si>
    <t>52,5</t>
  </si>
  <si>
    <t>55,0</t>
  </si>
  <si>
    <t>115,0</t>
  </si>
  <si>
    <t>1. Тюленева Вероника (МС)</t>
  </si>
  <si>
    <t>Открытая (25.11.1992)/24</t>
  </si>
  <si>
    <t>87,5</t>
  </si>
  <si>
    <t>92,5</t>
  </si>
  <si>
    <t>65,0</t>
  </si>
  <si>
    <t xml:space="preserve">Зубков П. </t>
  </si>
  <si>
    <t>2. Гуназа Юлия (2)</t>
  </si>
  <si>
    <t>Открытая (05.07.1989)/28</t>
  </si>
  <si>
    <t>50,40</t>
  </si>
  <si>
    <t>77,5</t>
  </si>
  <si>
    <t>1. Янковская Ольга (КМС)</t>
  </si>
  <si>
    <t>Открытая (28.07.1979)/38</t>
  </si>
  <si>
    <t>55,10</t>
  </si>
  <si>
    <t>97,5</t>
  </si>
  <si>
    <t>102,5</t>
  </si>
  <si>
    <t xml:space="preserve">Мудрогелов Р.А. </t>
  </si>
  <si>
    <t>2. Пархоменко Ольга (КМС)</t>
  </si>
  <si>
    <t>Открытая (12.11.1988)/28</t>
  </si>
  <si>
    <t>54,00</t>
  </si>
  <si>
    <t>85,0</t>
  </si>
  <si>
    <t>57,5</t>
  </si>
  <si>
    <t>1. Чупракова Екатерина (КМС)</t>
  </si>
  <si>
    <t>Открытая (11.05.1982)/35</t>
  </si>
  <si>
    <t>59,50</t>
  </si>
  <si>
    <t>127,5</t>
  </si>
  <si>
    <t xml:space="preserve">Клюев В.В. </t>
  </si>
  <si>
    <t>2. Силина Евгения (КМС)</t>
  </si>
  <si>
    <t>Открытая (21.07.1989)/28</t>
  </si>
  <si>
    <t>58,00</t>
  </si>
  <si>
    <t xml:space="preserve">Осипенко Р. </t>
  </si>
  <si>
    <t>-. Григорян Джульетта</t>
  </si>
  <si>
    <t>Открытая (06.08.1992)/25</t>
  </si>
  <si>
    <t>59,70</t>
  </si>
  <si>
    <t>1. Крошкина Наталья (3)</t>
  </si>
  <si>
    <t>Открытая (23.06.1988)/29</t>
  </si>
  <si>
    <t>76,80</t>
  </si>
  <si>
    <t>1. Аллахвердян Самвел (МС)</t>
  </si>
  <si>
    <t>Открытая (29.06.1993)/24</t>
  </si>
  <si>
    <t>66,20</t>
  </si>
  <si>
    <t xml:space="preserve">Свиридов Д.С. </t>
  </si>
  <si>
    <t>Чистяков Игорь</t>
  </si>
  <si>
    <t>1. Чистяков Игорь</t>
  </si>
  <si>
    <t>1. Чистяков Игорь (2)</t>
  </si>
  <si>
    <t>Ветераны 50 - 54 (27.05.1965)/52</t>
  </si>
  <si>
    <t>67,00</t>
  </si>
  <si>
    <t xml:space="preserve">Буянин А. </t>
  </si>
  <si>
    <t>1. Березнев Александр (МС)</t>
  </si>
  <si>
    <t>Открытая (13.07.1984)/33</t>
  </si>
  <si>
    <t>73,30</t>
  </si>
  <si>
    <t>1. Киселев Александр (КМС)</t>
  </si>
  <si>
    <t>Ветераны 40 - 44 (01.01.1974)/43</t>
  </si>
  <si>
    <t>71,90</t>
  </si>
  <si>
    <t>122,5</t>
  </si>
  <si>
    <t>1. Сидельников Александр (3)</t>
  </si>
  <si>
    <t>Ветераны 50 - 54 (22.02.1967)/50</t>
  </si>
  <si>
    <t>Старцев Игорь</t>
  </si>
  <si>
    <t>1. Старцев Игорь (МС)</t>
  </si>
  <si>
    <t>Открытая (14.03.1983)/34</t>
  </si>
  <si>
    <t>89,80</t>
  </si>
  <si>
    <t>227,5</t>
  </si>
  <si>
    <t>157,5</t>
  </si>
  <si>
    <t>1. Бережной Олег (1)</t>
  </si>
  <si>
    <t>Юноши 16 - 19 (21.09.1998)/19</t>
  </si>
  <si>
    <t>97,70</t>
  </si>
  <si>
    <t>1. Краснов Константин (3)</t>
  </si>
  <si>
    <t>Открытая (06.09.1986)/31</t>
  </si>
  <si>
    <t>1. Обидин Евгений (1)</t>
  </si>
  <si>
    <t>Открытая (28.06.1983)/34</t>
  </si>
  <si>
    <t>48,0</t>
  </si>
  <si>
    <t>376,5720</t>
  </si>
  <si>
    <t xml:space="preserve">Юноши </t>
  </si>
  <si>
    <t xml:space="preserve">Юноши 16 - 19 </t>
  </si>
  <si>
    <t>675,0</t>
  </si>
  <si>
    <t>431,3925</t>
  </si>
  <si>
    <t>1. Шестиглазова Алина (+1)</t>
  </si>
  <si>
    <t>Юниорки 20 - 23 (21.02.1995)/22</t>
  </si>
  <si>
    <t xml:space="preserve">Румянцева С.В. </t>
  </si>
  <si>
    <t>1. Бешанова Юлия (+1Ю)</t>
  </si>
  <si>
    <t>Открытая (30.12.1990)/26</t>
  </si>
  <si>
    <t>35,0</t>
  </si>
  <si>
    <t>37,5</t>
  </si>
  <si>
    <t xml:space="preserve">Балугин Н.В. </t>
  </si>
  <si>
    <t>1. Левенкова Наталья (+МС)</t>
  </si>
  <si>
    <t>Открытая (16.09.1988)/29</t>
  </si>
  <si>
    <t>53,90</t>
  </si>
  <si>
    <t>2. Гамалюк Наталья (+МС)</t>
  </si>
  <si>
    <t>Открытая (12.01.1987)/30</t>
  </si>
  <si>
    <t>55,70</t>
  </si>
  <si>
    <t xml:space="preserve">Пароваткина Е. </t>
  </si>
  <si>
    <t>1. Сапожникова Анастасия (+1)</t>
  </si>
  <si>
    <t>Юниорки 20 - 23 (23.12.1995)/21</t>
  </si>
  <si>
    <t>58,60</t>
  </si>
  <si>
    <t xml:space="preserve">Румянцев С.В. </t>
  </si>
  <si>
    <t>1. Визгина Юлия (+МС)</t>
  </si>
  <si>
    <t>Открытая (03.02.1992)/25</t>
  </si>
  <si>
    <t>59,20</t>
  </si>
  <si>
    <t xml:space="preserve">Романов Ю. </t>
  </si>
  <si>
    <t>-. Сапожникова Анастасия</t>
  </si>
  <si>
    <t>60,80</t>
  </si>
  <si>
    <t>1. Ефиманова Дана (+3)</t>
  </si>
  <si>
    <t>Открытая (14.06.1988)/29</t>
  </si>
  <si>
    <t>62,20</t>
  </si>
  <si>
    <t xml:space="preserve">Карпунин И.А. </t>
  </si>
  <si>
    <t>2. Ушакова Ольга (+3)</t>
  </si>
  <si>
    <t>Открытая (22.03.1974)/43</t>
  </si>
  <si>
    <t>65,50</t>
  </si>
  <si>
    <t xml:space="preserve">Сотников В. </t>
  </si>
  <si>
    <t>1. Бусова Валентина (+2)</t>
  </si>
  <si>
    <t>Девушки 16 - 19 (31.10.1998)/18</t>
  </si>
  <si>
    <t>70,90</t>
  </si>
  <si>
    <t>1. Лопатина Елена (+3)</t>
  </si>
  <si>
    <t>Ветераны 50 - 54 (05.04.1967)/50</t>
  </si>
  <si>
    <t>72,00</t>
  </si>
  <si>
    <t>70,0</t>
  </si>
  <si>
    <t xml:space="preserve">Довбыш О. </t>
  </si>
  <si>
    <t>ВЕСОВАЯ КАТЕГОРИЯ   90+</t>
  </si>
  <si>
    <t>1. Зенькова Яна (+1)</t>
  </si>
  <si>
    <t>Девушки 16 - 19 (09.10.1998)/18</t>
  </si>
  <si>
    <t>106,20</t>
  </si>
  <si>
    <t>1. Полушкин Никита (+1Ю)</t>
  </si>
  <si>
    <t>Юноши 14 - 15 (14.10.1999)/17</t>
  </si>
  <si>
    <t>56,00</t>
  </si>
  <si>
    <t>Бирюков Антон</t>
  </si>
  <si>
    <t>1. Бирюков Антон (+1)</t>
  </si>
  <si>
    <t>Юноши 16 - 19 (17.03.1998)/19</t>
  </si>
  <si>
    <t>66,70</t>
  </si>
  <si>
    <t xml:space="preserve">Зимоновский А.В. </t>
  </si>
  <si>
    <t>Рек Александр</t>
  </si>
  <si>
    <t>1. Рек Александр (+МСМК)</t>
  </si>
  <si>
    <t>Открытая (13.07.1987)/30</t>
  </si>
  <si>
    <t>67,40</t>
  </si>
  <si>
    <t>2. Санин Леонтий (+2)</t>
  </si>
  <si>
    <t>Открытая (01.07.1992)/25</t>
  </si>
  <si>
    <t>67,20</t>
  </si>
  <si>
    <t>3. Лядов Евгений (+3)</t>
  </si>
  <si>
    <t>Открытая (16.07.1984)/33</t>
  </si>
  <si>
    <t>66,00</t>
  </si>
  <si>
    <t>1. Титов Данила (+2Ю)</t>
  </si>
  <si>
    <t>Юноши 14 - 15 (11.08.2002)/15</t>
  </si>
  <si>
    <t>72,40</t>
  </si>
  <si>
    <t xml:space="preserve">Веселов О. </t>
  </si>
  <si>
    <t>1. Сычев Владислав (+3)</t>
  </si>
  <si>
    <t>Юноши 16 - 19 (09.05.2000)/17</t>
  </si>
  <si>
    <t>68,60</t>
  </si>
  <si>
    <t>1. Лаврентьев Андрей (+1)</t>
  </si>
  <si>
    <t>Открытая (20.11.1983)/33</t>
  </si>
  <si>
    <t>72,20</t>
  </si>
  <si>
    <t>1. Воронов Даниил (+1Ю)</t>
  </si>
  <si>
    <t>Юноши 14 - 15 (27.02.2002)/15</t>
  </si>
  <si>
    <t>77,30</t>
  </si>
  <si>
    <t>1. Волков Александр (+2)</t>
  </si>
  <si>
    <t>Юниоры 20 - 23 (31.08.1995)/22</t>
  </si>
  <si>
    <t>79,00</t>
  </si>
  <si>
    <t>Валов Василий</t>
  </si>
  <si>
    <t>1. Валов Василий (+МС)</t>
  </si>
  <si>
    <t>Открытая (28.10.1988)/28</t>
  </si>
  <si>
    <t>81,00</t>
  </si>
  <si>
    <t>142,5</t>
  </si>
  <si>
    <t xml:space="preserve">Бериташвили И. </t>
  </si>
  <si>
    <t>2. Янин Юрий (+МС)</t>
  </si>
  <si>
    <t>Открытая (09.07.1987)/30</t>
  </si>
  <si>
    <t>81,30</t>
  </si>
  <si>
    <t>3. Апатенко Константин (+1)</t>
  </si>
  <si>
    <t>Открытая (04.08.1990)/27</t>
  </si>
  <si>
    <t>80,10</t>
  </si>
  <si>
    <t>1. Пронин Владимир (+1)</t>
  </si>
  <si>
    <t>Юниоры 20 - 23 (28.09.1996)/21</t>
  </si>
  <si>
    <t>89,00</t>
  </si>
  <si>
    <t>2. Аскаралиев Жавохир (+1)</t>
  </si>
  <si>
    <t>Юниоры 20 - 23 (29.12.1993)/23</t>
  </si>
  <si>
    <t>86,20</t>
  </si>
  <si>
    <t>1. Герасимов Алексей (+КМС)</t>
  </si>
  <si>
    <t>Открытая (13.01.1991)/26</t>
  </si>
  <si>
    <t>88,00</t>
  </si>
  <si>
    <t xml:space="preserve">Фурсов Р. </t>
  </si>
  <si>
    <t>1. Омаров Закир (+3)</t>
  </si>
  <si>
    <t>Юноши 16 - 19 (31.07.1998)/19</t>
  </si>
  <si>
    <t>97,80</t>
  </si>
  <si>
    <t>1. Кабанов Вячеслав (+КМС)</t>
  </si>
  <si>
    <t>Юниоры 20 - 23 (25.01.1996)/21</t>
  </si>
  <si>
    <t>96,20</t>
  </si>
  <si>
    <t>-. Кляузов Сергей</t>
  </si>
  <si>
    <t>Открытая (28.01.1990)/27</t>
  </si>
  <si>
    <t>92,80</t>
  </si>
  <si>
    <t xml:space="preserve">Сергиев Посад/Московская область </t>
  </si>
  <si>
    <t xml:space="preserve">Чумичев С. </t>
  </si>
  <si>
    <t>1. Огурцов Дмитрий (+3)</t>
  </si>
  <si>
    <t>Юноши 16 - 19 (05.10.2000)/17</t>
  </si>
  <si>
    <t>101,30</t>
  </si>
  <si>
    <t xml:space="preserve">Матевосян Д. </t>
  </si>
  <si>
    <t>1. Локотков Александр (+2)</t>
  </si>
  <si>
    <t>Юниоры 20 - 23 (26.08.1995)/22</t>
  </si>
  <si>
    <t>109,20</t>
  </si>
  <si>
    <t>Евстигнеев Михаил</t>
  </si>
  <si>
    <t>1. Евстигнеев Михаил</t>
  </si>
  <si>
    <t>Открытая (21.06.1976)/41</t>
  </si>
  <si>
    <t>105,50</t>
  </si>
  <si>
    <t>232,5</t>
  </si>
  <si>
    <t>182,5</t>
  </si>
  <si>
    <t>192,5</t>
  </si>
  <si>
    <t xml:space="preserve">Козлов В.В. </t>
  </si>
  <si>
    <t>2. Безпаленко Артем (+КМС)</t>
  </si>
  <si>
    <t>Открытая (21.03.1990)/27</t>
  </si>
  <si>
    <t>104,70</t>
  </si>
  <si>
    <t>3. Каминский Евгений (+КМС)</t>
  </si>
  <si>
    <t>Открытая (07.06.1991)/26</t>
  </si>
  <si>
    <t>104,90</t>
  </si>
  <si>
    <t xml:space="preserve">Смирнов Д.И. </t>
  </si>
  <si>
    <t>4. Строилов Михаил</t>
  </si>
  <si>
    <t>Открытая (09.01.1976)/41</t>
  </si>
  <si>
    <t>5. Сухарев Василий (+КМС)</t>
  </si>
  <si>
    <t>Открытая (24.06.1980)/37</t>
  </si>
  <si>
    <t>103,80</t>
  </si>
  <si>
    <t xml:space="preserve">Лебедев М. </t>
  </si>
  <si>
    <t>1. Строилов Михаил (+КМС)</t>
  </si>
  <si>
    <t>Ветераны 40 - 44 (09.01.1976)/41</t>
  </si>
  <si>
    <t>ВЕСОВАЯ КАТЕГОРИЯ   140</t>
  </si>
  <si>
    <t>1. Калита Ярослав (+КМС)</t>
  </si>
  <si>
    <t>Открытая (14.07.1993)/24</t>
  </si>
  <si>
    <t>128,10</t>
  </si>
  <si>
    <t>430,0</t>
  </si>
  <si>
    <t>334,7550</t>
  </si>
  <si>
    <t>570,0</t>
  </si>
  <si>
    <t>439,9830</t>
  </si>
  <si>
    <t>707,5</t>
  </si>
  <si>
    <t>422,0945</t>
  </si>
  <si>
    <t>590,0</t>
  </si>
  <si>
    <t>399,6660</t>
  </si>
  <si>
    <t>ВЕСОВАЯ КАТЕГОРИЯ   44</t>
  </si>
  <si>
    <t>-. Дюльгер Наталья</t>
  </si>
  <si>
    <t>Девушки 14 - 15 (03.10.2003)/14</t>
  </si>
  <si>
    <t>43,20</t>
  </si>
  <si>
    <t xml:space="preserve">Фрязино/Московская область </t>
  </si>
  <si>
    <t>32,5</t>
  </si>
  <si>
    <t xml:space="preserve">Самохина Е. </t>
  </si>
  <si>
    <t>1. Санина Ольга (2)</t>
  </si>
  <si>
    <t>Юниорки 20 - 23 (16.09.1996)/21</t>
  </si>
  <si>
    <t>42,90</t>
  </si>
  <si>
    <t>1. Щербинина Олеся (2)</t>
  </si>
  <si>
    <t>Открытая (23.10.1986)/30</t>
  </si>
  <si>
    <t>46,90</t>
  </si>
  <si>
    <t xml:space="preserve">Бурец Е.Е. </t>
  </si>
  <si>
    <t>1. Федченкова Александра (КМС)</t>
  </si>
  <si>
    <t>Юниорки 20 - 23 (02.11.1994)/22</t>
  </si>
  <si>
    <t>50,20</t>
  </si>
  <si>
    <t xml:space="preserve">Мелихов Д. </t>
  </si>
  <si>
    <t>-. Савицкая Кристина</t>
  </si>
  <si>
    <t>Юниорки 20 - 23 (12.09.1994)/23</t>
  </si>
  <si>
    <t>51,00</t>
  </si>
  <si>
    <t xml:space="preserve">Люберцы/Московская область </t>
  </si>
  <si>
    <t xml:space="preserve">Люшуков Д.А. </t>
  </si>
  <si>
    <t>1. Бурова Василиса (3)</t>
  </si>
  <si>
    <t>Девушки 14 - 15 (16.04.2002)/15</t>
  </si>
  <si>
    <t>54,80</t>
  </si>
  <si>
    <t>1. Волкова Мария (КМС)</t>
  </si>
  <si>
    <t>Юниорки 20 - 23 (31.03.1995)/22</t>
  </si>
  <si>
    <t xml:space="preserve">Лобов С.С. </t>
  </si>
  <si>
    <t>2. Кущ Виктория (1)</t>
  </si>
  <si>
    <t>Юниорки 20 - 23 (09.01.1995)/22</t>
  </si>
  <si>
    <t xml:space="preserve">Ивлиев Л. </t>
  </si>
  <si>
    <t>Аринцева Татьяна</t>
  </si>
  <si>
    <t>1. Аринцева Татьяна (МС)</t>
  </si>
  <si>
    <t>Открытая (31.03.1983)/34</t>
  </si>
  <si>
    <t>72,5</t>
  </si>
  <si>
    <t>2. Парыгина Ольга (КМС)</t>
  </si>
  <si>
    <t>Открытая (15.09.1988)/29</t>
  </si>
  <si>
    <t>53,80</t>
  </si>
  <si>
    <t xml:space="preserve">Горянинов Д. </t>
  </si>
  <si>
    <t>3. Ярмак Анастасия (1)</t>
  </si>
  <si>
    <t>Открытая (12.10.2002)/14</t>
  </si>
  <si>
    <t>53,60</t>
  </si>
  <si>
    <t xml:space="preserve">Словак Н.А. </t>
  </si>
  <si>
    <t>4. Солдатова Лидия (1)</t>
  </si>
  <si>
    <t>Открытая (10.06.1985)/32</t>
  </si>
  <si>
    <t>55,20</t>
  </si>
  <si>
    <t xml:space="preserve">Карпова И.А. </t>
  </si>
  <si>
    <t>5. Якомульская Дарья (2)</t>
  </si>
  <si>
    <t>Открытая (13.03.1991)/26</t>
  </si>
  <si>
    <t>55,40</t>
  </si>
  <si>
    <t>6. Дьяченко Екатерина (2)</t>
  </si>
  <si>
    <t>Открытая (29.09.1988)/29</t>
  </si>
  <si>
    <t>53,10</t>
  </si>
  <si>
    <t xml:space="preserve">Платыч М. </t>
  </si>
  <si>
    <t>1. Егорова Мария (3)</t>
  </si>
  <si>
    <t>Девушки 14 - 15 (15.05.2003)/14</t>
  </si>
  <si>
    <t>58,50</t>
  </si>
  <si>
    <t xml:space="preserve">Домодедово/Московская область </t>
  </si>
  <si>
    <t>1. Кукушкина Анна (3)</t>
  </si>
  <si>
    <t>Юниорки 20 - 23 (20.12.1995)/21</t>
  </si>
  <si>
    <t>58,80</t>
  </si>
  <si>
    <t>Сергунина Екатерина</t>
  </si>
  <si>
    <t>1. Сергунина Екатерина (МС)</t>
  </si>
  <si>
    <t>Открытая (08.06.1987)/30</t>
  </si>
  <si>
    <t>59,00</t>
  </si>
  <si>
    <t xml:space="preserve">Чабанов В. </t>
  </si>
  <si>
    <t>2. Ухарева Мария (КМС)</t>
  </si>
  <si>
    <t>Открытая (03.05.1988)/29</t>
  </si>
  <si>
    <t xml:space="preserve">Корнеев П.Н. </t>
  </si>
  <si>
    <t>3. Пискунова Ирина (КМС)</t>
  </si>
  <si>
    <t>Открытая (30.07.1978)/39</t>
  </si>
  <si>
    <t>56,30</t>
  </si>
  <si>
    <t xml:space="preserve">Никишин С. </t>
  </si>
  <si>
    <t>4. Москвичева Людмила (КМС)</t>
  </si>
  <si>
    <t>Открытая (09.01.1991)/26</t>
  </si>
  <si>
    <t xml:space="preserve">Воскресенск/Московская область </t>
  </si>
  <si>
    <t>5. Воронова Наталья (1)</t>
  </si>
  <si>
    <t>Открытая (08.04.1980)/37</t>
  </si>
  <si>
    <t>6. Ипатова Наталия (2)</t>
  </si>
  <si>
    <t>Открытая (06.09.1993)/24</t>
  </si>
  <si>
    <t>Щедрина Елена</t>
  </si>
  <si>
    <t>1. Щедрина Елена (КМС)</t>
  </si>
  <si>
    <t>Открытая (07.11.1987)/29</t>
  </si>
  <si>
    <t xml:space="preserve">Семенова О.Г. </t>
  </si>
  <si>
    <t>2. Грачева Ольга (КМС)</t>
  </si>
  <si>
    <t>Открытая (19.09.1978)/39</t>
  </si>
  <si>
    <t>66,50</t>
  </si>
  <si>
    <t xml:space="preserve">Милосердов О. </t>
  </si>
  <si>
    <t>3. Детнева Екатерина (КМС)</t>
  </si>
  <si>
    <t>Открытая (26.02.1990)/27</t>
  </si>
  <si>
    <t>64,00</t>
  </si>
  <si>
    <t xml:space="preserve">Егорьевск/Московская область </t>
  </si>
  <si>
    <t>4. Сергеева Наталья (1)</t>
  </si>
  <si>
    <t>Открытая (27.10.1985)/31</t>
  </si>
  <si>
    <t>66,40</t>
  </si>
  <si>
    <t>5. Гришина Анастасия (2)</t>
  </si>
  <si>
    <t>Открытая (09.06.1986)/31</t>
  </si>
  <si>
    <t>62,90</t>
  </si>
  <si>
    <t>1. Логинова Анастасия (3)</t>
  </si>
  <si>
    <t>Юниорки 20 - 23 (04.04.1995)/22</t>
  </si>
  <si>
    <t>73,50</t>
  </si>
  <si>
    <t>1. Жук Елена (КМС)</t>
  </si>
  <si>
    <t>Открытая (25.01.1984)/33</t>
  </si>
  <si>
    <t>74,10</t>
  </si>
  <si>
    <t>1. Левченко Михаил (2)</t>
  </si>
  <si>
    <t>Юноши 14 - 15 (10.05.2004)/13</t>
  </si>
  <si>
    <t>1. Ситдиков Владислав (1)</t>
  </si>
  <si>
    <t>Юниоры 20 - 23 (23.12.1994)/22</t>
  </si>
  <si>
    <t>51,40</t>
  </si>
  <si>
    <t>1. Китанин Роман (3)</t>
  </si>
  <si>
    <t>Юноши 16 - 19 (25.03.2001)/16</t>
  </si>
  <si>
    <t>58,90</t>
  </si>
  <si>
    <t>-. Лысак Дмитрий</t>
  </si>
  <si>
    <t>Открытая (09.10.1989)/27</t>
  </si>
  <si>
    <t>59,10</t>
  </si>
  <si>
    <t>1. Затонских Никита (1)</t>
  </si>
  <si>
    <t>Юноши 14 - 15 (24.01.2002)/15</t>
  </si>
  <si>
    <t>66,30</t>
  </si>
  <si>
    <t>1. Юршин Дмитрий (КМС)</t>
  </si>
  <si>
    <t>Юноши 16 - 19 (27.08.2001)/16</t>
  </si>
  <si>
    <t>66,90</t>
  </si>
  <si>
    <t>2. Агапов Александр (2)</t>
  </si>
  <si>
    <t>Юноши 16 - 19 (25.08.1999)/18</t>
  </si>
  <si>
    <t xml:space="preserve">Ильинский/Московская область </t>
  </si>
  <si>
    <t>1. Семениченко Владимир (КМС)</t>
  </si>
  <si>
    <t>Открытая (18.06.1986)/31</t>
  </si>
  <si>
    <t xml:space="preserve">Семениченко Г. </t>
  </si>
  <si>
    <t>2. Маринычев Евгений (1)</t>
  </si>
  <si>
    <t>Открытая (10.11.1987)/29</t>
  </si>
  <si>
    <t>64,50</t>
  </si>
  <si>
    <t>-. Литвин Александр</t>
  </si>
  <si>
    <t>Открытая (24.11.1986)/30</t>
  </si>
  <si>
    <t>67,30</t>
  </si>
  <si>
    <t xml:space="preserve">Лапин-Кратасюк Е. </t>
  </si>
  <si>
    <t>-. Аржаев Сергей</t>
  </si>
  <si>
    <t>Открытая (30.08.1981)/36</t>
  </si>
  <si>
    <t>1. Букалов Роман (МС)</t>
  </si>
  <si>
    <t>Юниоры 20 - 23 (07.05.1994)/23</t>
  </si>
  <si>
    <t>74,30</t>
  </si>
  <si>
    <t>1. Попов Игорь (КМС)</t>
  </si>
  <si>
    <t>Открытая (11.11.1989)/27</t>
  </si>
  <si>
    <t>73,70</t>
  </si>
  <si>
    <t xml:space="preserve">Железнодорожный/Московская область </t>
  </si>
  <si>
    <t>2. Харитонов Николай (КМС)</t>
  </si>
  <si>
    <t>Открытая (29.11.1986)/30</t>
  </si>
  <si>
    <t>74,50</t>
  </si>
  <si>
    <t xml:space="preserve">Фокин С. </t>
  </si>
  <si>
    <t>3. Губанов Алесей (КМС)</t>
  </si>
  <si>
    <t>Открытая (12.04.1986)/31</t>
  </si>
  <si>
    <t>132,5</t>
  </si>
  <si>
    <t>4. Гурьянов Сергей (1)</t>
  </si>
  <si>
    <t>Открытая (16.12.1990)/26</t>
  </si>
  <si>
    <t>72,50</t>
  </si>
  <si>
    <t>5. Кузнецов Арсений (2)</t>
  </si>
  <si>
    <t>Открытая (18.07.1983)/34</t>
  </si>
  <si>
    <t>71,20</t>
  </si>
  <si>
    <t>6. Чуднов Илья (1Ю)</t>
  </si>
  <si>
    <t>Открытая (31.08.1978)/39</t>
  </si>
  <si>
    <t>69,70</t>
  </si>
  <si>
    <t>Пивнов Владимир</t>
  </si>
  <si>
    <t>1. Пивнов Владимир (КМС)</t>
  </si>
  <si>
    <t>Ветераны 60 - 64 (05.11.1953)/63</t>
  </si>
  <si>
    <t>74,20</t>
  </si>
  <si>
    <t>1. Мещеряков Иван (1)</t>
  </si>
  <si>
    <t>Юноши 14 - 15 (02.09.2002)/15</t>
  </si>
  <si>
    <t>80,50</t>
  </si>
  <si>
    <t>1. Зотов Иван (МС)</t>
  </si>
  <si>
    <t>Юниоры 20 - 23 (09.02.1994)/23</t>
  </si>
  <si>
    <t>2. Реунов Сергей (МС)</t>
  </si>
  <si>
    <t>Юниоры 20 - 23 (09.05.1995)/22</t>
  </si>
  <si>
    <t>80,60</t>
  </si>
  <si>
    <t xml:space="preserve">Ротару А.А. </t>
  </si>
  <si>
    <t>1. Каземиров Владимир (МС)</t>
  </si>
  <si>
    <t>Открытая (28.09.1986)/31</t>
  </si>
  <si>
    <t>79,50</t>
  </si>
  <si>
    <t xml:space="preserve">Обухово/Московская область </t>
  </si>
  <si>
    <t>2. Черняков Алексей (КМС)</t>
  </si>
  <si>
    <t>Открытая (26.03.1978)/39</t>
  </si>
  <si>
    <t>82,20</t>
  </si>
  <si>
    <t>3. Белов Илья (КМС)</t>
  </si>
  <si>
    <t>Открытая (26.12.1989)/27</t>
  </si>
  <si>
    <t xml:space="preserve">Орехово-Зуево/Московская область </t>
  </si>
  <si>
    <t xml:space="preserve">Юдаев А. </t>
  </si>
  <si>
    <t>4. Карасев Олег (КМС)</t>
  </si>
  <si>
    <t>Открытая (28.11.1989)/27</t>
  </si>
  <si>
    <t>82,50</t>
  </si>
  <si>
    <t>5. Маллер Максим (КМС)</t>
  </si>
  <si>
    <t>Открытая (07.06.1981)/36</t>
  </si>
  <si>
    <t>77,60</t>
  </si>
  <si>
    <t>Лолаев Таймураз</t>
  </si>
  <si>
    <t>6. Лолаев Таймураз (КМС)</t>
  </si>
  <si>
    <t>Открытая (03.03.1990)/27</t>
  </si>
  <si>
    <t>81,20</t>
  </si>
  <si>
    <t>7. Алиев Эльнур</t>
  </si>
  <si>
    <t>Открытая (09.03.1982)/35</t>
  </si>
  <si>
    <t xml:space="preserve">Истра/Московская область </t>
  </si>
  <si>
    <t xml:space="preserve">Лазарев В.В. </t>
  </si>
  <si>
    <t>8. Завьялов Иван (1)</t>
  </si>
  <si>
    <t>Открытая (04.11.1998)/18</t>
  </si>
  <si>
    <t>81,10</t>
  </si>
  <si>
    <t xml:space="preserve">Электросталь/Московская область </t>
  </si>
  <si>
    <t>9. Романов Николай (2)</t>
  </si>
  <si>
    <t>Открытая (06.08.1993)/24</t>
  </si>
  <si>
    <t>80,40</t>
  </si>
  <si>
    <t>10. Голодников Николай (3)</t>
  </si>
  <si>
    <t>Открытая (02.09.1991)/26</t>
  </si>
  <si>
    <t>-. Захаров Илья</t>
  </si>
  <si>
    <t>Открытая (28.02.1981)/36</t>
  </si>
  <si>
    <t>80,00</t>
  </si>
  <si>
    <t xml:space="preserve">Жуковский/Московская область </t>
  </si>
  <si>
    <t>1. Платонов Алексей (КМС)</t>
  </si>
  <si>
    <t>Ветераны 40 - 44 (18.04.1976)/41</t>
  </si>
  <si>
    <t>78,00</t>
  </si>
  <si>
    <t xml:space="preserve">Бурлаков Д.Б. </t>
  </si>
  <si>
    <t>Семенов Александр</t>
  </si>
  <si>
    <t>2. Семенов Александр (1)</t>
  </si>
  <si>
    <t>Ветераны 40 - 44 (03.02.1977)/40</t>
  </si>
  <si>
    <t>1. Скокин Виктор (3)</t>
  </si>
  <si>
    <t>Ветераны 60 - 64 (20.07.1957)/60</t>
  </si>
  <si>
    <t>79,20</t>
  </si>
  <si>
    <t xml:space="preserve">Хламков А.Е. </t>
  </si>
  <si>
    <t>1. Чесноков Максим (КМС)</t>
  </si>
  <si>
    <t>Юниоры 20 - 23 (22.10.1996)/20</t>
  </si>
  <si>
    <t>86,60</t>
  </si>
  <si>
    <t>1. Фомичев Александр (КМС)</t>
  </si>
  <si>
    <t>Открытая (22.04.1990)/27</t>
  </si>
  <si>
    <t>87,10</t>
  </si>
  <si>
    <t>2. Брындин Олег (КМС)</t>
  </si>
  <si>
    <t>Открытая (21.06.1993)/24</t>
  </si>
  <si>
    <t>3. Манаенков Александр (КМС)</t>
  </si>
  <si>
    <t>Открытая (19.04.1992)/25</t>
  </si>
  <si>
    <t>89,40</t>
  </si>
  <si>
    <t xml:space="preserve">Красково/Московская область </t>
  </si>
  <si>
    <t xml:space="preserve">Манаенков А.Г. </t>
  </si>
  <si>
    <t>4. Скороход Александр (КМС)</t>
  </si>
  <si>
    <t>Открытая (04.10.1993)/24</t>
  </si>
  <si>
    <t>90,00</t>
  </si>
  <si>
    <t>Попов Владимир</t>
  </si>
  <si>
    <t>5. Попов Владимир (КМС)</t>
  </si>
  <si>
    <t>Открытая (27.10.1983)/33</t>
  </si>
  <si>
    <t>6. Быстров Ростислав (КМС)</t>
  </si>
  <si>
    <t>Открытая (03.01.1988)/29</t>
  </si>
  <si>
    <t xml:space="preserve">Солянков В.Г. </t>
  </si>
  <si>
    <t>7. Коков Алим (1)</t>
  </si>
  <si>
    <t>Открытая (29.08.1984)/33</t>
  </si>
  <si>
    <t xml:space="preserve">Любятинский М. </t>
  </si>
  <si>
    <t>8. Мотов Дмитрий (2)</t>
  </si>
  <si>
    <t>Открытая (06.12.1983)/33</t>
  </si>
  <si>
    <t>9. Бородулин Алексей (2)</t>
  </si>
  <si>
    <t>Открытая (02.04.1984)/33</t>
  </si>
  <si>
    <t>89,50</t>
  </si>
  <si>
    <t>-. Звянин Александр</t>
  </si>
  <si>
    <t>Открытая (27.04.1991)/26</t>
  </si>
  <si>
    <t>87,70</t>
  </si>
  <si>
    <t xml:space="preserve">Котельники/Московская область </t>
  </si>
  <si>
    <t xml:space="preserve">Воропаев В.А. </t>
  </si>
  <si>
    <t>-. Белов Андрей</t>
  </si>
  <si>
    <t>Открытая (29.12.1980)/36</t>
  </si>
  <si>
    <t>1. Сайфулин Руслан (1)</t>
  </si>
  <si>
    <t>Ветераны 45 - 49 (20.01.1972)/45</t>
  </si>
  <si>
    <t>88,80</t>
  </si>
  <si>
    <t>1. Волгин Павел (2)</t>
  </si>
  <si>
    <t>Юниоры 20 - 23 (06.10.1994)/23</t>
  </si>
  <si>
    <t>92,30</t>
  </si>
  <si>
    <t>2. Айвазян Андрей (2)</t>
  </si>
  <si>
    <t>Юниоры 20 - 23 (02.10.1994)/23</t>
  </si>
  <si>
    <t>94,90</t>
  </si>
  <si>
    <t>1. Лозовой Максим</t>
  </si>
  <si>
    <t>Открытая (25.09.1977)/40</t>
  </si>
  <si>
    <t xml:space="preserve">Фомин Ю. </t>
  </si>
  <si>
    <t>2. Шамсутдинов Сабир (+КМС)</t>
  </si>
  <si>
    <t>Открытая (07.09.1982)/35</t>
  </si>
  <si>
    <t>98,90</t>
  </si>
  <si>
    <t>3. Шевченко Роман (+КМС)</t>
  </si>
  <si>
    <t>Открытая (14.05.1985)/32</t>
  </si>
  <si>
    <t>97,90</t>
  </si>
  <si>
    <t>4. Назгаидзе Виктор (+КМС)</t>
  </si>
  <si>
    <t>Открытая (19.09.1981)/36</t>
  </si>
  <si>
    <t>98,30</t>
  </si>
  <si>
    <t>5. Винокуров Роман (КМС)</t>
  </si>
  <si>
    <t>Открытая (26.05.1984)/33</t>
  </si>
  <si>
    <t>99,10</t>
  </si>
  <si>
    <t>6. Майоров Владимир (+1)</t>
  </si>
  <si>
    <t>Открытая (14.08.1987)/30</t>
  </si>
  <si>
    <t>95,90</t>
  </si>
  <si>
    <t>1. Лозовой Максим (МС)</t>
  </si>
  <si>
    <t>Ветераны 40 - 44 (25.09.1977)/40</t>
  </si>
  <si>
    <t>Сазонов Вадим</t>
  </si>
  <si>
    <t>2. Сазонов Вадим (МС)</t>
  </si>
  <si>
    <t>Ветераны 40 - 44 (06.07.1975)/42</t>
  </si>
  <si>
    <t>99,70</t>
  </si>
  <si>
    <t>Дергачев Николай</t>
  </si>
  <si>
    <t>1. Дергачев Николай (КМС)</t>
  </si>
  <si>
    <t>Ветераны 55 - 59 (24.08.1960)/57</t>
  </si>
  <si>
    <t>98,20</t>
  </si>
  <si>
    <t>Бочарников Вадим</t>
  </si>
  <si>
    <t>1. Бочарников Вадим (+МСМК)</t>
  </si>
  <si>
    <t>Открытая (25.11.1986)/30</t>
  </si>
  <si>
    <t>109,40</t>
  </si>
  <si>
    <t>2. Бармин Евгений (МС)</t>
  </si>
  <si>
    <t>Открытая (16.07.1992)/25</t>
  </si>
  <si>
    <t>109,10</t>
  </si>
  <si>
    <t xml:space="preserve">Иванкин Д.Н. </t>
  </si>
  <si>
    <t>3. Селезнев Валерий (+МС)</t>
  </si>
  <si>
    <t>Открытая (11.03.1993)/24</t>
  </si>
  <si>
    <t>109,70</t>
  </si>
  <si>
    <t xml:space="preserve">Южаков А. </t>
  </si>
  <si>
    <t>-. Якунин Сергей</t>
  </si>
  <si>
    <t>Открытая (04.12.1982)/34</t>
  </si>
  <si>
    <t>107,70</t>
  </si>
  <si>
    <t>1. Иванов Вадим (МС)</t>
  </si>
  <si>
    <t>Ветераны 40 - 44 (24.12.1972)/44</t>
  </si>
  <si>
    <t>109,00</t>
  </si>
  <si>
    <t xml:space="preserve">Ванифантьев В.В. </t>
  </si>
  <si>
    <t>1. Харабадзе Кирилл (МС)</t>
  </si>
  <si>
    <t>Ветераны 45 - 49 (25.06.1972)/45</t>
  </si>
  <si>
    <t>108,60</t>
  </si>
  <si>
    <t>Киреев Дмитрий</t>
  </si>
  <si>
    <t>2. Киреев Дмитрий (КМС)</t>
  </si>
  <si>
    <t>Ветераны 45 - 49 (25.08.1969)/48</t>
  </si>
  <si>
    <t>108,70</t>
  </si>
  <si>
    <t>1. Сидельников Михаил (+МС)</t>
  </si>
  <si>
    <t>Открытая (15.03.1984)/33</t>
  </si>
  <si>
    <t>117,00</t>
  </si>
  <si>
    <t xml:space="preserve">Сходня/Московская область </t>
  </si>
  <si>
    <t xml:space="preserve">Виноградов В.В. </t>
  </si>
  <si>
    <t>2. Фролов Александр (КМС)</t>
  </si>
  <si>
    <t>Открытая (17.01.1988)/29</t>
  </si>
  <si>
    <t>122,10</t>
  </si>
  <si>
    <t>1. Чубаров Владимир (КМС)</t>
  </si>
  <si>
    <t>Ветераны 50 - 54 (03.04.1964)/53</t>
  </si>
  <si>
    <t>123,20</t>
  </si>
  <si>
    <t>Свентицкий Сергей</t>
  </si>
  <si>
    <t>1. Свентицкий Сергей</t>
  </si>
  <si>
    <t>1. Свентицкий Сергей (МС)</t>
  </si>
  <si>
    <t>Юниоры 20 - 23 (06.02.1994)/23</t>
  </si>
  <si>
    <t>126,60</t>
  </si>
  <si>
    <t xml:space="preserve">Рудько А. </t>
  </si>
  <si>
    <t>Открытая (06.02.1994)/23</t>
  </si>
  <si>
    <t>1. Бердник Артем (КМС)</t>
  </si>
  <si>
    <t>Ветераны 40 - 44 (13.04.1974)/43</t>
  </si>
  <si>
    <t>130,10</t>
  </si>
  <si>
    <t>1. Каныгин Сергей (МС)</t>
  </si>
  <si>
    <t>Ветераны 50 - 54 (24.01.1966)/51</t>
  </si>
  <si>
    <t>136,00</t>
  </si>
  <si>
    <t>1. Попов Владимир (КМС)</t>
  </si>
  <si>
    <t>Ветераны 60 - 64 (26.02.1956)/61</t>
  </si>
  <si>
    <t xml:space="preserve">Тверская </t>
  </si>
  <si>
    <t xml:space="preserve">Тверь/Тверская область </t>
  </si>
  <si>
    <t xml:space="preserve">Пономарев В.А. </t>
  </si>
  <si>
    <t>-. Попов Владимир</t>
  </si>
  <si>
    <t>ВЕСОВАЯ КАТЕГОРИЯ   140+</t>
  </si>
  <si>
    <t>Мишуренков Роман</t>
  </si>
  <si>
    <t>1. Мишуренков Роман (+МСМК)</t>
  </si>
  <si>
    <t>Открытая (16.02.1982)/35</t>
  </si>
  <si>
    <t>141,50</t>
  </si>
  <si>
    <t>81,8888</t>
  </si>
  <si>
    <t>80,4330</t>
  </si>
  <si>
    <t>78,2400</t>
  </si>
  <si>
    <t>110,8380</t>
  </si>
  <si>
    <t>123,7950</t>
  </si>
  <si>
    <t>122,7380</t>
  </si>
  <si>
    <t>131,9939</t>
  </si>
  <si>
    <t>127,5170</t>
  </si>
  <si>
    <t xml:space="preserve">Ветераны 55 - 59 </t>
  </si>
  <si>
    <t>126,3293</t>
  </si>
  <si>
    <t>1. Камышникова Марина</t>
  </si>
  <si>
    <t>Открытая (16.02.1979)/38</t>
  </si>
  <si>
    <t>52,00</t>
  </si>
  <si>
    <t xml:space="preserve">Мавренков С.В. </t>
  </si>
  <si>
    <t>1. Блинкова Наталья</t>
  </si>
  <si>
    <t>Открытая (20.03.1991)/26</t>
  </si>
  <si>
    <t>55,90</t>
  </si>
  <si>
    <t>1. Таскаева Екатерина</t>
  </si>
  <si>
    <t>Юниорки 20 - 23 (22.12.1993)/23</t>
  </si>
  <si>
    <t>Открытая (22.12.1993)/23</t>
  </si>
  <si>
    <t>1. Золотых Дмитрий</t>
  </si>
  <si>
    <t>Открытая (31.07.1987)/30</t>
  </si>
  <si>
    <t>92,90</t>
  </si>
  <si>
    <t>Веденеева Анастасия</t>
  </si>
  <si>
    <t>1. Веденеева Анастасия (+МСМК)</t>
  </si>
  <si>
    <t>Открытая (21.11.1981)/35</t>
  </si>
  <si>
    <t>46,70</t>
  </si>
  <si>
    <t xml:space="preserve">Бойко Ю.М. </t>
  </si>
  <si>
    <t>2. Лукасевич Мария (+МС)</t>
  </si>
  <si>
    <t>Открытая (28.04.1989)/28</t>
  </si>
  <si>
    <t>47,30</t>
  </si>
  <si>
    <t xml:space="preserve">Афанасьев Н. </t>
  </si>
  <si>
    <t>3. Морозова Анна (+2)</t>
  </si>
  <si>
    <t>Открытая (13.04.1984)/33</t>
  </si>
  <si>
    <t>48,00</t>
  </si>
  <si>
    <t>1. Андреева Елиавета (+МС)</t>
  </si>
  <si>
    <t>Открытая (31.07.1989)/28</t>
  </si>
  <si>
    <t>51,50</t>
  </si>
  <si>
    <t>2. Алехина Елена (+КМС)</t>
  </si>
  <si>
    <t>Открытая (21.05.1988)/29</t>
  </si>
  <si>
    <t xml:space="preserve">Никитин Ю. </t>
  </si>
  <si>
    <t>1. Кущ Виктория (+КМС)</t>
  </si>
  <si>
    <t>-. Федорова Анастасия</t>
  </si>
  <si>
    <t>Открытая (09.05.1983)/34</t>
  </si>
  <si>
    <t>53,50</t>
  </si>
  <si>
    <t xml:space="preserve">Смирнов Д. </t>
  </si>
  <si>
    <t>1. Виноградова Ольга (+МС)</t>
  </si>
  <si>
    <t>Открытая (27.11.1990)/26</t>
  </si>
  <si>
    <t>57,70</t>
  </si>
  <si>
    <t>2. Огородникова Мария (+КМС)</t>
  </si>
  <si>
    <t>Открытая (28.04.1982)/35</t>
  </si>
  <si>
    <t>59,40</t>
  </si>
  <si>
    <t>3. Чаплыгина Екатерина (+КМС)</t>
  </si>
  <si>
    <t>Открытая (17.09.1991)/26</t>
  </si>
  <si>
    <t>57,90</t>
  </si>
  <si>
    <t xml:space="preserve">Афанасьев Н.Н. </t>
  </si>
  <si>
    <t>1. Руссу Нина (+1)</t>
  </si>
  <si>
    <t>Открытая (12.06.1982)/35</t>
  </si>
  <si>
    <t>61,60</t>
  </si>
  <si>
    <t>1. Кафтайлова Наталья (+1)</t>
  </si>
  <si>
    <t>66,60</t>
  </si>
  <si>
    <t>1. Жаткина Татьяна (+2)</t>
  </si>
  <si>
    <t>Открытая (16.01.1991)/26</t>
  </si>
  <si>
    <t>73,20</t>
  </si>
  <si>
    <t xml:space="preserve">Лазарев В.В., Маркин Н. </t>
  </si>
  <si>
    <t>1. Кузьмин Павел (+3)</t>
  </si>
  <si>
    <t>Юниоры 20 - 23 (02.07.1995)/22</t>
  </si>
  <si>
    <t xml:space="preserve">Великие Луки/Псковская область </t>
  </si>
  <si>
    <t xml:space="preserve">Евсеев С.М. </t>
  </si>
  <si>
    <t>2. Хорин Артур (+1Ю)</t>
  </si>
  <si>
    <t>Юниоры 20 - 23 (17.05.1995)/22</t>
  </si>
  <si>
    <t>61,50</t>
  </si>
  <si>
    <t xml:space="preserve">Титков Д.Н. </t>
  </si>
  <si>
    <t>1. Савостьянов Артем (+1)</t>
  </si>
  <si>
    <t>Открытая (15.08.1990)/27</t>
  </si>
  <si>
    <t>65,90</t>
  </si>
  <si>
    <t>2. Аржаев Сергей (+2)</t>
  </si>
  <si>
    <t>1. Сычев Владислав (+2)</t>
  </si>
  <si>
    <t>1. Котляров Сергей (+1)</t>
  </si>
  <si>
    <t>Юниоры 20 - 23 (03.05.1995)/22</t>
  </si>
  <si>
    <t>1. Артюшенко Сергей (КМС)</t>
  </si>
  <si>
    <t>Открытая (31.03.1980)/37</t>
  </si>
  <si>
    <t>1. Воронов Даниил (+2Ю)</t>
  </si>
  <si>
    <t>Евсеев Сергей</t>
  </si>
  <si>
    <t>1. Евсеев Сергей (+МСМК)</t>
  </si>
  <si>
    <t>Открытая (09.10.1990)/26</t>
  </si>
  <si>
    <t xml:space="preserve">Евсеев М.И. </t>
  </si>
  <si>
    <t>2. Новожилов Игорь (+МС)</t>
  </si>
  <si>
    <t>Открытая (09.12.1989)/27</t>
  </si>
  <si>
    <t>3. Каземиров Владимир (+КМС)</t>
  </si>
  <si>
    <t>4. Константинов Сергей (+КМС)</t>
  </si>
  <si>
    <t>Открытая (12.10.1979)/37</t>
  </si>
  <si>
    <t>79,80</t>
  </si>
  <si>
    <t xml:space="preserve">Калининград/Калининградская область </t>
  </si>
  <si>
    <t>197,5</t>
  </si>
  <si>
    <t>5. Навоев Дмитрий (+КМС)</t>
  </si>
  <si>
    <t>Открытая (26.03.1985)/32</t>
  </si>
  <si>
    <t xml:space="preserve">Починок/Смоленская область </t>
  </si>
  <si>
    <t>6. Алиев Эльнур (+КМС)</t>
  </si>
  <si>
    <t>7. Алешин Олег (+1)</t>
  </si>
  <si>
    <t>Открытая (15.09.1985)/32</t>
  </si>
  <si>
    <t>81,70</t>
  </si>
  <si>
    <t xml:space="preserve">Морозов Н. </t>
  </si>
  <si>
    <t>8. Голодников Николай (+3)</t>
  </si>
  <si>
    <t>1. Семенов Александр (+1)</t>
  </si>
  <si>
    <t>1. Буторин Михаил (+1)</t>
  </si>
  <si>
    <t>Ветераны 45 - 49 (14.01.1971)/46</t>
  </si>
  <si>
    <t>81,90</t>
  </si>
  <si>
    <t>1. Щегольский Александр (+КМС)</t>
  </si>
  <si>
    <t>Юниоры 20 - 23 (23.12.1996)/20</t>
  </si>
  <si>
    <t xml:space="preserve">Александров/Владимирская область </t>
  </si>
  <si>
    <t>Ломанов Кирилл</t>
  </si>
  <si>
    <t>1. Ломанов Кирилл (+Элита)</t>
  </si>
  <si>
    <t>Открытая (15.07.1987)/30</t>
  </si>
  <si>
    <t>89,10</t>
  </si>
  <si>
    <t>305,0</t>
  </si>
  <si>
    <t>2. Гришин Сергей (+МС)</t>
  </si>
  <si>
    <t>Открытая (27.06.1978)/39</t>
  </si>
  <si>
    <t xml:space="preserve">Кубинка/Московская область </t>
  </si>
  <si>
    <t>3. Шелестов Александр (+МС)</t>
  </si>
  <si>
    <t>Открытая (03.02.1993)/24</t>
  </si>
  <si>
    <t>Лексин Никита</t>
  </si>
  <si>
    <t>1. Лексин Никита (+КМС)</t>
  </si>
  <si>
    <t>Юниоры 20 - 23 (29.07.1994)/23</t>
  </si>
  <si>
    <t>96,90</t>
  </si>
  <si>
    <t>1. Моисеев Роман (+МС)</t>
  </si>
  <si>
    <t>2. Родин Павел (+МС)</t>
  </si>
  <si>
    <t>Открытая (02.06.1985)/32</t>
  </si>
  <si>
    <t>3. Кафтайлов Антон (+МС)</t>
  </si>
  <si>
    <t>Открытая (16.03.1992)/25</t>
  </si>
  <si>
    <t>4. Коновалов Алексей (+КМС)</t>
  </si>
  <si>
    <t>Открытая (06.07.1992)/25</t>
  </si>
  <si>
    <t>98,00</t>
  </si>
  <si>
    <t>1. Ветренко Михаил (+МС)</t>
  </si>
  <si>
    <t>Юноши 16 - 19 (14.10.1997)/19</t>
  </si>
  <si>
    <t>102,90</t>
  </si>
  <si>
    <t>247,5</t>
  </si>
  <si>
    <t>1. Локотков Александр (+3)</t>
  </si>
  <si>
    <t>1. Кулебякин Руслан (+МС)</t>
  </si>
  <si>
    <t>Открытая (26.02.1991)/26</t>
  </si>
  <si>
    <t xml:space="preserve">Таганрог/Ростовская область </t>
  </si>
  <si>
    <t xml:space="preserve">Стародубский С.В. </t>
  </si>
  <si>
    <t>Скачков Дмитрий</t>
  </si>
  <si>
    <t>1. Скачков Дмитрий (+МС)</t>
  </si>
  <si>
    <t>Открытая (22.02.1977)/40</t>
  </si>
  <si>
    <t>143,60</t>
  </si>
  <si>
    <t xml:space="preserve">Мозголов А.С. </t>
  </si>
  <si>
    <t>172,2652</t>
  </si>
  <si>
    <t>135,6520</t>
  </si>
  <si>
    <t>202,1355</t>
  </si>
  <si>
    <t>175,3440</t>
  </si>
  <si>
    <t>167,0100</t>
  </si>
  <si>
    <t>1. Камышникова Марина (+Элита)</t>
  </si>
  <si>
    <t>152,5</t>
  </si>
  <si>
    <t>1. Дережовский Максим (+МС)</t>
  </si>
  <si>
    <t>Открытая (20.03.1984)/33</t>
  </si>
  <si>
    <t>98,40</t>
  </si>
  <si>
    <t xml:space="preserve">Пряхин С.В. </t>
  </si>
  <si>
    <t>1. Голубев Дмитрий</t>
  </si>
  <si>
    <t>Открытая (16.09.1986)/31</t>
  </si>
  <si>
    <t>110,30</t>
  </si>
  <si>
    <t>Продвижение 2017
WPU c ДК Становая тяга в Многослойной экипировке
Москва 7 октября 2017 г.</t>
  </si>
  <si>
    <t>Продвижение 2017
WPU c ДК Становая тяга в Однослойной экипировке
Москва 7 октября 2017 г.</t>
  </si>
  <si>
    <t>Продвижение 2017
WPU c ДК Становая тяга Безэкипировочная
Москва 7 октября 2017 г.</t>
  </si>
  <si>
    <t>Продвижение 2017
WPU c ДК Жим лежа в Однослойной экипировке
Москва 7 октября 2017 г.</t>
  </si>
  <si>
    <t>Продвижение 2017
WPU c ДК Жим лежа Безэкипировочный
Москва 7 октября 2017 г.</t>
  </si>
  <si>
    <t>Продвижение 2017
WPU c ДК Пауэрлифтинг Безэкипировочный
Москва 7 октября 2017 г.</t>
  </si>
  <si>
    <t>Продвижение 2017
WPU c ДК Пауэрлифтинг Классический
Москва 7 октября 2017 г.</t>
  </si>
  <si>
    <t>Продвижение 2017
WPU Становая тяга в Однослойной экипировке
Москва 7 октября 2017 г.</t>
  </si>
  <si>
    <t>Продвижение 2017
WPU Становая тяга Безэкипировочная
Москва 7 октября 2017 г.</t>
  </si>
  <si>
    <t>Продвижение 2017
WPU Жим лежа в Многослойной экипировке
Москва 7 октября 2017 г.</t>
  </si>
  <si>
    <t>Продвижение 2017
WPU Пауэрлифтинг в Многослойной экипировке
Москва 7 октября 2017 г.</t>
  </si>
  <si>
    <t>Продвижение 2017
WPU Пауэрлифтинг в Однослойной экипировке
Москва 7 октября 2017 г.</t>
  </si>
  <si>
    <t>Продвижение 2017
WPU Пауэрлифтинг Безэкипировочный
Москва 7 октября 2017 г.</t>
  </si>
  <si>
    <t>Продвижение 2017
WPU Пауэрлифтинг Классический
Москва 7 октября 2017 г.</t>
  </si>
  <si>
    <t>27,0</t>
  </si>
  <si>
    <t>30,0</t>
  </si>
  <si>
    <t>1. Ипатова Наталия (+2)</t>
  </si>
  <si>
    <t>19,0</t>
  </si>
  <si>
    <t>2. Якомульская Дарья (+3)</t>
  </si>
  <si>
    <t xml:space="preserve">Поляков А. </t>
  </si>
  <si>
    <t>38,0</t>
  </si>
  <si>
    <t>27,5</t>
  </si>
  <si>
    <t xml:space="preserve">Красногорск/Московская область </t>
  </si>
  <si>
    <t>Открытая (01.01.1990)/27</t>
  </si>
  <si>
    <t>1. Чернышина Екатерина (+1)</t>
  </si>
  <si>
    <t>Повторы</t>
  </si>
  <si>
    <t>Вес</t>
  </si>
  <si>
    <t>Тоннаж</t>
  </si>
  <si>
    <t>Жим мн. повт.</t>
  </si>
  <si>
    <t>Gloss</t>
  </si>
  <si>
    <t>Продвижение 2017
WPU Народный жим (1/2 вес)
Москва 7 октября 2017 г.</t>
  </si>
  <si>
    <t>910,5731</t>
  </si>
  <si>
    <t>1402,5</t>
  </si>
  <si>
    <t xml:space="preserve">Мастера 40 - 49 </t>
  </si>
  <si>
    <t>1498,3353</t>
  </si>
  <si>
    <t>2420,0</t>
  </si>
  <si>
    <t>1658,3233</t>
  </si>
  <si>
    <t>1890,0</t>
  </si>
  <si>
    <t xml:space="preserve">Мастера 50 - 59 </t>
  </si>
  <si>
    <t>1721,7040</t>
  </si>
  <si>
    <t>2900,0</t>
  </si>
  <si>
    <t>1904,9520</t>
  </si>
  <si>
    <t>2800,0</t>
  </si>
  <si>
    <t>Большаков Владимир</t>
  </si>
  <si>
    <t xml:space="preserve">Gloss </t>
  </si>
  <si>
    <t xml:space="preserve">Мастера </t>
  </si>
  <si>
    <t>660,8875</t>
  </si>
  <si>
    <t>812,5</t>
  </si>
  <si>
    <t>Каравайчик Алексей</t>
  </si>
  <si>
    <t>1132,7690</t>
  </si>
  <si>
    <t>1595,0</t>
  </si>
  <si>
    <t>Петров Юрий</t>
  </si>
  <si>
    <t>1309,3125</t>
  </si>
  <si>
    <t>1875,0</t>
  </si>
  <si>
    <t>Балугин Николай</t>
  </si>
  <si>
    <t>1365,8480</t>
  </si>
  <si>
    <t>1423,4535</t>
  </si>
  <si>
    <t>1480,1000</t>
  </si>
  <si>
    <t>2562,5</t>
  </si>
  <si>
    <t>Матюшенко Иван</t>
  </si>
  <si>
    <t>1496,1510</t>
  </si>
  <si>
    <t>2430,0</t>
  </si>
  <si>
    <t>Ярошецкий Владимир</t>
  </si>
  <si>
    <t>1538,7711</t>
  </si>
  <si>
    <t>2665,0</t>
  </si>
  <si>
    <t>Зуев Геннадий</t>
  </si>
  <si>
    <t>1619,1225</t>
  </si>
  <si>
    <t>2550,0</t>
  </si>
  <si>
    <t>Терехин Юрий</t>
  </si>
  <si>
    <t>1759,4150</t>
  </si>
  <si>
    <t>2380,0</t>
  </si>
  <si>
    <t>Вагин Станислав</t>
  </si>
  <si>
    <t>1768,9444</t>
  </si>
  <si>
    <t>2722,5</t>
  </si>
  <si>
    <t>1867,6000</t>
  </si>
  <si>
    <t>1930,4469</t>
  </si>
  <si>
    <t>3062,5</t>
  </si>
  <si>
    <t>Архипов Иван</t>
  </si>
  <si>
    <t>1950,0460</t>
  </si>
  <si>
    <t>2660,0</t>
  </si>
  <si>
    <t>Гордеев Артем</t>
  </si>
  <si>
    <t>2191,3064</t>
  </si>
  <si>
    <t>3792,5</t>
  </si>
  <si>
    <t>Филиппин Андрей</t>
  </si>
  <si>
    <t>1513,6099</t>
  </si>
  <si>
    <t>2497,5</t>
  </si>
  <si>
    <t>Сорокин Егор</t>
  </si>
  <si>
    <t>2380,3850</t>
  </si>
  <si>
    <t>3220,0</t>
  </si>
  <si>
    <t>Камалян Артур</t>
  </si>
  <si>
    <t>22,0</t>
  </si>
  <si>
    <t>Мастера 40 - 49 (25.08.1969)/48</t>
  </si>
  <si>
    <t>1. Киреев Дмитрий (+КМС)</t>
  </si>
  <si>
    <t>Открытая (25.08.1969)/48</t>
  </si>
  <si>
    <t>4. Киреев Дмитрий</t>
  </si>
  <si>
    <t xml:space="preserve">Корнишин В.В. </t>
  </si>
  <si>
    <t>25,0</t>
  </si>
  <si>
    <t>101,60</t>
  </si>
  <si>
    <t>Открытая (16.11.1984)/32</t>
  </si>
  <si>
    <t>3. Матюшенко Иван (+МС)</t>
  </si>
  <si>
    <t xml:space="preserve">Коваленко К. </t>
  </si>
  <si>
    <t>26,0</t>
  </si>
  <si>
    <t>101,70</t>
  </si>
  <si>
    <t>Открытая (20.08.1985)/32</t>
  </si>
  <si>
    <t>2. Зуев Геннадий (+МС)</t>
  </si>
  <si>
    <t>37,0</t>
  </si>
  <si>
    <t>101,50</t>
  </si>
  <si>
    <t>Открытая (02.01.1982)/35</t>
  </si>
  <si>
    <t>1. Филиппин Андрей (+Элита)</t>
  </si>
  <si>
    <t>29,0</t>
  </si>
  <si>
    <t>Мастера 40 - 49 (06.07.1975)/42</t>
  </si>
  <si>
    <t>1. Сазонов Вадим (+МС)</t>
  </si>
  <si>
    <t>91,60</t>
  </si>
  <si>
    <t>Юниоры 20 - 23 (22.08.1994)/23</t>
  </si>
  <si>
    <t>1. Сорокин Егор (+МС)</t>
  </si>
  <si>
    <t xml:space="preserve">Сулейманов Д.Э. </t>
  </si>
  <si>
    <t>Открытая (06.06.1982)/35</t>
  </si>
  <si>
    <t>3. Ярошецкий Владимир (+КМС)</t>
  </si>
  <si>
    <t xml:space="preserve">Барышников А. </t>
  </si>
  <si>
    <t>84,50</t>
  </si>
  <si>
    <t>Открытая (23.05.1975)/42</t>
  </si>
  <si>
    <t>2. Терехин Юрий (+МС)</t>
  </si>
  <si>
    <t>85,50</t>
  </si>
  <si>
    <t>Открытая (18.01.1996)/21</t>
  </si>
  <si>
    <t>1. Архипов Иван</t>
  </si>
  <si>
    <t>Юниоры 20 - 23 (18.01.1996)/21</t>
  </si>
  <si>
    <t>1. Архипов Иван (+МСМК)</t>
  </si>
  <si>
    <t>17,0</t>
  </si>
  <si>
    <t>Мастера 40 - 49 (03.02.1977)/40</t>
  </si>
  <si>
    <t>2. Семенов Александр (+2)</t>
  </si>
  <si>
    <t>78,40</t>
  </si>
  <si>
    <t>Мастера 40 - 49 (24.05.1975)/42</t>
  </si>
  <si>
    <t>1. Большаков Владимир (+МСМК)</t>
  </si>
  <si>
    <t>33,0</t>
  </si>
  <si>
    <t>2. Лолаев Таймураз (+МС)</t>
  </si>
  <si>
    <t>Открытая (24.05.1975)/42</t>
  </si>
  <si>
    <t>1. Большаков Владимир</t>
  </si>
  <si>
    <t>Открытая (12.06.1984)/33</t>
  </si>
  <si>
    <t>4. Петров Юрий (+1)</t>
  </si>
  <si>
    <t xml:space="preserve">Корнишин В. В. </t>
  </si>
  <si>
    <t>73,60</t>
  </si>
  <si>
    <t>Открытая (24.07.1987)/30</t>
  </si>
  <si>
    <t>3. Балугин Николай (+1)</t>
  </si>
  <si>
    <t>34,0</t>
  </si>
  <si>
    <t>68,50</t>
  </si>
  <si>
    <t>Открытая (05.02.1987)/30</t>
  </si>
  <si>
    <t>2. Вагин Станислав (+МС)</t>
  </si>
  <si>
    <t xml:space="preserve">Большаков В. </t>
  </si>
  <si>
    <t>69,20</t>
  </si>
  <si>
    <t>Открытая (16.03.1983)/34</t>
  </si>
  <si>
    <t>1. Гордеев Артем (+МСМК)</t>
  </si>
  <si>
    <t>46,0</t>
  </si>
  <si>
    <t>Юниоры 20 - 23 (19.12.1993)/23</t>
  </si>
  <si>
    <t>1. Камалян Артур (+Элита)</t>
  </si>
  <si>
    <t>28,0</t>
  </si>
  <si>
    <t>Мастера 50 - 59 (27.05.1965)/52</t>
  </si>
  <si>
    <t>1. Чистяков Игорь (1)</t>
  </si>
  <si>
    <t>13,0</t>
  </si>
  <si>
    <t>Открытая (19.09.1984)/33</t>
  </si>
  <si>
    <t>2. Каравайчик Алексей</t>
  </si>
  <si>
    <t>Открытая (27.05.1965)/52</t>
  </si>
  <si>
    <t>Продвижение 2017
WPU с ДК Народный жим 1 вес
Москва 7 октября 2017 г.</t>
  </si>
  <si>
    <t xml:space="preserve">Подвижной М. </t>
  </si>
  <si>
    <t>47,70</t>
  </si>
  <si>
    <t>1. Гусева Мария (+2)</t>
  </si>
  <si>
    <t>Продвижение 2017
WPU Народный жим 1/2 веса
Москва 7 октября 2017 г.</t>
  </si>
  <si>
    <t>3913,2021</t>
  </si>
  <si>
    <t>5510,0</t>
  </si>
  <si>
    <t>Никитин Роман</t>
  </si>
  <si>
    <t xml:space="preserve">Мишта Ю.П. </t>
  </si>
  <si>
    <t>15,0</t>
  </si>
  <si>
    <t>121,80</t>
  </si>
  <si>
    <t>Открытая (09.09.1980)/37</t>
  </si>
  <si>
    <t>1. Монахов Василий (+2)</t>
  </si>
  <si>
    <t xml:space="preserve">Чидингов П.Д. </t>
  </si>
  <si>
    <t>104,10</t>
  </si>
  <si>
    <t>Открытая (02.08.1992)/25</t>
  </si>
  <si>
    <t>1. Долгачев Алексей (+КМС)</t>
  </si>
  <si>
    <t>23,0</t>
  </si>
  <si>
    <t>Мастера 40 - 49 (05.07.1971)/46</t>
  </si>
  <si>
    <t>1. Никишин Сергей (+1)</t>
  </si>
  <si>
    <t>99,80</t>
  </si>
  <si>
    <t>Открытая (31.12.1982)/34</t>
  </si>
  <si>
    <t>3. Шабанов Максим (+КМС)</t>
  </si>
  <si>
    <t>32,0</t>
  </si>
  <si>
    <t>90,30</t>
  </si>
  <si>
    <t>Открытая (19.06.1986)/31</t>
  </si>
  <si>
    <t>2. Мелякин Алексей (+МС)</t>
  </si>
  <si>
    <t xml:space="preserve">Исаев А. </t>
  </si>
  <si>
    <t>90,80</t>
  </si>
  <si>
    <t>Открытая (19.01.1990)/27</t>
  </si>
  <si>
    <t>1. Ковшин Эдуард (+Элита)</t>
  </si>
  <si>
    <t>39,0</t>
  </si>
  <si>
    <t>Мастера 40 - 49 (08.05.1976)/41</t>
  </si>
  <si>
    <t>1. Вихарев Андрей (+МСМК)</t>
  </si>
  <si>
    <t xml:space="preserve">Луховицы/Московская область </t>
  </si>
  <si>
    <t>76,60</t>
  </si>
  <si>
    <t>Открытая (21.03.1983)/34</t>
  </si>
  <si>
    <t>1. Егоров Александр (+МСМК)</t>
  </si>
  <si>
    <t xml:space="preserve">Никулин Е. </t>
  </si>
  <si>
    <t>61,0</t>
  </si>
  <si>
    <t>69,30</t>
  </si>
  <si>
    <t>Открытая (17.06.1979)/38</t>
  </si>
  <si>
    <t>2. Заболотников Иван (+Элита)</t>
  </si>
  <si>
    <t>76,0</t>
  </si>
  <si>
    <t>Открытая (20.03.1993)/24</t>
  </si>
  <si>
    <t>1. Никитин Роман (+Элита)</t>
  </si>
  <si>
    <t>3,0</t>
  </si>
  <si>
    <t>57,50</t>
  </si>
  <si>
    <t>Открытая (10.10.1985)/31</t>
  </si>
  <si>
    <t>-. Когут Оксана</t>
  </si>
  <si>
    <t>Продвижение 2017
WPU Народный жим 1 вес
Москва 7 октября 2017 г.</t>
  </si>
  <si>
    <t>ДК отрицательный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</si>
</sst>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left"/>
    </xf>
    <xf numFmtId="49" fontId="0" fillId="33" borderId="14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left"/>
    </xf>
    <xf numFmtId="49" fontId="0" fillId="33" borderId="12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C7">
      <selection activeCell="V33" sqref="V33"/>
    </sheetView>
  </sheetViews>
  <sheetFormatPr defaultColWidth="9.00390625" defaultRowHeight="12.75"/>
  <cols>
    <col min="1" max="1" width="28.00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8.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6.375" style="5" bestFit="1" customWidth="1"/>
    <col min="22" max="22" width="16.25390625" style="4" customWidth="1"/>
    <col min="23" max="16384" width="9.125" style="4" customWidth="1"/>
  </cols>
  <sheetData>
    <row r="1" spans="1:21" s="3" customFormat="1" ht="28.5" customHeight="1">
      <c r="A1" s="32" t="s">
        <v>1127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1</v>
      </c>
      <c r="H3" s="42"/>
      <c r="I3" s="42"/>
      <c r="J3" s="42"/>
      <c r="K3" s="42" t="s">
        <v>2</v>
      </c>
      <c r="L3" s="42"/>
      <c r="M3" s="42"/>
      <c r="N3" s="42"/>
      <c r="O3" s="42" t="s">
        <v>3</v>
      </c>
      <c r="P3" s="42"/>
      <c r="Q3" s="42"/>
      <c r="R3" s="42"/>
      <c r="S3" s="42" t="s">
        <v>4</v>
      </c>
      <c r="T3" s="42" t="s">
        <v>6</v>
      </c>
      <c r="U3" s="43" t="s">
        <v>5</v>
      </c>
    </row>
    <row r="4" spans="1:21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1"/>
      <c r="T4" s="41"/>
      <c r="U4" s="44"/>
    </row>
    <row r="5" spans="1:20" ht="15">
      <c r="A5" s="45" t="s">
        <v>367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2" ht="12.75">
      <c r="A6" s="47" t="s">
        <v>369</v>
      </c>
      <c r="B6" s="47" t="s">
        <v>370</v>
      </c>
      <c r="C6" s="47" t="s">
        <v>371</v>
      </c>
      <c r="D6" s="47" t="str">
        <f>"1,3449"</f>
        <v>1,3449</v>
      </c>
      <c r="E6" s="47" t="s">
        <v>33</v>
      </c>
      <c r="F6" s="47" t="s">
        <v>34</v>
      </c>
      <c r="G6" s="48" t="s">
        <v>22</v>
      </c>
      <c r="H6" s="48" t="s">
        <v>203</v>
      </c>
      <c r="I6" s="48" t="s">
        <v>75</v>
      </c>
      <c r="J6" s="49"/>
      <c r="K6" s="48" t="s">
        <v>182</v>
      </c>
      <c r="L6" s="48" t="s">
        <v>372</v>
      </c>
      <c r="M6" s="48" t="s">
        <v>373</v>
      </c>
      <c r="N6" s="49"/>
      <c r="O6" s="48" t="s">
        <v>203</v>
      </c>
      <c r="P6" s="48" t="s">
        <v>75</v>
      </c>
      <c r="Q6" s="48" t="s">
        <v>374</v>
      </c>
      <c r="R6" s="49"/>
      <c r="S6" s="47" t="str">
        <f>"280,0"</f>
        <v>280,0</v>
      </c>
      <c r="T6" s="48" t="str">
        <f>"376,5720"</f>
        <v>376,5720</v>
      </c>
      <c r="U6" s="47" t="s">
        <v>57</v>
      </c>
      <c r="V6" s="50" t="s">
        <v>1333</v>
      </c>
    </row>
    <row r="8" spans="1:20" ht="15">
      <c r="A8" s="46" t="s">
        <v>162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ht="12.75">
      <c r="A9" s="9" t="s">
        <v>375</v>
      </c>
      <c r="B9" s="9" t="s">
        <v>376</v>
      </c>
      <c r="C9" s="9" t="s">
        <v>165</v>
      </c>
      <c r="D9" s="9" t="str">
        <f>"1,2504"</f>
        <v>1,2504</v>
      </c>
      <c r="E9" s="9" t="s">
        <v>33</v>
      </c>
      <c r="F9" s="9" t="s">
        <v>34</v>
      </c>
      <c r="G9" s="10" t="s">
        <v>309</v>
      </c>
      <c r="H9" s="10" t="s">
        <v>377</v>
      </c>
      <c r="I9" s="11" t="s">
        <v>378</v>
      </c>
      <c r="J9" s="11"/>
      <c r="K9" s="10" t="s">
        <v>166</v>
      </c>
      <c r="L9" s="10" t="s">
        <v>167</v>
      </c>
      <c r="M9" s="10" t="s">
        <v>379</v>
      </c>
      <c r="N9" s="11"/>
      <c r="O9" s="10" t="s">
        <v>203</v>
      </c>
      <c r="P9" s="10" t="s">
        <v>75</v>
      </c>
      <c r="Q9" s="10" t="s">
        <v>24</v>
      </c>
      <c r="R9" s="11"/>
      <c r="S9" s="9" t="str">
        <f>"265,0"</f>
        <v>265,0</v>
      </c>
      <c r="T9" s="10" t="str">
        <f>"331,3560"</f>
        <v>331,3560</v>
      </c>
      <c r="U9" s="9" t="s">
        <v>380</v>
      </c>
    </row>
    <row r="10" spans="1:21" ht="12.75">
      <c r="A10" s="12" t="s">
        <v>381</v>
      </c>
      <c r="B10" s="12" t="s">
        <v>382</v>
      </c>
      <c r="C10" s="12" t="s">
        <v>383</v>
      </c>
      <c r="D10" s="12" t="str">
        <f>"1,2769"</f>
        <v>1,2769</v>
      </c>
      <c r="E10" s="12" t="s">
        <v>33</v>
      </c>
      <c r="F10" s="12" t="s">
        <v>34</v>
      </c>
      <c r="G10" s="13" t="s">
        <v>166</v>
      </c>
      <c r="H10" s="13" t="s">
        <v>379</v>
      </c>
      <c r="I10" s="14" t="s">
        <v>168</v>
      </c>
      <c r="J10" s="14"/>
      <c r="K10" s="13" t="s">
        <v>174</v>
      </c>
      <c r="L10" s="13" t="s">
        <v>175</v>
      </c>
      <c r="M10" s="13" t="s">
        <v>176</v>
      </c>
      <c r="N10" s="14"/>
      <c r="O10" s="13" t="s">
        <v>273</v>
      </c>
      <c r="P10" s="13" t="s">
        <v>384</v>
      </c>
      <c r="Q10" s="14" t="s">
        <v>76</v>
      </c>
      <c r="R10" s="14"/>
      <c r="S10" s="12" t="str">
        <f>"187,5"</f>
        <v>187,5</v>
      </c>
      <c r="T10" s="13" t="str">
        <f>"239,4188"</f>
        <v>239,4188</v>
      </c>
      <c r="U10" s="12" t="s">
        <v>44</v>
      </c>
    </row>
    <row r="12" spans="1:20" ht="15">
      <c r="A12" s="46" t="s">
        <v>170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1" ht="12.75">
      <c r="A13" s="9" t="s">
        <v>385</v>
      </c>
      <c r="B13" s="9" t="s">
        <v>386</v>
      </c>
      <c r="C13" s="9" t="s">
        <v>387</v>
      </c>
      <c r="D13" s="9" t="str">
        <f>"1,1916"</f>
        <v>1,1916</v>
      </c>
      <c r="E13" s="9" t="s">
        <v>33</v>
      </c>
      <c r="F13" s="9" t="s">
        <v>34</v>
      </c>
      <c r="G13" s="10" t="s">
        <v>378</v>
      </c>
      <c r="H13" s="10" t="s">
        <v>388</v>
      </c>
      <c r="I13" s="10" t="s">
        <v>389</v>
      </c>
      <c r="J13" s="11"/>
      <c r="K13" s="10" t="s">
        <v>182</v>
      </c>
      <c r="L13" s="11" t="s">
        <v>372</v>
      </c>
      <c r="M13" s="11" t="s">
        <v>372</v>
      </c>
      <c r="N13" s="11"/>
      <c r="O13" s="10" t="s">
        <v>374</v>
      </c>
      <c r="P13" s="10" t="s">
        <v>224</v>
      </c>
      <c r="Q13" s="11" t="s">
        <v>19</v>
      </c>
      <c r="R13" s="11"/>
      <c r="S13" s="9" t="str">
        <f>"272,5"</f>
        <v>272,5</v>
      </c>
      <c r="T13" s="10" t="str">
        <f>"324,7110"</f>
        <v>324,7110</v>
      </c>
      <c r="U13" s="9" t="s">
        <v>390</v>
      </c>
    </row>
    <row r="14" spans="1:21" ht="12.75">
      <c r="A14" s="12" t="s">
        <v>391</v>
      </c>
      <c r="B14" s="12" t="s">
        <v>392</v>
      </c>
      <c r="C14" s="12" t="s">
        <v>393</v>
      </c>
      <c r="D14" s="12" t="str">
        <f>"1,2106"</f>
        <v>1,2106</v>
      </c>
      <c r="E14" s="12" t="s">
        <v>33</v>
      </c>
      <c r="F14" s="12" t="s">
        <v>34</v>
      </c>
      <c r="G14" s="13" t="s">
        <v>394</v>
      </c>
      <c r="H14" s="14" t="s">
        <v>149</v>
      </c>
      <c r="I14" s="13" t="s">
        <v>378</v>
      </c>
      <c r="J14" s="14"/>
      <c r="K14" s="13" t="s">
        <v>182</v>
      </c>
      <c r="L14" s="13" t="s">
        <v>373</v>
      </c>
      <c r="M14" s="13" t="s">
        <v>395</v>
      </c>
      <c r="N14" s="14"/>
      <c r="O14" s="13" t="s">
        <v>149</v>
      </c>
      <c r="P14" s="13" t="s">
        <v>388</v>
      </c>
      <c r="Q14" s="13" t="s">
        <v>203</v>
      </c>
      <c r="R14" s="14"/>
      <c r="S14" s="12" t="str">
        <f>"255,0"</f>
        <v>255,0</v>
      </c>
      <c r="T14" s="13" t="str">
        <f>"308,7030"</f>
        <v>308,7030</v>
      </c>
      <c r="U14" s="12" t="s">
        <v>44</v>
      </c>
    </row>
    <row r="16" spans="1:20" ht="15">
      <c r="A16" s="46" t="s">
        <v>177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1" ht="12.75">
      <c r="A17" s="9" t="s">
        <v>396</v>
      </c>
      <c r="B17" s="9" t="s">
        <v>397</v>
      </c>
      <c r="C17" s="9" t="s">
        <v>398</v>
      </c>
      <c r="D17" s="9" t="str">
        <f>"1,1221"</f>
        <v>1,1221</v>
      </c>
      <c r="E17" s="9" t="s">
        <v>33</v>
      </c>
      <c r="F17" s="9" t="s">
        <v>34</v>
      </c>
      <c r="G17" s="10" t="s">
        <v>23</v>
      </c>
      <c r="H17" s="10" t="s">
        <v>24</v>
      </c>
      <c r="I17" s="10" t="s">
        <v>374</v>
      </c>
      <c r="J17" s="11"/>
      <c r="K17" s="10" t="s">
        <v>395</v>
      </c>
      <c r="L17" s="11" t="s">
        <v>166</v>
      </c>
      <c r="M17" s="11" t="s">
        <v>166</v>
      </c>
      <c r="N17" s="11"/>
      <c r="O17" s="10" t="s">
        <v>224</v>
      </c>
      <c r="P17" s="10" t="s">
        <v>73</v>
      </c>
      <c r="Q17" s="11" t="s">
        <v>399</v>
      </c>
      <c r="R17" s="11"/>
      <c r="S17" s="9" t="str">
        <f>"297,5"</f>
        <v>297,5</v>
      </c>
      <c r="T17" s="10" t="str">
        <f>"333,8247"</f>
        <v>333,8247</v>
      </c>
      <c r="U17" s="9" t="s">
        <v>400</v>
      </c>
    </row>
    <row r="18" spans="1:21" ht="12.75">
      <c r="A18" s="23" t="s">
        <v>401</v>
      </c>
      <c r="B18" s="23" t="s">
        <v>402</v>
      </c>
      <c r="C18" s="23" t="s">
        <v>403</v>
      </c>
      <c r="D18" s="23" t="str">
        <f>"1,1447"</f>
        <v>1,1447</v>
      </c>
      <c r="E18" s="23" t="s">
        <v>33</v>
      </c>
      <c r="F18" s="23" t="s">
        <v>34</v>
      </c>
      <c r="G18" s="24" t="s">
        <v>394</v>
      </c>
      <c r="H18" s="24" t="s">
        <v>378</v>
      </c>
      <c r="I18" s="24" t="s">
        <v>22</v>
      </c>
      <c r="J18" s="25"/>
      <c r="K18" s="24" t="s">
        <v>182</v>
      </c>
      <c r="L18" s="24" t="s">
        <v>373</v>
      </c>
      <c r="M18" s="25" t="s">
        <v>166</v>
      </c>
      <c r="N18" s="25"/>
      <c r="O18" s="24" t="s">
        <v>22</v>
      </c>
      <c r="P18" s="24" t="s">
        <v>23</v>
      </c>
      <c r="Q18" s="24" t="s">
        <v>374</v>
      </c>
      <c r="R18" s="25"/>
      <c r="S18" s="23" t="str">
        <f>"270,0"</f>
        <v>270,0</v>
      </c>
      <c r="T18" s="24" t="str">
        <f>"309,0690"</f>
        <v>309,0690</v>
      </c>
      <c r="U18" s="23" t="s">
        <v>404</v>
      </c>
    </row>
    <row r="19" spans="1:21" ht="12.75">
      <c r="A19" s="12" t="s">
        <v>405</v>
      </c>
      <c r="B19" s="12" t="s">
        <v>406</v>
      </c>
      <c r="C19" s="12" t="s">
        <v>407</v>
      </c>
      <c r="D19" s="12" t="str">
        <f>"1,1192"</f>
        <v>1,1192</v>
      </c>
      <c r="E19" s="12" t="s">
        <v>33</v>
      </c>
      <c r="F19" s="12" t="s">
        <v>34</v>
      </c>
      <c r="G19" s="14" t="s">
        <v>374</v>
      </c>
      <c r="H19" s="14" t="s">
        <v>374</v>
      </c>
      <c r="I19" s="14" t="s">
        <v>208</v>
      </c>
      <c r="J19" s="14"/>
      <c r="K19" s="14" t="s">
        <v>373</v>
      </c>
      <c r="L19" s="14"/>
      <c r="M19" s="14"/>
      <c r="N19" s="14"/>
      <c r="O19" s="14" t="s">
        <v>75</v>
      </c>
      <c r="P19" s="14"/>
      <c r="Q19" s="14"/>
      <c r="R19" s="14"/>
      <c r="S19" s="12" t="str">
        <f>"0,0"</f>
        <v>0,0</v>
      </c>
      <c r="T19" s="13" t="str">
        <f>"0,0000"</f>
        <v>0,0000</v>
      </c>
      <c r="U19" s="12" t="s">
        <v>400</v>
      </c>
    </row>
    <row r="21" spans="1:20" ht="15">
      <c r="A21" s="46" t="s">
        <v>13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1" ht="12.75">
      <c r="A22" s="6" t="s">
        <v>408</v>
      </c>
      <c r="B22" s="6" t="s">
        <v>409</v>
      </c>
      <c r="C22" s="6" t="s">
        <v>410</v>
      </c>
      <c r="D22" s="6" t="str">
        <f>"0,9369"</f>
        <v>0,9369</v>
      </c>
      <c r="E22" s="6" t="s">
        <v>17</v>
      </c>
      <c r="F22" s="6" t="s">
        <v>213</v>
      </c>
      <c r="G22" s="7" t="s">
        <v>273</v>
      </c>
      <c r="H22" s="7" t="s">
        <v>76</v>
      </c>
      <c r="I22" s="7" t="s">
        <v>377</v>
      </c>
      <c r="J22" s="8"/>
      <c r="K22" s="7" t="s">
        <v>182</v>
      </c>
      <c r="L22" s="7" t="s">
        <v>373</v>
      </c>
      <c r="M22" s="7" t="s">
        <v>395</v>
      </c>
      <c r="N22" s="8"/>
      <c r="O22" s="7" t="s">
        <v>76</v>
      </c>
      <c r="P22" s="7" t="s">
        <v>377</v>
      </c>
      <c r="Q22" s="7" t="s">
        <v>378</v>
      </c>
      <c r="R22" s="8"/>
      <c r="S22" s="6" t="str">
        <f>"237,5"</f>
        <v>237,5</v>
      </c>
      <c r="T22" s="7" t="str">
        <f>"222,5138"</f>
        <v>222,5138</v>
      </c>
      <c r="U22" s="6" t="s">
        <v>44</v>
      </c>
    </row>
    <row r="24" spans="1:20" ht="15">
      <c r="A24" s="46" t="s">
        <v>189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1" ht="12.75">
      <c r="A25" s="9" t="s">
        <v>411</v>
      </c>
      <c r="B25" s="9" t="s">
        <v>412</v>
      </c>
      <c r="C25" s="9" t="s">
        <v>413</v>
      </c>
      <c r="D25" s="9" t="str">
        <f>"0,7832"</f>
        <v>0,7832</v>
      </c>
      <c r="E25" s="9" t="s">
        <v>17</v>
      </c>
      <c r="F25" s="9" t="s">
        <v>258</v>
      </c>
      <c r="G25" s="10" t="s">
        <v>82</v>
      </c>
      <c r="H25" s="10" t="s">
        <v>53</v>
      </c>
      <c r="I25" s="10" t="s">
        <v>55</v>
      </c>
      <c r="J25" s="11"/>
      <c r="K25" s="10" t="s">
        <v>374</v>
      </c>
      <c r="L25" s="10" t="s">
        <v>73</v>
      </c>
      <c r="M25" s="10" t="s">
        <v>19</v>
      </c>
      <c r="N25" s="11"/>
      <c r="O25" s="10" t="s">
        <v>55</v>
      </c>
      <c r="P25" s="10" t="s">
        <v>40</v>
      </c>
      <c r="Q25" s="10" t="s">
        <v>27</v>
      </c>
      <c r="R25" s="11"/>
      <c r="S25" s="9" t="str">
        <f>"500,0"</f>
        <v>500,0</v>
      </c>
      <c r="T25" s="10" t="str">
        <f>"391,6000"</f>
        <v>391,6000</v>
      </c>
      <c r="U25" s="9" t="s">
        <v>414</v>
      </c>
    </row>
    <row r="26" spans="1:21" ht="12.75">
      <c r="A26" s="12" t="s">
        <v>417</v>
      </c>
      <c r="B26" s="12" t="s">
        <v>418</v>
      </c>
      <c r="C26" s="12" t="s">
        <v>419</v>
      </c>
      <c r="D26" s="12" t="str">
        <f>"0,7756"</f>
        <v>0,7756</v>
      </c>
      <c r="E26" s="12" t="s">
        <v>33</v>
      </c>
      <c r="F26" s="12" t="s">
        <v>34</v>
      </c>
      <c r="G26" s="13" t="s">
        <v>75</v>
      </c>
      <c r="H26" s="13" t="s">
        <v>224</v>
      </c>
      <c r="I26" s="14"/>
      <c r="J26" s="14"/>
      <c r="K26" s="13" t="s">
        <v>203</v>
      </c>
      <c r="L26" s="13" t="s">
        <v>75</v>
      </c>
      <c r="M26" s="14"/>
      <c r="N26" s="14"/>
      <c r="O26" s="13" t="s">
        <v>224</v>
      </c>
      <c r="P26" s="13" t="s">
        <v>19</v>
      </c>
      <c r="Q26" s="14"/>
      <c r="R26" s="14"/>
      <c r="S26" s="12" t="str">
        <f>"360,0"</f>
        <v>360,0</v>
      </c>
      <c r="T26" s="13" t="str">
        <f>"325,2866"</f>
        <v>325,2866</v>
      </c>
      <c r="U26" s="12" t="s">
        <v>420</v>
      </c>
    </row>
    <row r="28" spans="1:20" ht="15">
      <c r="A28" s="46" t="s">
        <v>183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2" ht="12.75">
      <c r="A29" s="57" t="s">
        <v>421</v>
      </c>
      <c r="B29" s="57" t="s">
        <v>422</v>
      </c>
      <c r="C29" s="57" t="s">
        <v>423</v>
      </c>
      <c r="D29" s="57" t="str">
        <f>"0,7242"</f>
        <v>0,7242</v>
      </c>
      <c r="E29" s="57" t="s">
        <v>33</v>
      </c>
      <c r="F29" s="57" t="s">
        <v>33</v>
      </c>
      <c r="G29" s="58" t="s">
        <v>55</v>
      </c>
      <c r="H29" s="58" t="s">
        <v>38</v>
      </c>
      <c r="I29" s="58" t="s">
        <v>39</v>
      </c>
      <c r="J29" s="59"/>
      <c r="K29" s="58" t="s">
        <v>19</v>
      </c>
      <c r="L29" s="58" t="s">
        <v>102</v>
      </c>
      <c r="M29" s="58" t="s">
        <v>20</v>
      </c>
      <c r="N29" s="59"/>
      <c r="O29" s="58" t="s">
        <v>27</v>
      </c>
      <c r="P29" s="58" t="s">
        <v>127</v>
      </c>
      <c r="Q29" s="58" t="s">
        <v>89</v>
      </c>
      <c r="R29" s="59"/>
      <c r="S29" s="57" t="str">
        <f>"550,0"</f>
        <v>550,0</v>
      </c>
      <c r="T29" s="58" t="str">
        <f>"398,3100"</f>
        <v>398,3100</v>
      </c>
      <c r="U29" s="57" t="s">
        <v>57</v>
      </c>
      <c r="V29" s="50" t="s">
        <v>1333</v>
      </c>
    </row>
    <row r="30" spans="1:21" ht="12.75">
      <c r="A30" s="23" t="s">
        <v>424</v>
      </c>
      <c r="B30" s="23" t="s">
        <v>425</v>
      </c>
      <c r="C30" s="23" t="s">
        <v>426</v>
      </c>
      <c r="D30" s="23" t="str">
        <f>"0,7345"</f>
        <v>0,7345</v>
      </c>
      <c r="E30" s="23" t="s">
        <v>33</v>
      </c>
      <c r="F30" s="23" t="s">
        <v>34</v>
      </c>
      <c r="G30" s="24" t="s">
        <v>54</v>
      </c>
      <c r="H30" s="24" t="s">
        <v>55</v>
      </c>
      <c r="I30" s="24" t="s">
        <v>25</v>
      </c>
      <c r="J30" s="25"/>
      <c r="K30" s="24" t="s">
        <v>24</v>
      </c>
      <c r="L30" s="24" t="s">
        <v>208</v>
      </c>
      <c r="M30" s="24" t="s">
        <v>427</v>
      </c>
      <c r="N30" s="25"/>
      <c r="O30" s="24" t="s">
        <v>38</v>
      </c>
      <c r="P30" s="24" t="s">
        <v>26</v>
      </c>
      <c r="Q30" s="24" t="s">
        <v>116</v>
      </c>
      <c r="R30" s="25"/>
      <c r="S30" s="23" t="str">
        <f>"492,5"</f>
        <v>492,5</v>
      </c>
      <c r="T30" s="24" t="str">
        <f>"372,9552"</f>
        <v>372,9552</v>
      </c>
      <c r="U30" s="23" t="s">
        <v>57</v>
      </c>
    </row>
    <row r="31" spans="1:22" ht="12.75">
      <c r="A31" s="54" t="s">
        <v>428</v>
      </c>
      <c r="B31" s="54" t="s">
        <v>429</v>
      </c>
      <c r="C31" s="54" t="s">
        <v>426</v>
      </c>
      <c r="D31" s="54" t="str">
        <f>"0,7345"</f>
        <v>0,7345</v>
      </c>
      <c r="E31" s="54" t="s">
        <v>33</v>
      </c>
      <c r="F31" s="54" t="s">
        <v>34</v>
      </c>
      <c r="G31" s="55" t="s">
        <v>149</v>
      </c>
      <c r="H31" s="55" t="s">
        <v>187</v>
      </c>
      <c r="I31" s="55" t="s">
        <v>22</v>
      </c>
      <c r="J31" s="56"/>
      <c r="K31" s="55" t="s">
        <v>149</v>
      </c>
      <c r="L31" s="56" t="s">
        <v>187</v>
      </c>
      <c r="M31" s="55" t="s">
        <v>22</v>
      </c>
      <c r="N31" s="56"/>
      <c r="O31" s="56" t="s">
        <v>224</v>
      </c>
      <c r="P31" s="55" t="s">
        <v>19</v>
      </c>
      <c r="Q31" s="55" t="s">
        <v>20</v>
      </c>
      <c r="R31" s="56"/>
      <c r="S31" s="54" t="str">
        <f>"340,0"</f>
        <v>340,0</v>
      </c>
      <c r="T31" s="55" t="str">
        <f>"282,1949"</f>
        <v>282,1949</v>
      </c>
      <c r="U31" s="54" t="s">
        <v>57</v>
      </c>
      <c r="V31" s="50" t="s">
        <v>1333</v>
      </c>
    </row>
    <row r="33" spans="1:20" ht="15">
      <c r="A33" s="46" t="s">
        <v>128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2" ht="12.75">
      <c r="A34" s="47" t="s">
        <v>431</v>
      </c>
      <c r="B34" s="47" t="s">
        <v>432</v>
      </c>
      <c r="C34" s="47" t="s">
        <v>433</v>
      </c>
      <c r="D34" s="47" t="str">
        <f>"0,6391"</f>
        <v>0,6391</v>
      </c>
      <c r="E34" s="47" t="s">
        <v>33</v>
      </c>
      <c r="F34" s="47" t="s">
        <v>34</v>
      </c>
      <c r="G34" s="48" t="s">
        <v>127</v>
      </c>
      <c r="H34" s="48" t="s">
        <v>101</v>
      </c>
      <c r="I34" s="48" t="s">
        <v>434</v>
      </c>
      <c r="J34" s="49"/>
      <c r="K34" s="48" t="s">
        <v>435</v>
      </c>
      <c r="L34" s="48" t="s">
        <v>109</v>
      </c>
      <c r="M34" s="48" t="s">
        <v>236</v>
      </c>
      <c r="N34" s="49"/>
      <c r="O34" s="48" t="s">
        <v>37</v>
      </c>
      <c r="P34" s="48" t="s">
        <v>138</v>
      </c>
      <c r="Q34" s="48" t="s">
        <v>139</v>
      </c>
      <c r="R34" s="49"/>
      <c r="S34" s="47" t="str">
        <f>"675,0"</f>
        <v>675,0</v>
      </c>
      <c r="T34" s="48" t="str">
        <f>"431,3925"</f>
        <v>431,3925</v>
      </c>
      <c r="U34" s="47" t="s">
        <v>44</v>
      </c>
      <c r="V34" s="50" t="s">
        <v>1333</v>
      </c>
    </row>
    <row r="36" spans="1:20" ht="15">
      <c r="A36" s="46" t="s">
        <v>85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1" ht="12.75">
      <c r="A37" s="9" t="s">
        <v>436</v>
      </c>
      <c r="B37" s="9" t="s">
        <v>437</v>
      </c>
      <c r="C37" s="9" t="s">
        <v>438</v>
      </c>
      <c r="D37" s="9" t="str">
        <f>"0,6144"</f>
        <v>0,6144</v>
      </c>
      <c r="E37" s="9" t="s">
        <v>33</v>
      </c>
      <c r="F37" s="9" t="s">
        <v>34</v>
      </c>
      <c r="G37" s="10" t="s">
        <v>55</v>
      </c>
      <c r="H37" s="10" t="s">
        <v>39</v>
      </c>
      <c r="I37" s="10" t="s">
        <v>26</v>
      </c>
      <c r="J37" s="11"/>
      <c r="K37" s="10" t="s">
        <v>203</v>
      </c>
      <c r="L37" s="10" t="s">
        <v>24</v>
      </c>
      <c r="M37" s="10" t="s">
        <v>208</v>
      </c>
      <c r="N37" s="11"/>
      <c r="O37" s="10" t="s">
        <v>26</v>
      </c>
      <c r="P37" s="10" t="s">
        <v>27</v>
      </c>
      <c r="Q37" s="11" t="s">
        <v>228</v>
      </c>
      <c r="R37" s="11"/>
      <c r="S37" s="9" t="str">
        <f>"507,5"</f>
        <v>507,5</v>
      </c>
      <c r="T37" s="10" t="str">
        <f>"311,8080"</f>
        <v>311,8080</v>
      </c>
      <c r="U37" s="9" t="s">
        <v>57</v>
      </c>
    </row>
    <row r="38" spans="1:21" ht="12.75">
      <c r="A38" s="12" t="s">
        <v>439</v>
      </c>
      <c r="B38" s="12" t="s">
        <v>440</v>
      </c>
      <c r="C38" s="12" t="s">
        <v>235</v>
      </c>
      <c r="D38" s="12" t="str">
        <f>"0,6134"</f>
        <v>0,6134</v>
      </c>
      <c r="E38" s="12" t="s">
        <v>33</v>
      </c>
      <c r="F38" s="12" t="s">
        <v>34</v>
      </c>
      <c r="G38" s="14" t="s">
        <v>22</v>
      </c>
      <c r="H38" s="13" t="s">
        <v>224</v>
      </c>
      <c r="I38" s="13" t="s">
        <v>73</v>
      </c>
      <c r="J38" s="14"/>
      <c r="K38" s="13" t="s">
        <v>149</v>
      </c>
      <c r="L38" s="14" t="s">
        <v>22</v>
      </c>
      <c r="M38" s="13" t="s">
        <v>22</v>
      </c>
      <c r="N38" s="14"/>
      <c r="O38" s="13" t="s">
        <v>19</v>
      </c>
      <c r="P38" s="13" t="s">
        <v>21</v>
      </c>
      <c r="Q38" s="13" t="s">
        <v>53</v>
      </c>
      <c r="R38" s="14"/>
      <c r="S38" s="12" t="str">
        <f>"385,0"</f>
        <v>385,0</v>
      </c>
      <c r="T38" s="13" t="str">
        <f>"236,1590"</f>
        <v>236,1590</v>
      </c>
      <c r="U38" s="12" t="s">
        <v>57</v>
      </c>
    </row>
    <row r="40" spans="1:20" ht="15">
      <c r="A40" s="46" t="s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1" ht="12.75">
      <c r="A41" s="6" t="s">
        <v>441</v>
      </c>
      <c r="B41" s="6" t="s">
        <v>442</v>
      </c>
      <c r="C41" s="6" t="s">
        <v>247</v>
      </c>
      <c r="D41" s="6" t="str">
        <f>"0,5885"</f>
        <v>0,5885</v>
      </c>
      <c r="E41" s="6" t="s">
        <v>33</v>
      </c>
      <c r="F41" s="6" t="s">
        <v>34</v>
      </c>
      <c r="G41" s="7" t="s">
        <v>53</v>
      </c>
      <c r="H41" s="7" t="s">
        <v>38</v>
      </c>
      <c r="I41" s="8" t="s">
        <v>26</v>
      </c>
      <c r="J41" s="8"/>
      <c r="K41" s="7" t="s">
        <v>19</v>
      </c>
      <c r="L41" s="8" t="s">
        <v>20</v>
      </c>
      <c r="M41" s="7" t="s">
        <v>82</v>
      </c>
      <c r="N41" s="8"/>
      <c r="O41" s="7" t="s">
        <v>26</v>
      </c>
      <c r="P41" s="7" t="s">
        <v>127</v>
      </c>
      <c r="Q41" s="8" t="s">
        <v>101</v>
      </c>
      <c r="R41" s="8"/>
      <c r="S41" s="6" t="str">
        <f>"535,0"</f>
        <v>535,0</v>
      </c>
      <c r="T41" s="7" t="str">
        <f>"314,8475"</f>
        <v>314,8475</v>
      </c>
      <c r="U41" s="6" t="s">
        <v>57</v>
      </c>
    </row>
    <row r="43" ht="15">
      <c r="E43" s="15" t="s">
        <v>59</v>
      </c>
    </row>
    <row r="44" ht="15">
      <c r="E44" s="15" t="s">
        <v>60</v>
      </c>
    </row>
    <row r="45" ht="15">
      <c r="E45" s="15"/>
    </row>
    <row r="47" spans="1:2" ht="18">
      <c r="A47" s="16" t="s">
        <v>64</v>
      </c>
      <c r="B47" s="16"/>
    </row>
    <row r="48" spans="1:2" ht="15">
      <c r="A48" s="17" t="s">
        <v>272</v>
      </c>
      <c r="B48" s="17"/>
    </row>
    <row r="49" spans="1:2" ht="14.25">
      <c r="A49" s="19"/>
      <c r="B49" s="20" t="s">
        <v>74</v>
      </c>
    </row>
    <row r="50" spans="1:5" ht="15">
      <c r="A50" s="21" t="s">
        <v>67</v>
      </c>
      <c r="B50" s="21" t="s">
        <v>68</v>
      </c>
      <c r="C50" s="21" t="s">
        <v>69</v>
      </c>
      <c r="D50" s="21" t="s">
        <v>70</v>
      </c>
      <c r="E50" s="21" t="s">
        <v>71</v>
      </c>
    </row>
    <row r="51" spans="1:5" ht="12.75">
      <c r="A51" s="18" t="s">
        <v>368</v>
      </c>
      <c r="B51" s="5" t="s">
        <v>74</v>
      </c>
      <c r="C51" s="5" t="s">
        <v>443</v>
      </c>
      <c r="D51" s="5" t="s">
        <v>136</v>
      </c>
      <c r="E51" s="22" t="s">
        <v>444</v>
      </c>
    </row>
    <row r="54" spans="1:2" ht="15">
      <c r="A54" s="17" t="s">
        <v>65</v>
      </c>
      <c r="B54" s="17"/>
    </row>
    <row r="55" spans="1:2" ht="14.25">
      <c r="A55" s="19"/>
      <c r="B55" s="20" t="s">
        <v>74</v>
      </c>
    </row>
    <row r="56" spans="1:5" ht="15">
      <c r="A56" s="21" t="s">
        <v>67</v>
      </c>
      <c r="B56" s="21" t="s">
        <v>68</v>
      </c>
      <c r="C56" s="21" t="s">
        <v>69</v>
      </c>
      <c r="D56" s="21" t="s">
        <v>70</v>
      </c>
      <c r="E56" s="21" t="s">
        <v>71</v>
      </c>
    </row>
    <row r="57" spans="1:5" ht="12.75">
      <c r="A57" s="18" t="s">
        <v>430</v>
      </c>
      <c r="B57" s="5" t="s">
        <v>74</v>
      </c>
      <c r="C57" s="5" t="s">
        <v>149</v>
      </c>
      <c r="D57" s="5" t="s">
        <v>447</v>
      </c>
      <c r="E57" s="22" t="s">
        <v>448</v>
      </c>
    </row>
  </sheetData>
  <sheetProtection/>
  <mergeCells count="23">
    <mergeCell ref="A40:T40"/>
    <mergeCell ref="A16:T16"/>
    <mergeCell ref="A21:T21"/>
    <mergeCell ref="A24:T24"/>
    <mergeCell ref="A28:T28"/>
    <mergeCell ref="A33:T33"/>
    <mergeCell ref="A36:T36"/>
    <mergeCell ref="S3:S4"/>
    <mergeCell ref="T3:T4"/>
    <mergeCell ref="U3:U4"/>
    <mergeCell ref="A5:T5"/>
    <mergeCell ref="A8:T8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43">
      <selection activeCell="B69" sqref="B69"/>
    </sheetView>
  </sheetViews>
  <sheetFormatPr defaultColWidth="9.00390625" defaultRowHeight="12.75"/>
  <cols>
    <col min="1" max="1" width="31.1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2.875" style="5" bestFit="1" customWidth="1"/>
    <col min="7" max="9" width="5.625" style="4" bestFit="1" customWidth="1"/>
    <col min="10" max="10" width="4.875" style="4" bestFit="1" customWidth="1"/>
    <col min="11" max="11" width="12.00390625" style="5" customWidth="1"/>
    <col min="12" max="12" width="8.625" style="4" bestFit="1" customWidth="1"/>
    <col min="13" max="13" width="17.75390625" style="5" bestFit="1" customWidth="1"/>
    <col min="14" max="16384" width="9.125" style="4" customWidth="1"/>
  </cols>
  <sheetData>
    <row r="1" spans="1:13" s="3" customFormat="1" ht="28.5" customHeight="1">
      <c r="A1" s="32" t="s">
        <v>161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2</v>
      </c>
      <c r="H3" s="42"/>
      <c r="I3" s="42"/>
      <c r="J3" s="42"/>
      <c r="K3" s="42" t="s">
        <v>279</v>
      </c>
      <c r="L3" s="42" t="s">
        <v>6</v>
      </c>
      <c r="M3" s="43" t="s">
        <v>5</v>
      </c>
    </row>
    <row r="4" spans="1:13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41"/>
      <c r="L4" s="41"/>
      <c r="M4" s="44"/>
    </row>
    <row r="5" spans="1:12" ht="15">
      <c r="A5" s="45" t="s">
        <v>162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6" t="s">
        <v>163</v>
      </c>
      <c r="B6" s="6" t="s">
        <v>164</v>
      </c>
      <c r="C6" s="6" t="s">
        <v>165</v>
      </c>
      <c r="D6" s="6" t="str">
        <f>"1,2504"</f>
        <v>1,2504</v>
      </c>
      <c r="E6" s="6" t="s">
        <v>33</v>
      </c>
      <c r="F6" s="6" t="s">
        <v>34</v>
      </c>
      <c r="G6" s="7" t="s">
        <v>166</v>
      </c>
      <c r="H6" s="7" t="s">
        <v>167</v>
      </c>
      <c r="I6" s="7" t="s">
        <v>168</v>
      </c>
      <c r="J6" s="8"/>
      <c r="K6" s="6" t="str">
        <f>"67,5"</f>
        <v>67,5</v>
      </c>
      <c r="L6" s="7" t="str">
        <f>"84,4020"</f>
        <v>84,4020</v>
      </c>
      <c r="M6" s="6" t="s">
        <v>169</v>
      </c>
    </row>
    <row r="8" spans="1:12" ht="15">
      <c r="A8" s="46" t="s">
        <v>170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ht="12.75">
      <c r="A9" s="6" t="s">
        <v>171</v>
      </c>
      <c r="B9" s="6" t="s">
        <v>172</v>
      </c>
      <c r="C9" s="6" t="s">
        <v>173</v>
      </c>
      <c r="D9" s="6" t="str">
        <f>"1,1832"</f>
        <v>1,1832</v>
      </c>
      <c r="E9" s="6" t="s">
        <v>33</v>
      </c>
      <c r="F9" s="6" t="s">
        <v>34</v>
      </c>
      <c r="G9" s="7" t="s">
        <v>174</v>
      </c>
      <c r="H9" s="7" t="s">
        <v>175</v>
      </c>
      <c r="I9" s="7" t="s">
        <v>176</v>
      </c>
      <c r="J9" s="8"/>
      <c r="K9" s="6" t="str">
        <f>"45,0"</f>
        <v>45,0</v>
      </c>
      <c r="L9" s="7" t="str">
        <f>"53,2440"</f>
        <v>53,2440</v>
      </c>
      <c r="M9" s="6" t="s">
        <v>28</v>
      </c>
    </row>
    <row r="11" spans="1:12" ht="15">
      <c r="A11" s="46" t="s">
        <v>177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3" ht="12.75">
      <c r="A12" s="6" t="s">
        <v>178</v>
      </c>
      <c r="B12" s="6" t="s">
        <v>179</v>
      </c>
      <c r="C12" s="6" t="s">
        <v>180</v>
      </c>
      <c r="D12" s="6" t="str">
        <f>"1,1163"</f>
        <v>1,1163</v>
      </c>
      <c r="E12" s="6" t="s">
        <v>33</v>
      </c>
      <c r="F12" s="6" t="s">
        <v>18</v>
      </c>
      <c r="G12" s="7" t="s">
        <v>176</v>
      </c>
      <c r="H12" s="7" t="s">
        <v>181</v>
      </c>
      <c r="I12" s="8" t="s">
        <v>182</v>
      </c>
      <c r="J12" s="8"/>
      <c r="K12" s="6" t="str">
        <f>"47,5"</f>
        <v>47,5</v>
      </c>
      <c r="L12" s="7" t="str">
        <f>"53,0242"</f>
        <v>53,0242</v>
      </c>
      <c r="M12" s="6" t="s">
        <v>28</v>
      </c>
    </row>
    <row r="14" spans="1:12" ht="15">
      <c r="A14" s="46" t="s">
        <v>183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3" ht="12.75">
      <c r="A15" s="6" t="s">
        <v>184</v>
      </c>
      <c r="B15" s="6" t="s">
        <v>185</v>
      </c>
      <c r="C15" s="6" t="s">
        <v>186</v>
      </c>
      <c r="D15" s="6" t="str">
        <f>"0,9890"</f>
        <v>0,9890</v>
      </c>
      <c r="E15" s="6" t="s">
        <v>33</v>
      </c>
      <c r="F15" s="6" t="s">
        <v>34</v>
      </c>
      <c r="G15" s="7" t="s">
        <v>149</v>
      </c>
      <c r="H15" s="7" t="s">
        <v>187</v>
      </c>
      <c r="I15" s="7" t="s">
        <v>22</v>
      </c>
      <c r="J15" s="8"/>
      <c r="K15" s="6" t="str">
        <f>"100,0"</f>
        <v>100,0</v>
      </c>
      <c r="L15" s="7" t="str">
        <f>"98,9000"</f>
        <v>98,9000</v>
      </c>
      <c r="M15" s="6" t="s">
        <v>188</v>
      </c>
    </row>
    <row r="17" spans="1:12" ht="15">
      <c r="A17" s="46" t="s">
        <v>189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3" ht="12.75">
      <c r="A18" s="6" t="s">
        <v>190</v>
      </c>
      <c r="B18" s="6" t="s">
        <v>191</v>
      </c>
      <c r="C18" s="6" t="s">
        <v>192</v>
      </c>
      <c r="D18" s="6" t="str">
        <f>"0,8200"</f>
        <v>0,8200</v>
      </c>
      <c r="E18" s="6" t="s">
        <v>33</v>
      </c>
      <c r="F18" s="6" t="s">
        <v>34</v>
      </c>
      <c r="G18" s="7" t="s">
        <v>19</v>
      </c>
      <c r="H18" s="7" t="s">
        <v>102</v>
      </c>
      <c r="I18" s="8" t="s">
        <v>20</v>
      </c>
      <c r="J18" s="8"/>
      <c r="K18" s="6" t="str">
        <f>"135,0"</f>
        <v>135,0</v>
      </c>
      <c r="L18" s="7" t="str">
        <f>"110,7000"</f>
        <v>110,7000</v>
      </c>
      <c r="M18" s="6" t="s">
        <v>193</v>
      </c>
    </row>
    <row r="20" spans="1:12" ht="15">
      <c r="A20" s="46" t="s">
        <v>183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3" ht="12.75">
      <c r="A21" s="9" t="s">
        <v>194</v>
      </c>
      <c r="B21" s="9" t="s">
        <v>195</v>
      </c>
      <c r="C21" s="9" t="s">
        <v>196</v>
      </c>
      <c r="D21" s="9" t="str">
        <f>"0,7166"</f>
        <v>0,7166</v>
      </c>
      <c r="E21" s="9" t="s">
        <v>197</v>
      </c>
      <c r="F21" s="9" t="s">
        <v>198</v>
      </c>
      <c r="G21" s="10" t="s">
        <v>149</v>
      </c>
      <c r="H21" s="10" t="s">
        <v>22</v>
      </c>
      <c r="I21" s="11"/>
      <c r="J21" s="11"/>
      <c r="K21" s="9" t="str">
        <f>"100,0"</f>
        <v>100,0</v>
      </c>
      <c r="L21" s="10" t="str">
        <f>"103,9070"</f>
        <v>103,9070</v>
      </c>
      <c r="M21" s="9" t="s">
        <v>199</v>
      </c>
    </row>
    <row r="22" spans="1:13" ht="12.75">
      <c r="A22" s="12" t="s">
        <v>200</v>
      </c>
      <c r="B22" s="12" t="s">
        <v>201</v>
      </c>
      <c r="C22" s="12" t="s">
        <v>202</v>
      </c>
      <c r="D22" s="12" t="str">
        <f>"0,7264"</f>
        <v>0,7264</v>
      </c>
      <c r="E22" s="12" t="s">
        <v>33</v>
      </c>
      <c r="F22" s="12" t="s">
        <v>34</v>
      </c>
      <c r="G22" s="13" t="s">
        <v>149</v>
      </c>
      <c r="H22" s="13" t="s">
        <v>22</v>
      </c>
      <c r="I22" s="13" t="s">
        <v>203</v>
      </c>
      <c r="J22" s="14"/>
      <c r="K22" s="12" t="str">
        <f>"105,0"</f>
        <v>105,0</v>
      </c>
      <c r="L22" s="13" t="str">
        <f>"120,2047"</f>
        <v>120,2047</v>
      </c>
      <c r="M22" s="12" t="s">
        <v>204</v>
      </c>
    </row>
    <row r="24" spans="1:12" ht="15">
      <c r="A24" s="46" t="s">
        <v>13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3" ht="12.75">
      <c r="A25" s="6" t="s">
        <v>205</v>
      </c>
      <c r="B25" s="6" t="s">
        <v>206</v>
      </c>
      <c r="C25" s="6" t="s">
        <v>207</v>
      </c>
      <c r="D25" s="6" t="str">
        <f>"0,7086"</f>
        <v>0,7086</v>
      </c>
      <c r="E25" s="6" t="s">
        <v>33</v>
      </c>
      <c r="F25" s="6" t="s">
        <v>34</v>
      </c>
      <c r="G25" s="7" t="s">
        <v>208</v>
      </c>
      <c r="H25" s="8" t="s">
        <v>73</v>
      </c>
      <c r="I25" s="7" t="s">
        <v>73</v>
      </c>
      <c r="J25" s="8"/>
      <c r="K25" s="6" t="str">
        <f>"125,0"</f>
        <v>125,0</v>
      </c>
      <c r="L25" s="7" t="str">
        <f>"88,5750"</f>
        <v>88,5750</v>
      </c>
      <c r="M25" s="6" t="s">
        <v>44</v>
      </c>
    </row>
    <row r="27" spans="1:12" ht="15">
      <c r="A27" s="46" t="s">
        <v>128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3" ht="12.75">
      <c r="A28" s="9" t="s">
        <v>210</v>
      </c>
      <c r="B28" s="9" t="s">
        <v>211</v>
      </c>
      <c r="C28" s="9" t="s">
        <v>212</v>
      </c>
      <c r="D28" s="9" t="str">
        <f>"0,6511"</f>
        <v>0,6511</v>
      </c>
      <c r="E28" s="9" t="s">
        <v>17</v>
      </c>
      <c r="F28" s="9" t="s">
        <v>213</v>
      </c>
      <c r="G28" s="10" t="s">
        <v>214</v>
      </c>
      <c r="H28" s="10" t="s">
        <v>127</v>
      </c>
      <c r="I28" s="10" t="s">
        <v>215</v>
      </c>
      <c r="J28" s="11"/>
      <c r="K28" s="9" t="str">
        <f>"217,5"</f>
        <v>217,5</v>
      </c>
      <c r="L28" s="10" t="str">
        <f>"141,6142"</f>
        <v>141,6142</v>
      </c>
      <c r="M28" s="9" t="s">
        <v>216</v>
      </c>
    </row>
    <row r="29" spans="1:13" ht="12.75">
      <c r="A29" s="23" t="s">
        <v>217</v>
      </c>
      <c r="B29" s="23" t="s">
        <v>218</v>
      </c>
      <c r="C29" s="23" t="s">
        <v>219</v>
      </c>
      <c r="D29" s="23" t="str">
        <f>"0,6388"</f>
        <v>0,6388</v>
      </c>
      <c r="E29" s="23" t="s">
        <v>33</v>
      </c>
      <c r="F29" s="23" t="s">
        <v>18</v>
      </c>
      <c r="G29" s="24" t="s">
        <v>26</v>
      </c>
      <c r="H29" s="24" t="s">
        <v>116</v>
      </c>
      <c r="I29" s="25"/>
      <c r="J29" s="25"/>
      <c r="K29" s="23" t="str">
        <f>"195,0"</f>
        <v>195,0</v>
      </c>
      <c r="L29" s="24" t="str">
        <f>"124,5660"</f>
        <v>124,5660</v>
      </c>
      <c r="M29" s="23" t="s">
        <v>44</v>
      </c>
    </row>
    <row r="30" spans="1:13" ht="12.75">
      <c r="A30" s="12" t="s">
        <v>221</v>
      </c>
      <c r="B30" s="12" t="s">
        <v>222</v>
      </c>
      <c r="C30" s="12" t="s">
        <v>223</v>
      </c>
      <c r="D30" s="12" t="str">
        <f>"0,6424"</f>
        <v>0,6424</v>
      </c>
      <c r="E30" s="12" t="s">
        <v>33</v>
      </c>
      <c r="F30" s="12" t="s">
        <v>34</v>
      </c>
      <c r="G30" s="13" t="s">
        <v>224</v>
      </c>
      <c r="H30" s="13" t="s">
        <v>20</v>
      </c>
      <c r="I30" s="14"/>
      <c r="J30" s="14"/>
      <c r="K30" s="12" t="str">
        <f>"140,0"</f>
        <v>140,0</v>
      </c>
      <c r="L30" s="13" t="str">
        <f>"144,7970"</f>
        <v>144,7970</v>
      </c>
      <c r="M30" s="12" t="s">
        <v>204</v>
      </c>
    </row>
    <row r="32" spans="1:12" ht="15">
      <c r="A32" s="46" t="s">
        <v>85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3" ht="12.75">
      <c r="A33" s="9" t="s">
        <v>225</v>
      </c>
      <c r="B33" s="9" t="s">
        <v>226</v>
      </c>
      <c r="C33" s="9" t="s">
        <v>227</v>
      </c>
      <c r="D33" s="9" t="str">
        <f>"0,6096"</f>
        <v>0,6096</v>
      </c>
      <c r="E33" s="9" t="s">
        <v>33</v>
      </c>
      <c r="F33" s="9" t="s">
        <v>34</v>
      </c>
      <c r="G33" s="11" t="s">
        <v>27</v>
      </c>
      <c r="H33" s="10" t="s">
        <v>27</v>
      </c>
      <c r="I33" s="11" t="s">
        <v>228</v>
      </c>
      <c r="J33" s="11"/>
      <c r="K33" s="9" t="str">
        <f>"200,0"</f>
        <v>200,0</v>
      </c>
      <c r="L33" s="10" t="str">
        <f>"121,9200"</f>
        <v>121,9200</v>
      </c>
      <c r="M33" s="9" t="s">
        <v>57</v>
      </c>
    </row>
    <row r="34" spans="1:13" ht="12.75">
      <c r="A34" s="23" t="s">
        <v>229</v>
      </c>
      <c r="B34" s="23" t="s">
        <v>230</v>
      </c>
      <c r="C34" s="23" t="s">
        <v>231</v>
      </c>
      <c r="D34" s="23" t="str">
        <f>"0,6111"</f>
        <v>0,6111</v>
      </c>
      <c r="E34" s="23" t="s">
        <v>33</v>
      </c>
      <c r="F34" s="23" t="s">
        <v>34</v>
      </c>
      <c r="G34" s="24" t="s">
        <v>55</v>
      </c>
      <c r="H34" s="24" t="s">
        <v>38</v>
      </c>
      <c r="I34" s="25" t="s">
        <v>40</v>
      </c>
      <c r="J34" s="25"/>
      <c r="K34" s="23" t="str">
        <f>"180,0"</f>
        <v>180,0</v>
      </c>
      <c r="L34" s="24" t="str">
        <f>"109,9980"</f>
        <v>109,9980</v>
      </c>
      <c r="M34" s="23" t="s">
        <v>232</v>
      </c>
    </row>
    <row r="35" spans="1:13" ht="12.75">
      <c r="A35" s="23" t="s">
        <v>233</v>
      </c>
      <c r="B35" s="23" t="s">
        <v>234</v>
      </c>
      <c r="C35" s="23" t="s">
        <v>235</v>
      </c>
      <c r="D35" s="23" t="str">
        <f>"0,6134"</f>
        <v>0,6134</v>
      </c>
      <c r="E35" s="23" t="s">
        <v>33</v>
      </c>
      <c r="F35" s="23" t="s">
        <v>34</v>
      </c>
      <c r="G35" s="24" t="s">
        <v>55</v>
      </c>
      <c r="H35" s="24" t="s">
        <v>236</v>
      </c>
      <c r="I35" s="25" t="s">
        <v>38</v>
      </c>
      <c r="J35" s="25"/>
      <c r="K35" s="23" t="str">
        <f>"172,5"</f>
        <v>172,5</v>
      </c>
      <c r="L35" s="24" t="str">
        <f>"105,8115"</f>
        <v>105,8115</v>
      </c>
      <c r="M35" s="23" t="s">
        <v>57</v>
      </c>
    </row>
    <row r="36" spans="1:13" ht="12.75">
      <c r="A36" s="23" t="s">
        <v>237</v>
      </c>
      <c r="B36" s="23" t="s">
        <v>238</v>
      </c>
      <c r="C36" s="23" t="s">
        <v>239</v>
      </c>
      <c r="D36" s="23" t="str">
        <f>"0,6150"</f>
        <v>0,6150</v>
      </c>
      <c r="E36" s="23" t="s">
        <v>33</v>
      </c>
      <c r="F36" s="23" t="s">
        <v>34</v>
      </c>
      <c r="G36" s="24" t="s">
        <v>25</v>
      </c>
      <c r="H36" s="24" t="s">
        <v>38</v>
      </c>
      <c r="I36" s="24" t="s">
        <v>39</v>
      </c>
      <c r="J36" s="25"/>
      <c r="K36" s="23" t="str">
        <f>"185,0"</f>
        <v>185,0</v>
      </c>
      <c r="L36" s="24" t="str">
        <f>"116,0505"</f>
        <v>116,0505</v>
      </c>
      <c r="M36" s="23" t="s">
        <v>44</v>
      </c>
    </row>
    <row r="37" spans="1:13" ht="12.75">
      <c r="A37" s="12" t="s">
        <v>240</v>
      </c>
      <c r="B37" s="12" t="s">
        <v>241</v>
      </c>
      <c r="C37" s="12" t="s">
        <v>242</v>
      </c>
      <c r="D37" s="12" t="str">
        <f>"0,6161"</f>
        <v>0,6161</v>
      </c>
      <c r="E37" s="12" t="s">
        <v>17</v>
      </c>
      <c r="F37" s="12" t="s">
        <v>243</v>
      </c>
      <c r="G37" s="14" t="s">
        <v>102</v>
      </c>
      <c r="H37" s="14" t="s">
        <v>20</v>
      </c>
      <c r="I37" s="14" t="s">
        <v>20</v>
      </c>
      <c r="J37" s="14"/>
      <c r="K37" s="12" t="str">
        <f>"0,0"</f>
        <v>0,0</v>
      </c>
      <c r="L37" s="13" t="str">
        <f>"0,0000"</f>
        <v>0,0000</v>
      </c>
      <c r="M37" s="12" t="s">
        <v>244</v>
      </c>
    </row>
    <row r="39" spans="1:12" ht="15">
      <c r="A39" s="46" t="s">
        <v>29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3" ht="12.75">
      <c r="A40" s="9" t="s">
        <v>245</v>
      </c>
      <c r="B40" s="9" t="s">
        <v>246</v>
      </c>
      <c r="C40" s="9" t="s">
        <v>247</v>
      </c>
      <c r="D40" s="9" t="str">
        <f>"0,5885"</f>
        <v>0,5885</v>
      </c>
      <c r="E40" s="9" t="s">
        <v>17</v>
      </c>
      <c r="F40" s="9" t="s">
        <v>248</v>
      </c>
      <c r="G40" s="11" t="s">
        <v>38</v>
      </c>
      <c r="H40" s="10" t="s">
        <v>38</v>
      </c>
      <c r="I40" s="11" t="s">
        <v>40</v>
      </c>
      <c r="J40" s="11"/>
      <c r="K40" s="9" t="str">
        <f>"180,0"</f>
        <v>180,0</v>
      </c>
      <c r="L40" s="10" t="str">
        <f>"105,9300"</f>
        <v>105,9300</v>
      </c>
      <c r="M40" s="9" t="s">
        <v>249</v>
      </c>
    </row>
    <row r="41" spans="1:13" ht="12.75">
      <c r="A41" s="23" t="s">
        <v>250</v>
      </c>
      <c r="B41" s="23" t="s">
        <v>251</v>
      </c>
      <c r="C41" s="23" t="s">
        <v>252</v>
      </c>
      <c r="D41" s="23" t="str">
        <f>"0,5976"</f>
        <v>0,5976</v>
      </c>
      <c r="E41" s="23" t="s">
        <v>33</v>
      </c>
      <c r="F41" s="23" t="s">
        <v>34</v>
      </c>
      <c r="G41" s="24" t="s">
        <v>228</v>
      </c>
      <c r="H41" s="24" t="s">
        <v>253</v>
      </c>
      <c r="I41" s="24" t="s">
        <v>81</v>
      </c>
      <c r="J41" s="25"/>
      <c r="K41" s="23" t="str">
        <f>"222,5"</f>
        <v>222,5</v>
      </c>
      <c r="L41" s="24" t="str">
        <f>"132,9660"</f>
        <v>132,9660</v>
      </c>
      <c r="M41" s="23" t="s">
        <v>254</v>
      </c>
    </row>
    <row r="42" spans="1:13" ht="12.75">
      <c r="A42" s="23" t="s">
        <v>255</v>
      </c>
      <c r="B42" s="23" t="s">
        <v>256</v>
      </c>
      <c r="C42" s="23" t="s">
        <v>257</v>
      </c>
      <c r="D42" s="23" t="str">
        <f>"0,6035"</f>
        <v>0,6035</v>
      </c>
      <c r="E42" s="23" t="s">
        <v>17</v>
      </c>
      <c r="F42" s="23" t="s">
        <v>258</v>
      </c>
      <c r="G42" s="24" t="s">
        <v>54</v>
      </c>
      <c r="H42" s="24" t="s">
        <v>55</v>
      </c>
      <c r="I42" s="25" t="s">
        <v>236</v>
      </c>
      <c r="J42" s="25"/>
      <c r="K42" s="23" t="str">
        <f>"170,0"</f>
        <v>170,0</v>
      </c>
      <c r="L42" s="24" t="str">
        <f>"104,6469"</f>
        <v>104,6469</v>
      </c>
      <c r="M42" s="23" t="s">
        <v>259</v>
      </c>
    </row>
    <row r="43" spans="1:13" ht="12.75">
      <c r="A43" s="12" t="s">
        <v>260</v>
      </c>
      <c r="B43" s="12" t="s">
        <v>261</v>
      </c>
      <c r="C43" s="12" t="s">
        <v>262</v>
      </c>
      <c r="D43" s="12" t="str">
        <f>"0,5958"</f>
        <v>0,5958</v>
      </c>
      <c r="E43" s="12" t="s">
        <v>33</v>
      </c>
      <c r="F43" s="12" t="s">
        <v>34</v>
      </c>
      <c r="G43" s="13" t="s">
        <v>53</v>
      </c>
      <c r="H43" s="13" t="s">
        <v>54</v>
      </c>
      <c r="I43" s="14" t="s">
        <v>55</v>
      </c>
      <c r="J43" s="14"/>
      <c r="K43" s="12" t="str">
        <f>"165,0"</f>
        <v>165,0</v>
      </c>
      <c r="L43" s="13" t="str">
        <f>"101,3545"</f>
        <v>101,3545</v>
      </c>
      <c r="M43" s="12" t="s">
        <v>57</v>
      </c>
    </row>
    <row r="45" spans="1:12" ht="15">
      <c r="A45" s="46" t="s">
        <v>45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3" ht="12.75">
      <c r="A46" s="9" t="s">
        <v>263</v>
      </c>
      <c r="B46" s="9" t="s">
        <v>264</v>
      </c>
      <c r="C46" s="9" t="s">
        <v>265</v>
      </c>
      <c r="D46" s="9" t="str">
        <f>"0,5847"</f>
        <v>0,5847</v>
      </c>
      <c r="E46" s="9" t="s">
        <v>33</v>
      </c>
      <c r="F46" s="9" t="s">
        <v>34</v>
      </c>
      <c r="G46" s="10" t="s">
        <v>228</v>
      </c>
      <c r="H46" s="10" t="s">
        <v>52</v>
      </c>
      <c r="I46" s="10" t="s">
        <v>101</v>
      </c>
      <c r="J46" s="11"/>
      <c r="K46" s="9" t="str">
        <f>"220,0"</f>
        <v>220,0</v>
      </c>
      <c r="L46" s="10" t="str">
        <f>"128,6340"</f>
        <v>128,6340</v>
      </c>
      <c r="M46" s="9" t="s">
        <v>44</v>
      </c>
    </row>
    <row r="47" spans="1:13" ht="12.75">
      <c r="A47" s="12" t="s">
        <v>266</v>
      </c>
      <c r="B47" s="12" t="s">
        <v>267</v>
      </c>
      <c r="C47" s="12" t="s">
        <v>268</v>
      </c>
      <c r="D47" s="12" t="str">
        <f>"0,5715"</f>
        <v>0,5715</v>
      </c>
      <c r="E47" s="12" t="s">
        <v>269</v>
      </c>
      <c r="F47" s="12" t="s">
        <v>270</v>
      </c>
      <c r="G47" s="13" t="s">
        <v>26</v>
      </c>
      <c r="H47" s="13" t="s">
        <v>27</v>
      </c>
      <c r="I47" s="14" t="s">
        <v>228</v>
      </c>
      <c r="J47" s="14"/>
      <c r="K47" s="12" t="str">
        <f>"200,0"</f>
        <v>200,0</v>
      </c>
      <c r="L47" s="13" t="str">
        <f>"115,4430"</f>
        <v>115,4430</v>
      </c>
      <c r="M47" s="12" t="s">
        <v>271</v>
      </c>
    </row>
    <row r="49" ht="15">
      <c r="E49" s="15" t="s">
        <v>59</v>
      </c>
    </row>
    <row r="50" ht="15">
      <c r="E50" s="15" t="s">
        <v>60</v>
      </c>
    </row>
    <row r="51" ht="15">
      <c r="E51" s="15"/>
    </row>
    <row r="53" spans="1:2" ht="18">
      <c r="A53" s="16" t="s">
        <v>64</v>
      </c>
      <c r="B53" s="16"/>
    </row>
    <row r="54" spans="1:2" ht="15">
      <c r="A54" s="17" t="s">
        <v>65</v>
      </c>
      <c r="B54" s="17"/>
    </row>
    <row r="55" spans="1:2" ht="14.25">
      <c r="A55" s="19"/>
      <c r="B55" s="20" t="s">
        <v>74</v>
      </c>
    </row>
    <row r="56" spans="1:5" ht="15">
      <c r="A56" s="21" t="s">
        <v>67</v>
      </c>
      <c r="B56" s="21" t="s">
        <v>68</v>
      </c>
      <c r="C56" s="21" t="s">
        <v>69</v>
      </c>
      <c r="D56" s="21" t="s">
        <v>70</v>
      </c>
      <c r="E56" s="21" t="s">
        <v>71</v>
      </c>
    </row>
    <row r="57" spans="1:5" ht="12.75">
      <c r="A57" s="18" t="s">
        <v>209</v>
      </c>
      <c r="B57" s="5" t="s">
        <v>74</v>
      </c>
      <c r="C57" s="5" t="s">
        <v>149</v>
      </c>
      <c r="D57" s="5" t="s">
        <v>215</v>
      </c>
      <c r="E57" s="22" t="s">
        <v>275</v>
      </c>
    </row>
    <row r="59" spans="1:2" ht="14.25">
      <c r="A59" s="19"/>
      <c r="B59" s="20" t="s">
        <v>160</v>
      </c>
    </row>
    <row r="60" spans="1:5" ht="15">
      <c r="A60" s="21" t="s">
        <v>67</v>
      </c>
      <c r="B60" s="21" t="s">
        <v>68</v>
      </c>
      <c r="C60" s="21" t="s">
        <v>69</v>
      </c>
      <c r="D60" s="21" t="s">
        <v>70</v>
      </c>
      <c r="E60" s="21" t="s">
        <v>71</v>
      </c>
    </row>
    <row r="61" spans="1:5" ht="12.75">
      <c r="A61" s="18" t="s">
        <v>220</v>
      </c>
      <c r="B61" s="5" t="s">
        <v>276</v>
      </c>
      <c r="C61" s="5" t="s">
        <v>149</v>
      </c>
      <c r="D61" s="5" t="s">
        <v>20</v>
      </c>
      <c r="E61" s="22" t="s">
        <v>277</v>
      </c>
    </row>
  </sheetData>
  <sheetProtection/>
  <mergeCells count="22">
    <mergeCell ref="A27:L27"/>
    <mergeCell ref="A32:L32"/>
    <mergeCell ref="M3:M4"/>
    <mergeCell ref="A5:L5"/>
    <mergeCell ref="A8:L8"/>
    <mergeCell ref="A11:L11"/>
    <mergeCell ref="A39:L39"/>
    <mergeCell ref="A45:L45"/>
    <mergeCell ref="A14:L14"/>
    <mergeCell ref="A17:L17"/>
    <mergeCell ref="A20:L20"/>
    <mergeCell ref="A24:L2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9" sqref="A19:IV30"/>
    </sheetView>
  </sheetViews>
  <sheetFormatPr defaultColWidth="9.00390625" defaultRowHeight="12.75"/>
  <cols>
    <col min="1" max="1" width="27.25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9.125" style="5" bestFit="1" customWidth="1"/>
    <col min="7" max="9" width="5.625" style="4" bestFit="1" customWidth="1"/>
    <col min="10" max="10" width="4.875" style="4" bestFit="1" customWidth="1"/>
    <col min="11" max="11" width="11.75390625" style="5" customWidth="1"/>
    <col min="12" max="12" width="8.625" style="4" bestFit="1" customWidth="1"/>
    <col min="13" max="13" width="14.75390625" style="5" bestFit="1" customWidth="1"/>
    <col min="14" max="16384" width="9.125" style="4" customWidth="1"/>
  </cols>
  <sheetData>
    <row r="1" spans="1:13" s="3" customFormat="1" ht="28.5" customHeight="1">
      <c r="A1" s="32" t="s">
        <v>280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2</v>
      </c>
      <c r="H3" s="42"/>
      <c r="I3" s="42"/>
      <c r="J3" s="42"/>
      <c r="K3" s="42" t="s">
        <v>279</v>
      </c>
      <c r="L3" s="42" t="s">
        <v>6</v>
      </c>
      <c r="M3" s="43" t="s">
        <v>5</v>
      </c>
    </row>
    <row r="4" spans="1:13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41"/>
      <c r="L4" s="41"/>
      <c r="M4" s="44"/>
    </row>
    <row r="5" spans="1:12" ht="15">
      <c r="A5" s="45" t="s">
        <v>128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6" t="s">
        <v>281</v>
      </c>
      <c r="B6" s="6" t="s">
        <v>282</v>
      </c>
      <c r="C6" s="6" t="s">
        <v>283</v>
      </c>
      <c r="D6" s="6" t="str">
        <f>"0,6410"</f>
        <v>0,6410</v>
      </c>
      <c r="E6" s="6" t="s">
        <v>17</v>
      </c>
      <c r="F6" s="6" t="s">
        <v>284</v>
      </c>
      <c r="G6" s="8" t="s">
        <v>89</v>
      </c>
      <c r="H6" s="7" t="s">
        <v>91</v>
      </c>
      <c r="I6" s="7" t="s">
        <v>35</v>
      </c>
      <c r="J6" s="8"/>
      <c r="K6" s="6" t="str">
        <f>"245,0"</f>
        <v>245,0</v>
      </c>
      <c r="L6" s="7" t="str">
        <f>"163,7979"</f>
        <v>163,7979</v>
      </c>
      <c r="M6" s="6" t="s">
        <v>117</v>
      </c>
    </row>
    <row r="8" spans="1:12" ht="15">
      <c r="A8" s="46" t="s">
        <v>85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ht="12.75">
      <c r="A9" s="6" t="s">
        <v>285</v>
      </c>
      <c r="B9" s="6" t="s">
        <v>286</v>
      </c>
      <c r="C9" s="6" t="s">
        <v>287</v>
      </c>
      <c r="D9" s="6" t="str">
        <f>"0,6101"</f>
        <v>0,6101</v>
      </c>
      <c r="E9" s="6" t="s">
        <v>33</v>
      </c>
      <c r="F9" s="6" t="s">
        <v>288</v>
      </c>
      <c r="G9" s="7" t="s">
        <v>36</v>
      </c>
      <c r="H9" s="8" t="s">
        <v>289</v>
      </c>
      <c r="I9" s="8" t="s">
        <v>289</v>
      </c>
      <c r="J9" s="8"/>
      <c r="K9" s="6" t="str">
        <f>"250,0"</f>
        <v>250,0</v>
      </c>
      <c r="L9" s="7" t="str">
        <f>"152,5250"</f>
        <v>152,5250</v>
      </c>
      <c r="M9" s="6" t="s">
        <v>44</v>
      </c>
    </row>
    <row r="11" spans="1:12" ht="15">
      <c r="A11" s="46" t="s">
        <v>29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3" ht="12.75">
      <c r="A12" s="9" t="s">
        <v>290</v>
      </c>
      <c r="B12" s="9" t="s">
        <v>291</v>
      </c>
      <c r="C12" s="9" t="s">
        <v>252</v>
      </c>
      <c r="D12" s="9" t="str">
        <f>"0,5976"</f>
        <v>0,5976</v>
      </c>
      <c r="E12" s="9" t="s">
        <v>33</v>
      </c>
      <c r="F12" s="9" t="s">
        <v>34</v>
      </c>
      <c r="G12" s="10" t="s">
        <v>253</v>
      </c>
      <c r="H12" s="11" t="s">
        <v>215</v>
      </c>
      <c r="I12" s="11" t="s">
        <v>215</v>
      </c>
      <c r="J12" s="11"/>
      <c r="K12" s="9" t="str">
        <f>"212,5"</f>
        <v>212,5</v>
      </c>
      <c r="L12" s="10" t="str">
        <f>"126,9900"</f>
        <v>126,9900</v>
      </c>
      <c r="M12" s="9" t="s">
        <v>292</v>
      </c>
    </row>
    <row r="13" spans="1:13" ht="12.75">
      <c r="A13" s="12" t="s">
        <v>293</v>
      </c>
      <c r="B13" s="12" t="s">
        <v>294</v>
      </c>
      <c r="C13" s="12" t="s">
        <v>295</v>
      </c>
      <c r="D13" s="12" t="str">
        <f>"0,5970"</f>
        <v>0,5970</v>
      </c>
      <c r="E13" s="12" t="s">
        <v>296</v>
      </c>
      <c r="F13" s="12" t="s">
        <v>297</v>
      </c>
      <c r="G13" s="13" t="s">
        <v>53</v>
      </c>
      <c r="H13" s="13" t="s">
        <v>38</v>
      </c>
      <c r="I13" s="14" t="s">
        <v>127</v>
      </c>
      <c r="J13" s="14"/>
      <c r="K13" s="12" t="str">
        <f>"180,0"</f>
        <v>180,0</v>
      </c>
      <c r="L13" s="13" t="str">
        <f>"107,4600"</f>
        <v>107,4600</v>
      </c>
      <c r="M13" s="12" t="s">
        <v>299</v>
      </c>
    </row>
    <row r="15" ht="15">
      <c r="E15" s="15" t="s">
        <v>59</v>
      </c>
    </row>
    <row r="16" ht="15">
      <c r="E16" s="15" t="s">
        <v>60</v>
      </c>
    </row>
    <row r="17" ht="15">
      <c r="E17" s="15"/>
    </row>
  </sheetData>
  <sheetProtection/>
  <mergeCells count="14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6.00390625" style="5" bestFit="1" customWidth="1"/>
    <col min="2" max="2" width="22.8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0.25390625" style="5" bestFit="1" customWidth="1"/>
    <col min="7" max="9" width="5.625" style="4" bestFit="1" customWidth="1"/>
    <col min="10" max="10" width="4.875" style="4" bestFit="1" customWidth="1"/>
    <col min="11" max="11" width="11.75390625" style="5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32" t="s">
        <v>1130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2</v>
      </c>
      <c r="H3" s="42"/>
      <c r="I3" s="42"/>
      <c r="J3" s="42"/>
      <c r="K3" s="42" t="s">
        <v>279</v>
      </c>
      <c r="L3" s="42" t="s">
        <v>6</v>
      </c>
      <c r="M3" s="43" t="s">
        <v>5</v>
      </c>
    </row>
    <row r="4" spans="1:13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41"/>
      <c r="L4" s="41"/>
      <c r="M4" s="44"/>
    </row>
    <row r="5" spans="1:12" ht="15">
      <c r="A5" s="45" t="s">
        <v>128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6" t="s">
        <v>301</v>
      </c>
      <c r="B6" s="6" t="s">
        <v>302</v>
      </c>
      <c r="C6" s="6" t="s">
        <v>303</v>
      </c>
      <c r="D6" s="6" t="str">
        <f>"0,6528"</f>
        <v>0,6528</v>
      </c>
      <c r="E6" s="6" t="s">
        <v>17</v>
      </c>
      <c r="F6" s="6" t="s">
        <v>304</v>
      </c>
      <c r="G6" s="7" t="s">
        <v>91</v>
      </c>
      <c r="H6" s="7" t="s">
        <v>35</v>
      </c>
      <c r="I6" s="7" t="s">
        <v>110</v>
      </c>
      <c r="J6" s="8"/>
      <c r="K6" s="6" t="str">
        <f>"252,5"</f>
        <v>252,5</v>
      </c>
      <c r="L6" s="7" t="str">
        <f>"164,8320"</f>
        <v>164,8320</v>
      </c>
      <c r="M6" s="6" t="s">
        <v>57</v>
      </c>
    </row>
    <row r="8" ht="15">
      <c r="E8" s="15" t="s">
        <v>59</v>
      </c>
    </row>
    <row r="9" ht="15">
      <c r="E9" s="15" t="s">
        <v>60</v>
      </c>
    </row>
    <row r="10" ht="15">
      <c r="E10" s="15"/>
    </row>
    <row r="12" spans="1:2" ht="18">
      <c r="A12" s="16" t="s">
        <v>64</v>
      </c>
      <c r="B12" s="16"/>
    </row>
    <row r="13" spans="1:2" ht="15">
      <c r="A13" s="17" t="s">
        <v>65</v>
      </c>
      <c r="B13" s="17"/>
    </row>
    <row r="14" spans="1:2" ht="14.25">
      <c r="A14" s="19"/>
      <c r="B14" s="20" t="s">
        <v>74</v>
      </c>
    </row>
    <row r="15" spans="1:5" ht="15">
      <c r="A15" s="21" t="s">
        <v>67</v>
      </c>
      <c r="B15" s="21" t="s">
        <v>68</v>
      </c>
      <c r="C15" s="21" t="s">
        <v>69</v>
      </c>
      <c r="D15" s="21" t="s">
        <v>70</v>
      </c>
      <c r="E15" s="21" t="s">
        <v>71</v>
      </c>
    </row>
    <row r="16" spans="1:5" ht="12.75">
      <c r="A16" s="18" t="s">
        <v>300</v>
      </c>
      <c r="B16" s="5" t="s">
        <v>74</v>
      </c>
      <c r="C16" s="5" t="s">
        <v>149</v>
      </c>
      <c r="D16" s="5" t="s">
        <v>110</v>
      </c>
      <c r="E16" s="22" t="s">
        <v>305</v>
      </c>
    </row>
  </sheetData>
  <sheetProtection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44" sqref="A44:IV56"/>
    </sheetView>
  </sheetViews>
  <sheetFormatPr defaultColWidth="9.00390625" defaultRowHeight="12.75"/>
  <cols>
    <col min="1" max="1" width="30.00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3.25390625" style="5" bestFit="1" customWidth="1"/>
    <col min="7" max="9" width="5.625" style="4" bestFit="1" customWidth="1"/>
    <col min="10" max="10" width="4.875" style="4" bestFit="1" customWidth="1"/>
    <col min="11" max="11" width="10.875" style="5" customWidth="1"/>
    <col min="12" max="12" width="8.625" style="4" bestFit="1" customWidth="1"/>
    <col min="13" max="13" width="14.375" style="5" bestFit="1" customWidth="1"/>
    <col min="14" max="16384" width="9.125" style="4" customWidth="1"/>
  </cols>
  <sheetData>
    <row r="1" spans="1:13" s="3" customFormat="1" ht="28.5" customHeight="1">
      <c r="A1" s="32" t="s">
        <v>1129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3</v>
      </c>
      <c r="H3" s="42"/>
      <c r="I3" s="42"/>
      <c r="J3" s="42"/>
      <c r="K3" s="42" t="s">
        <v>279</v>
      </c>
      <c r="L3" s="42" t="s">
        <v>6</v>
      </c>
      <c r="M3" s="43" t="s">
        <v>5</v>
      </c>
    </row>
    <row r="4" spans="1:13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41"/>
      <c r="L4" s="41"/>
      <c r="M4" s="44"/>
    </row>
    <row r="5" spans="1:12" ht="15">
      <c r="A5" s="45" t="s">
        <v>162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6" t="s">
        <v>306</v>
      </c>
      <c r="B6" s="6" t="s">
        <v>307</v>
      </c>
      <c r="C6" s="6" t="s">
        <v>308</v>
      </c>
      <c r="D6" s="6" t="str">
        <f>"1,2905"</f>
        <v>1,2905</v>
      </c>
      <c r="E6" s="6" t="s">
        <v>33</v>
      </c>
      <c r="F6" s="6" t="s">
        <v>34</v>
      </c>
      <c r="G6" s="7" t="s">
        <v>273</v>
      </c>
      <c r="H6" s="7" t="s">
        <v>309</v>
      </c>
      <c r="I6" s="7" t="s">
        <v>149</v>
      </c>
      <c r="J6" s="8"/>
      <c r="K6" s="6" t="str">
        <f>"90,0"</f>
        <v>90,0</v>
      </c>
      <c r="L6" s="7" t="str">
        <f>"116,1450"</f>
        <v>116,1450</v>
      </c>
      <c r="M6" s="6" t="s">
        <v>310</v>
      </c>
    </row>
    <row r="8" spans="1:12" ht="15">
      <c r="A8" s="46" t="s">
        <v>189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ht="12.75">
      <c r="A9" s="9" t="s">
        <v>311</v>
      </c>
      <c r="B9" s="9" t="s">
        <v>312</v>
      </c>
      <c r="C9" s="9" t="s">
        <v>313</v>
      </c>
      <c r="D9" s="9" t="str">
        <f>"1,0503"</f>
        <v>1,0503</v>
      </c>
      <c r="E9" s="9" t="s">
        <v>33</v>
      </c>
      <c r="F9" s="9" t="s">
        <v>34</v>
      </c>
      <c r="G9" s="10" t="s">
        <v>21</v>
      </c>
      <c r="H9" s="10" t="s">
        <v>53</v>
      </c>
      <c r="I9" s="10" t="s">
        <v>55</v>
      </c>
      <c r="J9" s="11"/>
      <c r="K9" s="9" t="str">
        <f>"170,0"</f>
        <v>170,0</v>
      </c>
      <c r="L9" s="10" t="str">
        <f>"178,5510"</f>
        <v>178,5510</v>
      </c>
      <c r="M9" s="9" t="s">
        <v>188</v>
      </c>
    </row>
    <row r="10" spans="1:13" ht="12.75">
      <c r="A10" s="12" t="s">
        <v>314</v>
      </c>
      <c r="B10" s="12" t="s">
        <v>315</v>
      </c>
      <c r="C10" s="12" t="s">
        <v>316</v>
      </c>
      <c r="D10" s="12" t="str">
        <f>"1,1021"</f>
        <v>1,1021</v>
      </c>
      <c r="E10" s="12" t="s">
        <v>33</v>
      </c>
      <c r="F10" s="12" t="s">
        <v>34</v>
      </c>
      <c r="G10" s="13" t="s">
        <v>20</v>
      </c>
      <c r="H10" s="13" t="s">
        <v>21</v>
      </c>
      <c r="I10" s="14" t="s">
        <v>53</v>
      </c>
      <c r="J10" s="14"/>
      <c r="K10" s="12" t="str">
        <f>"150,0"</f>
        <v>150,0</v>
      </c>
      <c r="L10" s="13" t="str">
        <f>"165,3150"</f>
        <v>165,3150</v>
      </c>
      <c r="M10" s="12" t="s">
        <v>188</v>
      </c>
    </row>
    <row r="12" spans="1:12" ht="15">
      <c r="A12" s="46" t="s">
        <v>183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3" ht="12.75">
      <c r="A13" s="9" t="s">
        <v>317</v>
      </c>
      <c r="B13" s="9" t="s">
        <v>318</v>
      </c>
      <c r="C13" s="9" t="s">
        <v>202</v>
      </c>
      <c r="D13" s="9" t="str">
        <f>"0,7264"</f>
        <v>0,7264</v>
      </c>
      <c r="E13" s="9" t="s">
        <v>17</v>
      </c>
      <c r="F13" s="9" t="s">
        <v>319</v>
      </c>
      <c r="G13" s="11" t="s">
        <v>38</v>
      </c>
      <c r="H13" s="10" t="s">
        <v>38</v>
      </c>
      <c r="I13" s="11" t="s">
        <v>26</v>
      </c>
      <c r="J13" s="11"/>
      <c r="K13" s="9" t="str">
        <f>"180,0"</f>
        <v>180,0</v>
      </c>
      <c r="L13" s="10" t="str">
        <f>"130,7520"</f>
        <v>130,7520</v>
      </c>
      <c r="M13" s="9" t="s">
        <v>44</v>
      </c>
    </row>
    <row r="14" spans="1:13" ht="12.75">
      <c r="A14" s="23" t="s">
        <v>320</v>
      </c>
      <c r="B14" s="23" t="s">
        <v>321</v>
      </c>
      <c r="C14" s="23" t="s">
        <v>322</v>
      </c>
      <c r="D14" s="23" t="str">
        <f>"0,7152"</f>
        <v>0,7152</v>
      </c>
      <c r="E14" s="23" t="s">
        <v>323</v>
      </c>
      <c r="F14" s="23" t="s">
        <v>324</v>
      </c>
      <c r="G14" s="24" t="s">
        <v>27</v>
      </c>
      <c r="H14" s="24" t="s">
        <v>127</v>
      </c>
      <c r="I14" s="25" t="s">
        <v>52</v>
      </c>
      <c r="J14" s="25"/>
      <c r="K14" s="23" t="str">
        <f>"210,0"</f>
        <v>210,0</v>
      </c>
      <c r="L14" s="24" t="str">
        <f>"150,1920"</f>
        <v>150,1920</v>
      </c>
      <c r="M14" s="23" t="s">
        <v>44</v>
      </c>
    </row>
    <row r="15" spans="1:13" ht="12.75">
      <c r="A15" s="23" t="s">
        <v>325</v>
      </c>
      <c r="B15" s="23" t="s">
        <v>326</v>
      </c>
      <c r="C15" s="23" t="s">
        <v>322</v>
      </c>
      <c r="D15" s="23" t="str">
        <f>"0,7152"</f>
        <v>0,7152</v>
      </c>
      <c r="E15" s="23" t="s">
        <v>17</v>
      </c>
      <c r="F15" s="23" t="s">
        <v>327</v>
      </c>
      <c r="G15" s="24" t="s">
        <v>116</v>
      </c>
      <c r="H15" s="24" t="s">
        <v>228</v>
      </c>
      <c r="I15" s="25" t="s">
        <v>52</v>
      </c>
      <c r="J15" s="25"/>
      <c r="K15" s="23" t="str">
        <f>"205,0"</f>
        <v>205,0</v>
      </c>
      <c r="L15" s="24" t="str">
        <f>"146,6160"</f>
        <v>146,6160</v>
      </c>
      <c r="M15" s="23" t="s">
        <v>44</v>
      </c>
    </row>
    <row r="16" spans="1:13" ht="12.75">
      <c r="A16" s="12" t="s">
        <v>328</v>
      </c>
      <c r="B16" s="12" t="s">
        <v>329</v>
      </c>
      <c r="C16" s="12" t="s">
        <v>330</v>
      </c>
      <c r="D16" s="12" t="str">
        <f>"0,7207"</f>
        <v>0,7207</v>
      </c>
      <c r="E16" s="12" t="s">
        <v>33</v>
      </c>
      <c r="F16" s="12" t="s">
        <v>34</v>
      </c>
      <c r="G16" s="13" t="s">
        <v>203</v>
      </c>
      <c r="H16" s="13" t="s">
        <v>24</v>
      </c>
      <c r="I16" s="13" t="s">
        <v>208</v>
      </c>
      <c r="J16" s="14"/>
      <c r="K16" s="12" t="str">
        <f>"117,5"</f>
        <v>117,5</v>
      </c>
      <c r="L16" s="13" t="str">
        <f>"166,0619"</f>
        <v>166,0619</v>
      </c>
      <c r="M16" s="12" t="s">
        <v>44</v>
      </c>
    </row>
    <row r="18" spans="1:12" ht="15">
      <c r="A18" s="46" t="s">
        <v>13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3" ht="12.75">
      <c r="A19" s="9" t="s">
        <v>331</v>
      </c>
      <c r="B19" s="9" t="s">
        <v>332</v>
      </c>
      <c r="C19" s="9" t="s">
        <v>333</v>
      </c>
      <c r="D19" s="9" t="str">
        <f>"0,6749"</f>
        <v>0,6749</v>
      </c>
      <c r="E19" s="9" t="s">
        <v>33</v>
      </c>
      <c r="F19" s="9" t="s">
        <v>34</v>
      </c>
      <c r="G19" s="10" t="s">
        <v>27</v>
      </c>
      <c r="H19" s="11" t="s">
        <v>52</v>
      </c>
      <c r="I19" s="10" t="s">
        <v>52</v>
      </c>
      <c r="J19" s="11"/>
      <c r="K19" s="9" t="str">
        <f>"215,0"</f>
        <v>215,0</v>
      </c>
      <c r="L19" s="10" t="str">
        <f>"145,1035"</f>
        <v>145,1035</v>
      </c>
      <c r="M19" s="9" t="s">
        <v>334</v>
      </c>
    </row>
    <row r="20" spans="1:13" ht="12.75">
      <c r="A20" s="12" t="s">
        <v>335</v>
      </c>
      <c r="B20" s="12" t="s">
        <v>336</v>
      </c>
      <c r="C20" s="12" t="s">
        <v>337</v>
      </c>
      <c r="D20" s="12" t="str">
        <f>"0,6724"</f>
        <v>0,6724</v>
      </c>
      <c r="E20" s="12" t="s">
        <v>33</v>
      </c>
      <c r="F20" s="12" t="s">
        <v>34</v>
      </c>
      <c r="G20" s="13" t="s">
        <v>27</v>
      </c>
      <c r="H20" s="13" t="s">
        <v>127</v>
      </c>
      <c r="I20" s="13" t="s">
        <v>81</v>
      </c>
      <c r="J20" s="14"/>
      <c r="K20" s="12" t="str">
        <f>"222,5"</f>
        <v>222,5</v>
      </c>
      <c r="L20" s="13" t="str">
        <f>"159,7824"</f>
        <v>159,7824</v>
      </c>
      <c r="M20" s="12" t="s">
        <v>44</v>
      </c>
    </row>
    <row r="22" spans="1:12" ht="15">
      <c r="A22" s="46" t="s">
        <v>128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3" ht="12.75">
      <c r="A23" s="6" t="s">
        <v>338</v>
      </c>
      <c r="B23" s="6" t="s">
        <v>339</v>
      </c>
      <c r="C23" s="6" t="s">
        <v>340</v>
      </c>
      <c r="D23" s="6" t="str">
        <f>"0,6570"</f>
        <v>0,6570</v>
      </c>
      <c r="E23" s="6" t="s">
        <v>33</v>
      </c>
      <c r="F23" s="6" t="s">
        <v>34</v>
      </c>
      <c r="G23" s="7" t="s">
        <v>21</v>
      </c>
      <c r="H23" s="7" t="s">
        <v>53</v>
      </c>
      <c r="I23" s="7" t="s">
        <v>55</v>
      </c>
      <c r="J23" s="8"/>
      <c r="K23" s="6" t="str">
        <f>"170,0"</f>
        <v>170,0</v>
      </c>
      <c r="L23" s="7" t="str">
        <f>"111,6900"</f>
        <v>111,6900</v>
      </c>
      <c r="M23" s="6" t="s">
        <v>57</v>
      </c>
    </row>
    <row r="25" spans="1:12" ht="15">
      <c r="A25" s="46" t="s">
        <v>85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3" ht="12.75">
      <c r="A26" s="9" t="s">
        <v>341</v>
      </c>
      <c r="B26" s="9" t="s">
        <v>342</v>
      </c>
      <c r="C26" s="9" t="s">
        <v>235</v>
      </c>
      <c r="D26" s="9" t="str">
        <f>"0,6134"</f>
        <v>0,6134</v>
      </c>
      <c r="E26" s="9" t="s">
        <v>17</v>
      </c>
      <c r="F26" s="9" t="s">
        <v>343</v>
      </c>
      <c r="G26" s="10" t="s">
        <v>37</v>
      </c>
      <c r="H26" s="10" t="s">
        <v>136</v>
      </c>
      <c r="I26" s="11" t="s">
        <v>344</v>
      </c>
      <c r="J26" s="11"/>
      <c r="K26" s="9" t="str">
        <f>"280,0"</f>
        <v>280,0</v>
      </c>
      <c r="L26" s="10" t="str">
        <f>"171,7520"</f>
        <v>171,7520</v>
      </c>
      <c r="M26" s="9" t="s">
        <v>345</v>
      </c>
    </row>
    <row r="27" spans="1:13" ht="12.75">
      <c r="A27" s="12" t="s">
        <v>346</v>
      </c>
      <c r="B27" s="12" t="s">
        <v>241</v>
      </c>
      <c r="C27" s="12" t="s">
        <v>242</v>
      </c>
      <c r="D27" s="12" t="str">
        <f>"0,6161"</f>
        <v>0,6161</v>
      </c>
      <c r="E27" s="12" t="s">
        <v>17</v>
      </c>
      <c r="F27" s="12" t="s">
        <v>243</v>
      </c>
      <c r="G27" s="13" t="s">
        <v>127</v>
      </c>
      <c r="H27" s="13" t="s">
        <v>89</v>
      </c>
      <c r="I27" s="14" t="s">
        <v>103</v>
      </c>
      <c r="J27" s="14"/>
      <c r="K27" s="12" t="str">
        <f>"225,0"</f>
        <v>225,0</v>
      </c>
      <c r="L27" s="13" t="str">
        <f>"142,9198"</f>
        <v>142,9198</v>
      </c>
      <c r="M27" s="12" t="s">
        <v>244</v>
      </c>
    </row>
    <row r="29" spans="1:12" ht="15">
      <c r="A29" s="46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3" ht="12.75">
      <c r="A30" s="6" t="s">
        <v>347</v>
      </c>
      <c r="B30" s="6" t="s">
        <v>348</v>
      </c>
      <c r="C30" s="6" t="s">
        <v>107</v>
      </c>
      <c r="D30" s="6" t="str">
        <f>"0,5905"</f>
        <v>0,5905</v>
      </c>
      <c r="E30" s="6" t="s">
        <v>17</v>
      </c>
      <c r="F30" s="6" t="s">
        <v>349</v>
      </c>
      <c r="G30" s="7" t="s">
        <v>43</v>
      </c>
      <c r="H30" s="7" t="s">
        <v>147</v>
      </c>
      <c r="I30" s="8" t="s">
        <v>350</v>
      </c>
      <c r="J30" s="8"/>
      <c r="K30" s="6" t="str">
        <f>"315,0"</f>
        <v>315,0</v>
      </c>
      <c r="L30" s="7" t="str">
        <f>"186,0075"</f>
        <v>186,0075</v>
      </c>
      <c r="M30" s="6" t="s">
        <v>351</v>
      </c>
    </row>
    <row r="32" spans="1:12" ht="15">
      <c r="A32" s="46" t="s">
        <v>45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3" ht="12.75">
      <c r="A33" s="6" t="s">
        <v>353</v>
      </c>
      <c r="B33" s="6" t="s">
        <v>354</v>
      </c>
      <c r="C33" s="6" t="s">
        <v>355</v>
      </c>
      <c r="D33" s="6" t="str">
        <f>"0,5718"</f>
        <v>0,5718</v>
      </c>
      <c r="E33" s="6" t="s">
        <v>33</v>
      </c>
      <c r="F33" s="6" t="s">
        <v>34</v>
      </c>
      <c r="G33" s="7" t="s">
        <v>356</v>
      </c>
      <c r="H33" s="7" t="s">
        <v>357</v>
      </c>
      <c r="I33" s="8" t="s">
        <v>358</v>
      </c>
      <c r="J33" s="8"/>
      <c r="K33" s="6" t="str">
        <f>"345,0"</f>
        <v>345,0</v>
      </c>
      <c r="L33" s="7" t="str">
        <f>"197,2710"</f>
        <v>197,2710</v>
      </c>
      <c r="M33" s="6" t="s">
        <v>44</v>
      </c>
    </row>
    <row r="35" ht="15">
      <c r="E35" s="15" t="s">
        <v>59</v>
      </c>
    </row>
    <row r="36" ht="15">
      <c r="E36" s="15" t="s">
        <v>60</v>
      </c>
    </row>
    <row r="37" ht="15">
      <c r="E37" s="15"/>
    </row>
    <row r="39" spans="1:2" ht="18">
      <c r="A39" s="16" t="s">
        <v>64</v>
      </c>
      <c r="B39" s="16"/>
    </row>
    <row r="40" spans="1:2" ht="15">
      <c r="A40" s="17" t="s">
        <v>65</v>
      </c>
      <c r="B40" s="17"/>
    </row>
    <row r="41" spans="1:2" ht="14.25">
      <c r="A41" s="19"/>
      <c r="B41" s="20" t="s">
        <v>74</v>
      </c>
    </row>
    <row r="42" spans="1:5" ht="15">
      <c r="A42" s="21" t="s">
        <v>67</v>
      </c>
      <c r="B42" s="21" t="s">
        <v>68</v>
      </c>
      <c r="C42" s="21" t="s">
        <v>69</v>
      </c>
      <c r="D42" s="21" t="s">
        <v>70</v>
      </c>
      <c r="E42" s="21" t="s">
        <v>71</v>
      </c>
    </row>
    <row r="43" spans="1:5" ht="12.75">
      <c r="A43" s="18" t="s">
        <v>352</v>
      </c>
      <c r="B43" s="5" t="s">
        <v>74</v>
      </c>
      <c r="C43" s="5" t="s">
        <v>73</v>
      </c>
      <c r="D43" s="5" t="s">
        <v>357</v>
      </c>
      <c r="E43" s="22" t="s">
        <v>359</v>
      </c>
    </row>
  </sheetData>
  <sheetProtection/>
  <mergeCells count="19">
    <mergeCell ref="A18:L18"/>
    <mergeCell ref="A22:L22"/>
    <mergeCell ref="A25:L25"/>
    <mergeCell ref="A29:L29"/>
    <mergeCell ref="A32:L32"/>
    <mergeCell ref="K3:K4"/>
    <mergeCell ref="L3:L4"/>
    <mergeCell ref="F3:F4"/>
    <mergeCell ref="G3:J3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4">
      <selection activeCell="A20" sqref="A20:IV31"/>
    </sheetView>
  </sheetViews>
  <sheetFormatPr defaultColWidth="9.00390625" defaultRowHeight="12.75"/>
  <cols>
    <col min="1" max="1" width="27.25390625" style="5" bestFit="1" customWidth="1"/>
    <col min="2" max="2" width="28.3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0.375" style="5" bestFit="1" customWidth="1"/>
    <col min="7" max="9" width="5.625" style="4" bestFit="1" customWidth="1"/>
    <col min="10" max="10" width="4.875" style="4" bestFit="1" customWidth="1"/>
    <col min="11" max="11" width="11.625" style="5" customWidth="1"/>
    <col min="12" max="12" width="8.625" style="4" bestFit="1" customWidth="1"/>
    <col min="13" max="13" width="31.375" style="5" bestFit="1" customWidth="1"/>
    <col min="14" max="16384" width="9.125" style="4" customWidth="1"/>
  </cols>
  <sheetData>
    <row r="1" spans="1:13" s="3" customFormat="1" ht="28.5" customHeight="1">
      <c r="A1" s="32" t="s">
        <v>1128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3</v>
      </c>
      <c r="H3" s="42"/>
      <c r="I3" s="42"/>
      <c r="J3" s="42"/>
      <c r="K3" s="42" t="s">
        <v>279</v>
      </c>
      <c r="L3" s="42" t="s">
        <v>6</v>
      </c>
      <c r="M3" s="43" t="s">
        <v>5</v>
      </c>
    </row>
    <row r="4" spans="1:13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41"/>
      <c r="L4" s="41"/>
      <c r="M4" s="44"/>
    </row>
    <row r="5" spans="1:12" ht="15">
      <c r="A5" s="45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9" t="s">
        <v>360</v>
      </c>
      <c r="B6" s="9" t="s">
        <v>15</v>
      </c>
      <c r="C6" s="9" t="s">
        <v>16</v>
      </c>
      <c r="D6" s="9" t="str">
        <f>"0,6779"</f>
        <v>0,6779</v>
      </c>
      <c r="E6" s="9" t="s">
        <v>17</v>
      </c>
      <c r="F6" s="9" t="s">
        <v>18</v>
      </c>
      <c r="G6" s="10" t="s">
        <v>25</v>
      </c>
      <c r="H6" s="10" t="s">
        <v>26</v>
      </c>
      <c r="I6" s="10" t="s">
        <v>228</v>
      </c>
      <c r="J6" s="11"/>
      <c r="K6" s="9" t="str">
        <f>"205,0"</f>
        <v>205,0</v>
      </c>
      <c r="L6" s="10" t="str">
        <f>"138,9695"</f>
        <v>138,9695</v>
      </c>
      <c r="M6" s="9" t="s">
        <v>28</v>
      </c>
    </row>
    <row r="7" spans="1:13" ht="12.75">
      <c r="A7" s="12" t="s">
        <v>361</v>
      </c>
      <c r="B7" s="12" t="s">
        <v>125</v>
      </c>
      <c r="C7" s="12" t="s">
        <v>126</v>
      </c>
      <c r="D7" s="12" t="str">
        <f>"0,6785"</f>
        <v>0,6785</v>
      </c>
      <c r="E7" s="12" t="s">
        <v>33</v>
      </c>
      <c r="F7" s="12" t="s">
        <v>18</v>
      </c>
      <c r="G7" s="13" t="s">
        <v>25</v>
      </c>
      <c r="H7" s="14"/>
      <c r="I7" s="14"/>
      <c r="J7" s="14"/>
      <c r="K7" s="12" t="str">
        <f>"175,0"</f>
        <v>175,0</v>
      </c>
      <c r="L7" s="13" t="str">
        <f>"118,7375"</f>
        <v>118,7375</v>
      </c>
      <c r="M7" s="12" t="s">
        <v>28</v>
      </c>
    </row>
    <row r="9" spans="1:12" ht="15">
      <c r="A9" s="46" t="s">
        <v>128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3" ht="12.75">
      <c r="A10" s="6" t="s">
        <v>129</v>
      </c>
      <c r="B10" s="6" t="s">
        <v>130</v>
      </c>
      <c r="C10" s="6" t="s">
        <v>131</v>
      </c>
      <c r="D10" s="6" t="str">
        <f>"0,6451"</f>
        <v>0,6451</v>
      </c>
      <c r="E10" s="6" t="s">
        <v>33</v>
      </c>
      <c r="F10" s="6" t="s">
        <v>18</v>
      </c>
      <c r="G10" s="7" t="s">
        <v>27</v>
      </c>
      <c r="H10" s="8"/>
      <c r="I10" s="8"/>
      <c r="J10" s="8"/>
      <c r="K10" s="6" t="str">
        <f>"200,0"</f>
        <v>200,0</v>
      </c>
      <c r="L10" s="7" t="str">
        <f>"129,0200"</f>
        <v>129,0200</v>
      </c>
      <c r="M10" s="6" t="s">
        <v>28</v>
      </c>
    </row>
    <row r="12" spans="1:12" ht="15">
      <c r="A12" s="46" t="s">
        <v>85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3" ht="12.75">
      <c r="A13" s="9" t="s">
        <v>362</v>
      </c>
      <c r="B13" s="9" t="s">
        <v>363</v>
      </c>
      <c r="C13" s="9" t="s">
        <v>364</v>
      </c>
      <c r="D13" s="9" t="str">
        <f>"0,6121"</f>
        <v>0,6121</v>
      </c>
      <c r="E13" s="9" t="s">
        <v>33</v>
      </c>
      <c r="F13" s="9" t="s">
        <v>18</v>
      </c>
      <c r="G13" s="10" t="s">
        <v>43</v>
      </c>
      <c r="H13" s="10" t="s">
        <v>147</v>
      </c>
      <c r="I13" s="11" t="s">
        <v>350</v>
      </c>
      <c r="J13" s="11"/>
      <c r="K13" s="9" t="str">
        <f>"315,0"</f>
        <v>315,0</v>
      </c>
      <c r="L13" s="10" t="str">
        <f>"192,8115"</f>
        <v>192,8115</v>
      </c>
      <c r="M13" s="9" t="s">
        <v>365</v>
      </c>
    </row>
    <row r="14" spans="1:13" ht="12.75">
      <c r="A14" s="12" t="s">
        <v>366</v>
      </c>
      <c r="B14" s="12" t="s">
        <v>87</v>
      </c>
      <c r="C14" s="12" t="s">
        <v>88</v>
      </c>
      <c r="D14" s="12" t="str">
        <f>"0,6116"</f>
        <v>0,6116</v>
      </c>
      <c r="E14" s="12" t="s">
        <v>33</v>
      </c>
      <c r="F14" s="12" t="s">
        <v>18</v>
      </c>
      <c r="G14" s="13" t="s">
        <v>27</v>
      </c>
      <c r="H14" s="14"/>
      <c r="I14" s="14"/>
      <c r="J14" s="14"/>
      <c r="K14" s="12" t="str">
        <f>"200,0"</f>
        <v>200,0</v>
      </c>
      <c r="L14" s="13" t="str">
        <f>"122,3200"</f>
        <v>122,3200</v>
      </c>
      <c r="M14" s="12" t="s">
        <v>28</v>
      </c>
    </row>
    <row r="16" ht="15">
      <c r="E16" s="15" t="s">
        <v>59</v>
      </c>
    </row>
    <row r="17" ht="15">
      <c r="E17" s="15" t="s">
        <v>60</v>
      </c>
    </row>
    <row r="18" ht="15">
      <c r="E18" s="15"/>
    </row>
  </sheetData>
  <sheetProtection/>
  <mergeCells count="14"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0">
      <selection activeCell="A31" sqref="A31:IV36"/>
    </sheetView>
  </sheetViews>
  <sheetFormatPr defaultColWidth="9.00390625" defaultRowHeight="12.75"/>
  <cols>
    <col min="1" max="1" width="28.375" style="5" bestFit="1" customWidth="1"/>
    <col min="2" max="2" width="22.8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0.37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5.875" style="5" bestFit="1" customWidth="1"/>
    <col min="22" max="16384" width="9.125" style="4" customWidth="1"/>
  </cols>
  <sheetData>
    <row r="1" spans="1:21" s="3" customFormat="1" ht="28.5" customHeight="1">
      <c r="A1" s="32" t="s">
        <v>1133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1</v>
      </c>
      <c r="H3" s="42"/>
      <c r="I3" s="42"/>
      <c r="J3" s="42"/>
      <c r="K3" s="42" t="s">
        <v>2</v>
      </c>
      <c r="L3" s="42"/>
      <c r="M3" s="42"/>
      <c r="N3" s="42"/>
      <c r="O3" s="42" t="s">
        <v>3</v>
      </c>
      <c r="P3" s="42"/>
      <c r="Q3" s="42"/>
      <c r="R3" s="42"/>
      <c r="S3" s="42" t="s">
        <v>4</v>
      </c>
      <c r="T3" s="42" t="s">
        <v>6</v>
      </c>
      <c r="U3" s="43" t="s">
        <v>5</v>
      </c>
    </row>
    <row r="4" spans="1:21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1"/>
      <c r="T4" s="41"/>
      <c r="U4" s="44"/>
    </row>
    <row r="5" spans="1:20" ht="15">
      <c r="A5" s="45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12.75">
      <c r="A6" s="6" t="s">
        <v>78</v>
      </c>
      <c r="B6" s="6" t="s">
        <v>79</v>
      </c>
      <c r="C6" s="6" t="s">
        <v>80</v>
      </c>
      <c r="D6" s="6" t="str">
        <f>"0,6744"</f>
        <v>0,6744</v>
      </c>
      <c r="E6" s="6" t="s">
        <v>33</v>
      </c>
      <c r="F6" s="6" t="s">
        <v>34</v>
      </c>
      <c r="G6" s="7" t="s">
        <v>27</v>
      </c>
      <c r="H6" s="7" t="s">
        <v>52</v>
      </c>
      <c r="I6" s="8" t="s">
        <v>81</v>
      </c>
      <c r="J6" s="8"/>
      <c r="K6" s="7" t="s">
        <v>82</v>
      </c>
      <c r="L6" s="7" t="s">
        <v>21</v>
      </c>
      <c r="M6" s="7" t="s">
        <v>83</v>
      </c>
      <c r="N6" s="8"/>
      <c r="O6" s="7" t="s">
        <v>52</v>
      </c>
      <c r="P6" s="7" t="s">
        <v>56</v>
      </c>
      <c r="Q6" s="7" t="s">
        <v>84</v>
      </c>
      <c r="R6" s="8"/>
      <c r="S6" s="6" t="str">
        <f>"612,5"</f>
        <v>612,5</v>
      </c>
      <c r="T6" s="7" t="str">
        <f>"413,0700"</f>
        <v>413,0700</v>
      </c>
      <c r="U6" s="6" t="s">
        <v>57</v>
      </c>
    </row>
    <row r="8" spans="1:20" ht="15">
      <c r="A8" s="46" t="s">
        <v>85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ht="12.75">
      <c r="A9" s="9" t="s">
        <v>86</v>
      </c>
      <c r="B9" s="9" t="s">
        <v>87</v>
      </c>
      <c r="C9" s="9" t="s">
        <v>88</v>
      </c>
      <c r="D9" s="9" t="str">
        <f>"0,6116"</f>
        <v>0,6116</v>
      </c>
      <c r="E9" s="9" t="s">
        <v>17</v>
      </c>
      <c r="F9" s="9" t="s">
        <v>18</v>
      </c>
      <c r="G9" s="10" t="s">
        <v>27</v>
      </c>
      <c r="H9" s="10" t="s">
        <v>52</v>
      </c>
      <c r="I9" s="11" t="s">
        <v>89</v>
      </c>
      <c r="J9" s="11"/>
      <c r="K9" s="10" t="s">
        <v>54</v>
      </c>
      <c r="L9" s="10" t="s">
        <v>25</v>
      </c>
      <c r="M9" s="11" t="s">
        <v>90</v>
      </c>
      <c r="N9" s="11"/>
      <c r="O9" s="10" t="s">
        <v>91</v>
      </c>
      <c r="P9" s="10" t="s">
        <v>36</v>
      </c>
      <c r="Q9" s="10" t="s">
        <v>92</v>
      </c>
      <c r="R9" s="11"/>
      <c r="S9" s="9" t="str">
        <f>"647,5"</f>
        <v>647,5</v>
      </c>
      <c r="T9" s="10" t="str">
        <f>"396,0110"</f>
        <v>396,0110</v>
      </c>
      <c r="U9" s="9" t="s">
        <v>28</v>
      </c>
    </row>
    <row r="10" spans="1:21" ht="12.75">
      <c r="A10" s="12" t="s">
        <v>93</v>
      </c>
      <c r="B10" s="12" t="s">
        <v>94</v>
      </c>
      <c r="C10" s="12" t="s">
        <v>95</v>
      </c>
      <c r="D10" s="12" t="str">
        <f>"0,6209"</f>
        <v>0,6209</v>
      </c>
      <c r="E10" s="12" t="s">
        <v>17</v>
      </c>
      <c r="F10" s="12" t="s">
        <v>96</v>
      </c>
      <c r="G10" s="13" t="s">
        <v>36</v>
      </c>
      <c r="H10" s="14" t="s">
        <v>37</v>
      </c>
      <c r="I10" s="14" t="s">
        <v>97</v>
      </c>
      <c r="J10" s="14"/>
      <c r="K10" s="13" t="s">
        <v>21</v>
      </c>
      <c r="L10" s="14" t="s">
        <v>53</v>
      </c>
      <c r="M10" s="14" t="s">
        <v>53</v>
      </c>
      <c r="N10" s="14"/>
      <c r="O10" s="13" t="s">
        <v>56</v>
      </c>
      <c r="P10" s="13" t="s">
        <v>35</v>
      </c>
      <c r="Q10" s="14" t="s">
        <v>98</v>
      </c>
      <c r="R10" s="14"/>
      <c r="S10" s="12" t="str">
        <f>"645,0"</f>
        <v>645,0</v>
      </c>
      <c r="T10" s="13" t="str">
        <f>"400,4805"</f>
        <v>400,4805</v>
      </c>
      <c r="U10" s="12" t="s">
        <v>57</v>
      </c>
    </row>
    <row r="12" spans="1:20" ht="15">
      <c r="A12" s="46" t="s">
        <v>29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1" ht="12.75">
      <c r="A13" s="9" t="s">
        <v>99</v>
      </c>
      <c r="B13" s="9" t="s">
        <v>100</v>
      </c>
      <c r="C13" s="9" t="s">
        <v>32</v>
      </c>
      <c r="D13" s="9" t="str">
        <f>"0,5919"</f>
        <v>0,5919</v>
      </c>
      <c r="E13" s="9" t="s">
        <v>33</v>
      </c>
      <c r="F13" s="9" t="s">
        <v>34</v>
      </c>
      <c r="G13" s="10" t="s">
        <v>101</v>
      </c>
      <c r="H13" s="10" t="s">
        <v>91</v>
      </c>
      <c r="I13" s="11" t="s">
        <v>35</v>
      </c>
      <c r="J13" s="11"/>
      <c r="K13" s="10" t="s">
        <v>102</v>
      </c>
      <c r="L13" s="10" t="s">
        <v>21</v>
      </c>
      <c r="M13" s="10" t="s">
        <v>83</v>
      </c>
      <c r="N13" s="11"/>
      <c r="O13" s="10" t="s">
        <v>103</v>
      </c>
      <c r="P13" s="10" t="s">
        <v>36</v>
      </c>
      <c r="Q13" s="11" t="s">
        <v>37</v>
      </c>
      <c r="R13" s="11"/>
      <c r="S13" s="9" t="str">
        <f>"640,0"</f>
        <v>640,0</v>
      </c>
      <c r="T13" s="10" t="str">
        <f>"378,8160"</f>
        <v>378,8160</v>
      </c>
      <c r="U13" s="9" t="s">
        <v>104</v>
      </c>
    </row>
    <row r="14" spans="1:21" ht="12.75">
      <c r="A14" s="23" t="s">
        <v>105</v>
      </c>
      <c r="B14" s="23" t="s">
        <v>106</v>
      </c>
      <c r="C14" s="23" t="s">
        <v>107</v>
      </c>
      <c r="D14" s="23" t="str">
        <f>"0,5905"</f>
        <v>0,5905</v>
      </c>
      <c r="E14" s="23" t="s">
        <v>17</v>
      </c>
      <c r="F14" s="23" t="s">
        <v>108</v>
      </c>
      <c r="G14" s="24" t="s">
        <v>27</v>
      </c>
      <c r="H14" s="24" t="s">
        <v>101</v>
      </c>
      <c r="I14" s="25" t="s">
        <v>91</v>
      </c>
      <c r="J14" s="25"/>
      <c r="K14" s="24" t="s">
        <v>20</v>
      </c>
      <c r="L14" s="24" t="s">
        <v>83</v>
      </c>
      <c r="M14" s="24" t="s">
        <v>109</v>
      </c>
      <c r="N14" s="25"/>
      <c r="O14" s="24" t="s">
        <v>56</v>
      </c>
      <c r="P14" s="24" t="s">
        <v>110</v>
      </c>
      <c r="Q14" s="25" t="s">
        <v>37</v>
      </c>
      <c r="R14" s="25"/>
      <c r="S14" s="23" t="str">
        <f>"640,0"</f>
        <v>640,0</v>
      </c>
      <c r="T14" s="24" t="str">
        <f>"377,9200"</f>
        <v>377,9200</v>
      </c>
      <c r="U14" s="23" t="s">
        <v>57</v>
      </c>
    </row>
    <row r="15" spans="1:21" ht="12.75">
      <c r="A15" s="23" t="s">
        <v>111</v>
      </c>
      <c r="B15" s="23" t="s">
        <v>112</v>
      </c>
      <c r="C15" s="23" t="s">
        <v>113</v>
      </c>
      <c r="D15" s="23" t="str">
        <f>"0,5923"</f>
        <v>0,5923</v>
      </c>
      <c r="E15" s="23" t="s">
        <v>33</v>
      </c>
      <c r="F15" s="23" t="s">
        <v>34</v>
      </c>
      <c r="G15" s="24" t="s">
        <v>83</v>
      </c>
      <c r="H15" s="24" t="s">
        <v>114</v>
      </c>
      <c r="I15" s="24" t="s">
        <v>55</v>
      </c>
      <c r="J15" s="25"/>
      <c r="K15" s="24" t="s">
        <v>20</v>
      </c>
      <c r="L15" s="24" t="s">
        <v>82</v>
      </c>
      <c r="M15" s="25" t="s">
        <v>115</v>
      </c>
      <c r="N15" s="25"/>
      <c r="O15" s="24" t="s">
        <v>25</v>
      </c>
      <c r="P15" s="24" t="s">
        <v>26</v>
      </c>
      <c r="Q15" s="24" t="s">
        <v>116</v>
      </c>
      <c r="R15" s="25"/>
      <c r="S15" s="23" t="str">
        <f>"510,0"</f>
        <v>510,0</v>
      </c>
      <c r="T15" s="24" t="str">
        <f>"302,0730"</f>
        <v>302,0730</v>
      </c>
      <c r="U15" s="23" t="s">
        <v>117</v>
      </c>
    </row>
    <row r="16" spans="1:21" ht="12.75">
      <c r="A16" s="12" t="s">
        <v>118</v>
      </c>
      <c r="B16" s="12" t="s">
        <v>119</v>
      </c>
      <c r="C16" s="12" t="s">
        <v>120</v>
      </c>
      <c r="D16" s="12" t="str">
        <f>"0,6083"</f>
        <v>0,6083</v>
      </c>
      <c r="E16" s="12" t="s">
        <v>33</v>
      </c>
      <c r="F16" s="12" t="s">
        <v>34</v>
      </c>
      <c r="G16" s="13" t="s">
        <v>21</v>
      </c>
      <c r="H16" s="13" t="s">
        <v>53</v>
      </c>
      <c r="I16" s="13" t="s">
        <v>55</v>
      </c>
      <c r="J16" s="14"/>
      <c r="K16" s="13" t="s">
        <v>19</v>
      </c>
      <c r="L16" s="14" t="s">
        <v>121</v>
      </c>
      <c r="M16" s="13" t="s">
        <v>20</v>
      </c>
      <c r="N16" s="14"/>
      <c r="O16" s="13" t="s">
        <v>25</v>
      </c>
      <c r="P16" s="13" t="s">
        <v>26</v>
      </c>
      <c r="Q16" s="14" t="s">
        <v>116</v>
      </c>
      <c r="R16" s="14"/>
      <c r="S16" s="12" t="str">
        <f>"500,0"</f>
        <v>500,0</v>
      </c>
      <c r="T16" s="13" t="str">
        <f>"304,1500"</f>
        <v>304,1500</v>
      </c>
      <c r="U16" s="12" t="s">
        <v>28</v>
      </c>
    </row>
    <row r="18" ht="15">
      <c r="E18" s="15" t="s">
        <v>59</v>
      </c>
    </row>
    <row r="19" ht="15">
      <c r="E19" s="15" t="s">
        <v>60</v>
      </c>
    </row>
    <row r="20" ht="15">
      <c r="E20" s="15" t="s">
        <v>61</v>
      </c>
    </row>
    <row r="21" ht="15">
      <c r="E21" s="15" t="s">
        <v>62</v>
      </c>
    </row>
    <row r="22" ht="15">
      <c r="E22" s="15" t="s">
        <v>62</v>
      </c>
    </row>
    <row r="23" ht="15">
      <c r="E23" s="15" t="s">
        <v>63</v>
      </c>
    </row>
    <row r="24" ht="15">
      <c r="E24" s="15"/>
    </row>
    <row r="26" spans="1:2" ht="18">
      <c r="A26" s="16" t="s">
        <v>64</v>
      </c>
      <c r="B26" s="16"/>
    </row>
    <row r="27" spans="1:2" ht="15">
      <c r="A27" s="17" t="s">
        <v>65</v>
      </c>
      <c r="B27" s="17"/>
    </row>
    <row r="28" spans="1:2" ht="14.25">
      <c r="A28" s="19"/>
      <c r="B28" s="20" t="s">
        <v>74</v>
      </c>
    </row>
    <row r="29" spans="1:5" ht="15">
      <c r="A29" s="21" t="s">
        <v>67</v>
      </c>
      <c r="B29" s="21" t="s">
        <v>68</v>
      </c>
      <c r="C29" s="21" t="s">
        <v>69</v>
      </c>
      <c r="D29" s="21" t="s">
        <v>70</v>
      </c>
      <c r="E29" s="21" t="s">
        <v>71</v>
      </c>
    </row>
    <row r="30" spans="1:5" ht="12.75">
      <c r="A30" s="18" t="s">
        <v>77</v>
      </c>
      <c r="B30" s="5" t="s">
        <v>74</v>
      </c>
      <c r="C30" s="5" t="s">
        <v>76</v>
      </c>
      <c r="D30" s="5" t="s">
        <v>122</v>
      </c>
      <c r="E30" s="22" t="s">
        <v>123</v>
      </c>
    </row>
  </sheetData>
  <sheetProtection/>
  <mergeCells count="16">
    <mergeCell ref="S3:S4"/>
    <mergeCell ref="T3:T4"/>
    <mergeCell ref="U3:U4"/>
    <mergeCell ref="A5:T5"/>
    <mergeCell ref="A8:T8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27.25390625" style="5" bestFit="1" customWidth="1"/>
    <col min="2" max="2" width="28.3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0.37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2.125" style="5" bestFit="1" customWidth="1"/>
    <col min="22" max="16384" width="9.125" style="4" customWidth="1"/>
  </cols>
  <sheetData>
    <row r="1" spans="1:21" s="3" customFormat="1" ht="28.5" customHeight="1">
      <c r="A1" s="32" t="s">
        <v>1134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1</v>
      </c>
      <c r="H3" s="42"/>
      <c r="I3" s="42"/>
      <c r="J3" s="42"/>
      <c r="K3" s="42" t="s">
        <v>2</v>
      </c>
      <c r="L3" s="42"/>
      <c r="M3" s="42"/>
      <c r="N3" s="42"/>
      <c r="O3" s="42" t="s">
        <v>3</v>
      </c>
      <c r="P3" s="42"/>
      <c r="Q3" s="42"/>
      <c r="R3" s="42"/>
      <c r="S3" s="42" t="s">
        <v>4</v>
      </c>
      <c r="T3" s="42" t="s">
        <v>6</v>
      </c>
      <c r="U3" s="43" t="s">
        <v>5</v>
      </c>
    </row>
    <row r="4" spans="1:21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1"/>
      <c r="T4" s="41"/>
      <c r="U4" s="44"/>
    </row>
    <row r="5" spans="1:20" ht="15">
      <c r="A5" s="45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12.75">
      <c r="A6" s="6" t="s">
        <v>14</v>
      </c>
      <c r="B6" s="6" t="s">
        <v>15</v>
      </c>
      <c r="C6" s="6" t="s">
        <v>16</v>
      </c>
      <c r="D6" s="6" t="str">
        <f>"0,6779"</f>
        <v>0,6779</v>
      </c>
      <c r="E6" s="6" t="s">
        <v>17</v>
      </c>
      <c r="F6" s="6" t="s">
        <v>18</v>
      </c>
      <c r="G6" s="7" t="s">
        <v>19</v>
      </c>
      <c r="H6" s="7" t="s">
        <v>20</v>
      </c>
      <c r="I6" s="8" t="s">
        <v>21</v>
      </c>
      <c r="J6" s="8"/>
      <c r="K6" s="7" t="s">
        <v>22</v>
      </c>
      <c r="L6" s="7" t="s">
        <v>23</v>
      </c>
      <c r="M6" s="7" t="s">
        <v>24</v>
      </c>
      <c r="N6" s="8"/>
      <c r="O6" s="7" t="s">
        <v>25</v>
      </c>
      <c r="P6" s="7" t="s">
        <v>26</v>
      </c>
      <c r="Q6" s="7" t="s">
        <v>27</v>
      </c>
      <c r="R6" s="8"/>
      <c r="S6" s="6" t="str">
        <f>"452,5"</f>
        <v>452,5</v>
      </c>
      <c r="T6" s="7" t="str">
        <f>"306,7498"</f>
        <v>306,7498</v>
      </c>
      <c r="U6" s="6" t="s">
        <v>28</v>
      </c>
    </row>
    <row r="8" spans="1:20" ht="15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ht="12.75">
      <c r="A9" s="6" t="s">
        <v>30</v>
      </c>
      <c r="B9" s="6" t="s">
        <v>31</v>
      </c>
      <c r="C9" s="6" t="s">
        <v>32</v>
      </c>
      <c r="D9" s="6" t="str">
        <f>"0,5919"</f>
        <v>0,5919</v>
      </c>
      <c r="E9" s="6" t="s">
        <v>33</v>
      </c>
      <c r="F9" s="6" t="s">
        <v>34</v>
      </c>
      <c r="G9" s="7" t="s">
        <v>35</v>
      </c>
      <c r="H9" s="7" t="s">
        <v>36</v>
      </c>
      <c r="I9" s="8" t="s">
        <v>37</v>
      </c>
      <c r="J9" s="8"/>
      <c r="K9" s="7" t="s">
        <v>38</v>
      </c>
      <c r="L9" s="7" t="s">
        <v>39</v>
      </c>
      <c r="M9" s="8" t="s">
        <v>40</v>
      </c>
      <c r="N9" s="8"/>
      <c r="O9" s="7" t="s">
        <v>41</v>
      </c>
      <c r="P9" s="7" t="s">
        <v>42</v>
      </c>
      <c r="Q9" s="7" t="s">
        <v>43</v>
      </c>
      <c r="R9" s="8"/>
      <c r="S9" s="6" t="str">
        <f>"735,0"</f>
        <v>735,0</v>
      </c>
      <c r="T9" s="7" t="str">
        <f>"435,0465"</f>
        <v>435,0465</v>
      </c>
      <c r="U9" s="6" t="s">
        <v>44</v>
      </c>
    </row>
    <row r="11" spans="1:20" ht="15">
      <c r="A11" s="46" t="s">
        <v>45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1" ht="12.75">
      <c r="A12" s="9" t="s">
        <v>47</v>
      </c>
      <c r="B12" s="9" t="s">
        <v>48</v>
      </c>
      <c r="C12" s="9" t="s">
        <v>49</v>
      </c>
      <c r="D12" s="9" t="str">
        <f>"0,5749"</f>
        <v>0,5749</v>
      </c>
      <c r="E12" s="9" t="s">
        <v>17</v>
      </c>
      <c r="F12" s="9" t="s">
        <v>50</v>
      </c>
      <c r="G12" s="10" t="s">
        <v>27</v>
      </c>
      <c r="H12" s="10" t="s">
        <v>51</v>
      </c>
      <c r="I12" s="11" t="s">
        <v>52</v>
      </c>
      <c r="J12" s="11"/>
      <c r="K12" s="10" t="s">
        <v>53</v>
      </c>
      <c r="L12" s="10" t="s">
        <v>54</v>
      </c>
      <c r="M12" s="10" t="s">
        <v>55</v>
      </c>
      <c r="N12" s="11"/>
      <c r="O12" s="10" t="s">
        <v>56</v>
      </c>
      <c r="P12" s="10" t="s">
        <v>35</v>
      </c>
      <c r="Q12" s="10" t="s">
        <v>37</v>
      </c>
      <c r="R12" s="11"/>
      <c r="S12" s="9" t="str">
        <f>"637,5"</f>
        <v>637,5</v>
      </c>
      <c r="T12" s="10" t="str">
        <f>"366,4987"</f>
        <v>366,4987</v>
      </c>
      <c r="U12" s="9" t="s">
        <v>57</v>
      </c>
    </row>
    <row r="13" spans="1:21" ht="12.75">
      <c r="A13" s="12" t="s">
        <v>46</v>
      </c>
      <c r="B13" s="12" t="s">
        <v>58</v>
      </c>
      <c r="C13" s="12" t="s">
        <v>49</v>
      </c>
      <c r="D13" s="12" t="str">
        <f>"0,5749"</f>
        <v>0,5749</v>
      </c>
      <c r="E13" s="12" t="s">
        <v>17</v>
      </c>
      <c r="F13" s="12" t="s">
        <v>50</v>
      </c>
      <c r="G13" s="13" t="s">
        <v>27</v>
      </c>
      <c r="H13" s="13" t="s">
        <v>51</v>
      </c>
      <c r="I13" s="14" t="s">
        <v>52</v>
      </c>
      <c r="J13" s="14"/>
      <c r="K13" s="13" t="s">
        <v>53</v>
      </c>
      <c r="L13" s="13" t="s">
        <v>54</v>
      </c>
      <c r="M13" s="13" t="s">
        <v>55</v>
      </c>
      <c r="N13" s="14"/>
      <c r="O13" s="13" t="s">
        <v>56</v>
      </c>
      <c r="P13" s="13" t="s">
        <v>35</v>
      </c>
      <c r="Q13" s="13" t="s">
        <v>37</v>
      </c>
      <c r="R13" s="14"/>
      <c r="S13" s="12" t="str">
        <f>"637,5"</f>
        <v>637,5</v>
      </c>
      <c r="T13" s="13" t="str">
        <f>"366,4987"</f>
        <v>366,4987</v>
      </c>
      <c r="U13" s="12" t="s">
        <v>57</v>
      </c>
    </row>
    <row r="15" ht="15">
      <c r="E15" s="15" t="s">
        <v>59</v>
      </c>
    </row>
    <row r="16" ht="15">
      <c r="E16" s="15" t="s">
        <v>60</v>
      </c>
    </row>
    <row r="17" ht="15">
      <c r="E17" s="15"/>
    </row>
  </sheetData>
  <sheetProtection/>
  <mergeCells count="16">
    <mergeCell ref="D3:D4"/>
    <mergeCell ref="S3:S4"/>
    <mergeCell ref="T3:T4"/>
    <mergeCell ref="A5:T5"/>
    <mergeCell ref="A8:T8"/>
    <mergeCell ref="A11:T11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27.125" style="5" bestFit="1" customWidth="1"/>
    <col min="2" max="2" width="22.8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1.125" style="5" bestFit="1" customWidth="1"/>
    <col min="7" max="7" width="4.625" style="4" bestFit="1" customWidth="1"/>
    <col min="8" max="8" width="11.125" style="26" customWidth="1"/>
    <col min="9" max="9" width="7.875" style="5" bestFit="1" customWidth="1"/>
    <col min="10" max="10" width="9.625" style="4" bestFit="1" customWidth="1"/>
    <col min="11" max="11" width="11.125" style="5" bestFit="1" customWidth="1"/>
    <col min="12" max="16384" width="9.125" style="4" customWidth="1"/>
  </cols>
  <sheetData>
    <row r="1" spans="1:11" s="3" customFormat="1" ht="28.5" customHeight="1">
      <c r="A1" s="32" t="s">
        <v>1151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1" customFormat="1" ht="12.75" customHeight="1">
      <c r="A3" s="38" t="s">
        <v>0</v>
      </c>
      <c r="B3" s="40" t="s">
        <v>9</v>
      </c>
      <c r="C3" s="40" t="s">
        <v>11</v>
      </c>
      <c r="D3" s="42" t="s">
        <v>1150</v>
      </c>
      <c r="E3" s="42" t="s">
        <v>7</v>
      </c>
      <c r="F3" s="42" t="s">
        <v>10</v>
      </c>
      <c r="G3" s="42" t="s">
        <v>1149</v>
      </c>
      <c r="H3" s="42"/>
      <c r="I3" s="42" t="s">
        <v>1148</v>
      </c>
      <c r="J3" s="42" t="s">
        <v>6</v>
      </c>
      <c r="K3" s="43" t="s">
        <v>5</v>
      </c>
    </row>
    <row r="4" spans="1:11" s="1" customFormat="1" ht="21" customHeight="1" thickBot="1">
      <c r="A4" s="39"/>
      <c r="B4" s="41"/>
      <c r="C4" s="41"/>
      <c r="D4" s="41"/>
      <c r="E4" s="41"/>
      <c r="F4" s="41"/>
      <c r="G4" s="2" t="s">
        <v>1147</v>
      </c>
      <c r="H4" s="30" t="s">
        <v>1146</v>
      </c>
      <c r="I4" s="41"/>
      <c r="J4" s="41"/>
      <c r="K4" s="44"/>
    </row>
    <row r="5" spans="1:10" ht="15">
      <c r="A5" s="45" t="s">
        <v>170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2.75">
      <c r="A6" s="9" t="s">
        <v>1145</v>
      </c>
      <c r="B6" s="9" t="s">
        <v>1144</v>
      </c>
      <c r="C6" s="9" t="s">
        <v>393</v>
      </c>
      <c r="D6" s="9" t="str">
        <f>"1,0748"</f>
        <v>1,0748</v>
      </c>
      <c r="E6" s="9" t="s">
        <v>17</v>
      </c>
      <c r="F6" s="9" t="s">
        <v>1143</v>
      </c>
      <c r="G6" s="10" t="s">
        <v>1142</v>
      </c>
      <c r="H6" s="29" t="s">
        <v>1141</v>
      </c>
      <c r="I6" s="9" t="str">
        <f>"1045,0"</f>
        <v>1045,0</v>
      </c>
      <c r="J6" s="10" t="str">
        <f>"1123,1660"</f>
        <v>1123,1660</v>
      </c>
      <c r="K6" s="9" t="s">
        <v>1140</v>
      </c>
    </row>
    <row r="7" spans="1:11" ht="12.75">
      <c r="A7" s="12" t="s">
        <v>1139</v>
      </c>
      <c r="B7" s="12" t="s">
        <v>652</v>
      </c>
      <c r="C7" s="12" t="s">
        <v>653</v>
      </c>
      <c r="D7" s="12" t="str">
        <f>"1,0530"</f>
        <v>1,0530</v>
      </c>
      <c r="E7" s="12" t="s">
        <v>33</v>
      </c>
      <c r="F7" s="12" t="s">
        <v>34</v>
      </c>
      <c r="G7" s="13" t="s">
        <v>1136</v>
      </c>
      <c r="H7" s="28" t="s">
        <v>1138</v>
      </c>
      <c r="I7" s="12" t="str">
        <f>"570,0"</f>
        <v>570,0</v>
      </c>
      <c r="J7" s="13" t="str">
        <f>"600,2100"</f>
        <v>600,2100</v>
      </c>
      <c r="K7" s="12" t="s">
        <v>616</v>
      </c>
    </row>
    <row r="9" spans="1:10" ht="15">
      <c r="A9" s="46" t="s">
        <v>177</v>
      </c>
      <c r="B9" s="46"/>
      <c r="C9" s="46"/>
      <c r="D9" s="46"/>
      <c r="E9" s="46"/>
      <c r="F9" s="46"/>
      <c r="G9" s="46"/>
      <c r="H9" s="46"/>
      <c r="I9" s="46"/>
      <c r="J9" s="46"/>
    </row>
    <row r="10" spans="1:11" ht="12.75">
      <c r="A10" s="6" t="s">
        <v>1137</v>
      </c>
      <c r="B10" s="6" t="s">
        <v>683</v>
      </c>
      <c r="C10" s="6" t="s">
        <v>470</v>
      </c>
      <c r="D10" s="6" t="str">
        <f>"0,9984"</f>
        <v>0,9984</v>
      </c>
      <c r="E10" s="6" t="s">
        <v>33</v>
      </c>
      <c r="F10" s="6" t="s">
        <v>34</v>
      </c>
      <c r="G10" s="7" t="s">
        <v>1136</v>
      </c>
      <c r="H10" s="27" t="s">
        <v>1135</v>
      </c>
      <c r="I10" s="6" t="str">
        <f>"810,0"</f>
        <v>810,0</v>
      </c>
      <c r="J10" s="7" t="str">
        <f>"808,6635"</f>
        <v>808,6635</v>
      </c>
      <c r="K10" s="6" t="s">
        <v>616</v>
      </c>
    </row>
    <row r="12" ht="15">
      <c r="E12" s="15" t="s">
        <v>59</v>
      </c>
    </row>
    <row r="13" ht="15">
      <c r="E13" s="15" t="s">
        <v>60</v>
      </c>
    </row>
    <row r="14" ht="15">
      <c r="E14" s="15"/>
    </row>
  </sheetData>
  <sheetProtection/>
  <mergeCells count="13">
    <mergeCell ref="I3:I4"/>
    <mergeCell ref="J3:J4"/>
    <mergeCell ref="K3:K4"/>
    <mergeCell ref="A5:J5"/>
    <mergeCell ref="A9:J9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1.253906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0.375" style="5" bestFit="1" customWidth="1"/>
    <col min="7" max="7" width="5.625" style="4" bestFit="1" customWidth="1"/>
    <col min="8" max="8" width="10.875" style="26" customWidth="1"/>
    <col min="9" max="9" width="7.875" style="5" bestFit="1" customWidth="1"/>
    <col min="10" max="10" width="9.625" style="4" bestFit="1" customWidth="1"/>
    <col min="11" max="11" width="16.625" style="5" bestFit="1" customWidth="1"/>
    <col min="12" max="16384" width="9.125" style="4" customWidth="1"/>
  </cols>
  <sheetData>
    <row r="1" spans="1:11" s="3" customFormat="1" ht="28.5" customHeight="1">
      <c r="A1" s="32" t="s">
        <v>1282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1" customFormat="1" ht="12.75" customHeight="1">
      <c r="A3" s="38" t="s">
        <v>0</v>
      </c>
      <c r="B3" s="40" t="s">
        <v>9</v>
      </c>
      <c r="C3" s="40" t="s">
        <v>11</v>
      </c>
      <c r="D3" s="42" t="s">
        <v>1150</v>
      </c>
      <c r="E3" s="42" t="s">
        <v>7</v>
      </c>
      <c r="F3" s="42" t="s">
        <v>10</v>
      </c>
      <c r="G3" s="42" t="s">
        <v>1149</v>
      </c>
      <c r="H3" s="42"/>
      <c r="I3" s="42" t="s">
        <v>1148</v>
      </c>
      <c r="J3" s="42" t="s">
        <v>6</v>
      </c>
      <c r="K3" s="43" t="s">
        <v>5</v>
      </c>
    </row>
    <row r="4" spans="1:11" s="1" customFormat="1" ht="21" customHeight="1" thickBot="1">
      <c r="A4" s="39"/>
      <c r="B4" s="41"/>
      <c r="C4" s="41"/>
      <c r="D4" s="41"/>
      <c r="E4" s="41"/>
      <c r="F4" s="41"/>
      <c r="G4" s="2" t="s">
        <v>1147</v>
      </c>
      <c r="H4" s="30" t="s">
        <v>1146</v>
      </c>
      <c r="I4" s="41"/>
      <c r="J4" s="41"/>
      <c r="K4" s="44"/>
    </row>
    <row r="5" spans="1:10" ht="15">
      <c r="A5" s="45" t="s">
        <v>189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2.75">
      <c r="A6" s="9" t="s">
        <v>416</v>
      </c>
      <c r="B6" s="9" t="s">
        <v>1281</v>
      </c>
      <c r="C6" s="9" t="s">
        <v>419</v>
      </c>
      <c r="D6" s="9" t="str">
        <f>"0,7531"</f>
        <v>0,7531</v>
      </c>
      <c r="E6" s="9" t="s">
        <v>33</v>
      </c>
      <c r="F6" s="9" t="s">
        <v>34</v>
      </c>
      <c r="G6" s="10" t="s">
        <v>168</v>
      </c>
      <c r="H6" s="29" t="s">
        <v>1275</v>
      </c>
      <c r="I6" s="9" t="str">
        <f>"1890,0"</f>
        <v>1890,0</v>
      </c>
      <c r="J6" s="10" t="str">
        <f>"1423,4535"</f>
        <v>1423,4535</v>
      </c>
      <c r="K6" s="9" t="s">
        <v>420</v>
      </c>
    </row>
    <row r="7" spans="1:11" ht="12.75">
      <c r="A7" s="23" t="s">
        <v>1280</v>
      </c>
      <c r="B7" s="23" t="s">
        <v>1279</v>
      </c>
      <c r="C7" s="23" t="s">
        <v>1031</v>
      </c>
      <c r="D7" s="23" t="str">
        <f>"0,8134"</f>
        <v>0,8134</v>
      </c>
      <c r="E7" s="23" t="s">
        <v>33</v>
      </c>
      <c r="F7" s="23" t="s">
        <v>34</v>
      </c>
      <c r="G7" s="24" t="s">
        <v>167</v>
      </c>
      <c r="H7" s="31" t="s">
        <v>1278</v>
      </c>
      <c r="I7" s="23" t="str">
        <f>"812,5"</f>
        <v>812,5</v>
      </c>
      <c r="J7" s="24" t="str">
        <f>"660,8875"</f>
        <v>660,8875</v>
      </c>
      <c r="K7" s="23" t="s">
        <v>44</v>
      </c>
    </row>
    <row r="8" spans="1:11" ht="12.75">
      <c r="A8" s="12" t="s">
        <v>1277</v>
      </c>
      <c r="B8" s="12" t="s">
        <v>1276</v>
      </c>
      <c r="C8" s="12" t="s">
        <v>419</v>
      </c>
      <c r="D8" s="12" t="str">
        <f>"0,7531"</f>
        <v>0,7531</v>
      </c>
      <c r="E8" s="12" t="s">
        <v>33</v>
      </c>
      <c r="F8" s="12" t="s">
        <v>34</v>
      </c>
      <c r="G8" s="13" t="s">
        <v>168</v>
      </c>
      <c r="H8" s="28" t="s">
        <v>1275</v>
      </c>
      <c r="I8" s="12" t="str">
        <f>"1890,0"</f>
        <v>1890,0</v>
      </c>
      <c r="J8" s="13" t="str">
        <f>"1658,3233"</f>
        <v>1658,3233</v>
      </c>
      <c r="K8" s="12" t="s">
        <v>420</v>
      </c>
    </row>
    <row r="10" spans="1:10" ht="15">
      <c r="A10" s="46" t="s">
        <v>183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1" ht="12.75">
      <c r="A11" s="9" t="s">
        <v>1274</v>
      </c>
      <c r="B11" s="9" t="s">
        <v>1273</v>
      </c>
      <c r="C11" s="9" t="s">
        <v>1265</v>
      </c>
      <c r="D11" s="9" t="str">
        <f>"0,7393"</f>
        <v>0,7393</v>
      </c>
      <c r="E11" s="9" t="s">
        <v>33</v>
      </c>
      <c r="F11" s="9" t="s">
        <v>34</v>
      </c>
      <c r="G11" s="10" t="s">
        <v>488</v>
      </c>
      <c r="H11" s="29" t="s">
        <v>1272</v>
      </c>
      <c r="I11" s="9" t="str">
        <f>"3220,0"</f>
        <v>3220,0</v>
      </c>
      <c r="J11" s="10" t="str">
        <f>"2380,3850"</f>
        <v>2380,3850</v>
      </c>
      <c r="K11" s="9" t="s">
        <v>616</v>
      </c>
    </row>
    <row r="12" spans="1:11" ht="12.75">
      <c r="A12" s="23" t="s">
        <v>1271</v>
      </c>
      <c r="B12" s="23" t="s">
        <v>1270</v>
      </c>
      <c r="C12" s="23" t="s">
        <v>1269</v>
      </c>
      <c r="D12" s="23" t="str">
        <f>"0,7331"</f>
        <v>0,7331</v>
      </c>
      <c r="E12" s="23" t="s">
        <v>33</v>
      </c>
      <c r="F12" s="23" t="s">
        <v>34</v>
      </c>
      <c r="G12" s="24" t="s">
        <v>488</v>
      </c>
      <c r="H12" s="31" t="s">
        <v>1141</v>
      </c>
      <c r="I12" s="23" t="str">
        <f>"2660,0"</f>
        <v>2660,0</v>
      </c>
      <c r="J12" s="24" t="str">
        <f>"1950,0460"</f>
        <v>1950,0460</v>
      </c>
      <c r="K12" s="23" t="s">
        <v>1268</v>
      </c>
    </row>
    <row r="13" spans="1:11" ht="12.75">
      <c r="A13" s="23" t="s">
        <v>1267</v>
      </c>
      <c r="B13" s="23" t="s">
        <v>1266</v>
      </c>
      <c r="C13" s="23" t="s">
        <v>1265</v>
      </c>
      <c r="D13" s="23" t="str">
        <f>"0,7393"</f>
        <v>0,7393</v>
      </c>
      <c r="E13" s="23" t="s">
        <v>33</v>
      </c>
      <c r="F13" s="23" t="s">
        <v>34</v>
      </c>
      <c r="G13" s="24" t="s">
        <v>488</v>
      </c>
      <c r="H13" s="31" t="s">
        <v>1264</v>
      </c>
      <c r="I13" s="23" t="str">
        <f>"2380,0"</f>
        <v>2380,0</v>
      </c>
      <c r="J13" s="24" t="str">
        <f>"1759,4150"</f>
        <v>1759,4150</v>
      </c>
      <c r="K13" s="23" t="s">
        <v>616</v>
      </c>
    </row>
    <row r="14" spans="1:11" ht="12.75">
      <c r="A14" s="23" t="s">
        <v>1263</v>
      </c>
      <c r="B14" s="23" t="s">
        <v>1262</v>
      </c>
      <c r="C14" s="23" t="s">
        <v>1261</v>
      </c>
      <c r="D14" s="23" t="str">
        <f>"0,6983"</f>
        <v>0,6983</v>
      </c>
      <c r="E14" s="23" t="s">
        <v>33</v>
      </c>
      <c r="F14" s="23" t="s">
        <v>33</v>
      </c>
      <c r="G14" s="24" t="s">
        <v>273</v>
      </c>
      <c r="H14" s="31" t="s">
        <v>1217</v>
      </c>
      <c r="I14" s="23" t="str">
        <f>"1875,0"</f>
        <v>1875,0</v>
      </c>
      <c r="J14" s="24" t="str">
        <f>"1309,3125"</f>
        <v>1309,3125</v>
      </c>
      <c r="K14" s="23" t="s">
        <v>1260</v>
      </c>
    </row>
    <row r="15" spans="1:11" ht="12.75">
      <c r="A15" s="12" t="s">
        <v>1259</v>
      </c>
      <c r="B15" s="12" t="s">
        <v>1258</v>
      </c>
      <c r="C15" s="12" t="s">
        <v>487</v>
      </c>
      <c r="D15" s="12" t="str">
        <f>"0,7102"</f>
        <v>0,7102</v>
      </c>
      <c r="E15" s="12" t="s">
        <v>33</v>
      </c>
      <c r="F15" s="12" t="s">
        <v>34</v>
      </c>
      <c r="G15" s="13" t="s">
        <v>638</v>
      </c>
      <c r="H15" s="28" t="s">
        <v>1211</v>
      </c>
      <c r="I15" s="12" t="str">
        <f>"1595,0"</f>
        <v>1595,0</v>
      </c>
      <c r="J15" s="13" t="str">
        <f>"1132,7690"</f>
        <v>1132,7690</v>
      </c>
      <c r="K15" s="12" t="s">
        <v>44</v>
      </c>
    </row>
    <row r="17" spans="1:10" ht="15">
      <c r="A17" s="46" t="s">
        <v>13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11" ht="12.75">
      <c r="A18" s="9" t="s">
        <v>1257</v>
      </c>
      <c r="B18" s="9" t="s">
        <v>1256</v>
      </c>
      <c r="C18" s="9" t="s">
        <v>1251</v>
      </c>
      <c r="D18" s="9" t="str">
        <f>"0,6670"</f>
        <v>0,6670</v>
      </c>
      <c r="E18" s="9" t="s">
        <v>33</v>
      </c>
      <c r="F18" s="9" t="s">
        <v>34</v>
      </c>
      <c r="G18" s="10" t="s">
        <v>309</v>
      </c>
      <c r="H18" s="29" t="s">
        <v>454</v>
      </c>
      <c r="I18" s="9" t="str">
        <f>"2800,0"</f>
        <v>2800,0</v>
      </c>
      <c r="J18" s="10" t="str">
        <f>"1867,6000"</f>
        <v>1867,6000</v>
      </c>
      <c r="K18" s="9" t="s">
        <v>44</v>
      </c>
    </row>
    <row r="19" spans="1:11" ht="12.75">
      <c r="A19" s="23" t="s">
        <v>1255</v>
      </c>
      <c r="B19" s="23" t="s">
        <v>795</v>
      </c>
      <c r="C19" s="23" t="s">
        <v>333</v>
      </c>
      <c r="D19" s="23" t="str">
        <f>"0,6497"</f>
        <v>0,6497</v>
      </c>
      <c r="E19" s="23" t="s">
        <v>33</v>
      </c>
      <c r="F19" s="23" t="s">
        <v>34</v>
      </c>
      <c r="G19" s="24" t="s">
        <v>76</v>
      </c>
      <c r="H19" s="31" t="s">
        <v>1254</v>
      </c>
      <c r="I19" s="23" t="str">
        <f>"2722,5"</f>
        <v>2722,5</v>
      </c>
      <c r="J19" s="24" t="str">
        <f>"1768,9444"</f>
        <v>1768,9444</v>
      </c>
      <c r="K19" s="23" t="s">
        <v>44</v>
      </c>
    </row>
    <row r="20" spans="1:11" ht="12.75">
      <c r="A20" s="23" t="s">
        <v>1253</v>
      </c>
      <c r="B20" s="23" t="s">
        <v>1252</v>
      </c>
      <c r="C20" s="23" t="s">
        <v>1251</v>
      </c>
      <c r="D20" s="23" t="str">
        <f>"0,6670"</f>
        <v>0,6670</v>
      </c>
      <c r="E20" s="23" t="s">
        <v>33</v>
      </c>
      <c r="F20" s="23" t="s">
        <v>34</v>
      </c>
      <c r="G20" s="24" t="s">
        <v>309</v>
      </c>
      <c r="H20" s="31" t="s">
        <v>454</v>
      </c>
      <c r="I20" s="23" t="str">
        <f>"2800,0"</f>
        <v>2800,0</v>
      </c>
      <c r="J20" s="24" t="str">
        <f>"1904,9520"</f>
        <v>1904,9520</v>
      </c>
      <c r="K20" s="23" t="s">
        <v>44</v>
      </c>
    </row>
    <row r="21" spans="1:11" ht="12.75">
      <c r="A21" s="12" t="s">
        <v>1250</v>
      </c>
      <c r="B21" s="12" t="s">
        <v>1249</v>
      </c>
      <c r="C21" s="12" t="s">
        <v>80</v>
      </c>
      <c r="D21" s="12" t="str">
        <f>"0,6492"</f>
        <v>0,6492</v>
      </c>
      <c r="E21" s="12" t="s">
        <v>33</v>
      </c>
      <c r="F21" s="12" t="s">
        <v>34</v>
      </c>
      <c r="G21" s="13" t="s">
        <v>76</v>
      </c>
      <c r="H21" s="28" t="s">
        <v>1248</v>
      </c>
      <c r="I21" s="12" t="str">
        <f>"1402,5"</f>
        <v>1402,5</v>
      </c>
      <c r="J21" s="13" t="str">
        <f>"910,5731"</f>
        <v>910,5731</v>
      </c>
      <c r="K21" s="12" t="s">
        <v>57</v>
      </c>
    </row>
    <row r="23" spans="1:10" ht="15">
      <c r="A23" s="46" t="s">
        <v>128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1" ht="12.75">
      <c r="A24" s="9" t="s">
        <v>1247</v>
      </c>
      <c r="B24" s="9" t="s">
        <v>1246</v>
      </c>
      <c r="C24" s="9" t="s">
        <v>1243</v>
      </c>
      <c r="D24" s="9" t="str">
        <f>"0,6303"</f>
        <v>0,6303</v>
      </c>
      <c r="E24" s="9" t="s">
        <v>33</v>
      </c>
      <c r="F24" s="9" t="s">
        <v>34</v>
      </c>
      <c r="G24" s="10" t="s">
        <v>377</v>
      </c>
      <c r="H24" s="29" t="s">
        <v>454</v>
      </c>
      <c r="I24" s="9" t="str">
        <f>"3062,5"</f>
        <v>3062,5</v>
      </c>
      <c r="J24" s="10" t="str">
        <f>"1930,4469"</f>
        <v>1930,4469</v>
      </c>
      <c r="K24" s="9" t="s">
        <v>44</v>
      </c>
    </row>
    <row r="25" spans="1:11" ht="12.75">
      <c r="A25" s="23" t="s">
        <v>1245</v>
      </c>
      <c r="B25" s="23" t="s">
        <v>1244</v>
      </c>
      <c r="C25" s="23" t="s">
        <v>1243</v>
      </c>
      <c r="D25" s="23" t="str">
        <f>"0,6303"</f>
        <v>0,6303</v>
      </c>
      <c r="E25" s="23" t="s">
        <v>33</v>
      </c>
      <c r="F25" s="23" t="s">
        <v>34</v>
      </c>
      <c r="G25" s="24" t="s">
        <v>377</v>
      </c>
      <c r="H25" s="31" t="s">
        <v>454</v>
      </c>
      <c r="I25" s="23" t="str">
        <f>"3062,5"</f>
        <v>3062,5</v>
      </c>
      <c r="J25" s="24" t="str">
        <f>"1930,4469"</f>
        <v>1930,4469</v>
      </c>
      <c r="K25" s="23" t="s">
        <v>44</v>
      </c>
    </row>
    <row r="26" spans="1:11" ht="12.75">
      <c r="A26" s="23" t="s">
        <v>1242</v>
      </c>
      <c r="B26" s="23" t="s">
        <v>1241</v>
      </c>
      <c r="C26" s="23" t="s">
        <v>1240</v>
      </c>
      <c r="D26" s="23" t="str">
        <f>"0,6349"</f>
        <v>0,6349</v>
      </c>
      <c r="E26" s="23" t="s">
        <v>33</v>
      </c>
      <c r="F26" s="23" t="s">
        <v>34</v>
      </c>
      <c r="G26" s="24" t="s">
        <v>394</v>
      </c>
      <c r="H26" s="31" t="s">
        <v>1136</v>
      </c>
      <c r="I26" s="23" t="str">
        <f>"2550,0"</f>
        <v>2550,0</v>
      </c>
      <c r="J26" s="24" t="str">
        <f>"1619,1225"</f>
        <v>1619,1225</v>
      </c>
      <c r="K26" s="23" t="s">
        <v>1239</v>
      </c>
    </row>
    <row r="27" spans="1:11" ht="12.75">
      <c r="A27" s="12" t="s">
        <v>1238</v>
      </c>
      <c r="B27" s="12" t="s">
        <v>1237</v>
      </c>
      <c r="C27" s="12" t="s">
        <v>542</v>
      </c>
      <c r="D27" s="12" t="str">
        <f>"0,6157"</f>
        <v>0,6157</v>
      </c>
      <c r="E27" s="12" t="s">
        <v>33</v>
      </c>
      <c r="F27" s="12" t="s">
        <v>34</v>
      </c>
      <c r="G27" s="13" t="s">
        <v>149</v>
      </c>
      <c r="H27" s="28" t="s">
        <v>1135</v>
      </c>
      <c r="I27" s="12" t="str">
        <f>"2430,0"</f>
        <v>2430,0</v>
      </c>
      <c r="J27" s="13" t="str">
        <f>"1496,1510"</f>
        <v>1496,1510</v>
      </c>
      <c r="K27" s="12" t="s">
        <v>1236</v>
      </c>
    </row>
    <row r="29" spans="1:10" ht="15">
      <c r="A29" s="46" t="s">
        <v>85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1" ht="12.75">
      <c r="A30" s="9" t="s">
        <v>1235</v>
      </c>
      <c r="B30" s="9" t="s">
        <v>1234</v>
      </c>
      <c r="C30" s="9" t="s">
        <v>1233</v>
      </c>
      <c r="D30" s="9" t="str">
        <f>"0,6061"</f>
        <v>0,6061</v>
      </c>
      <c r="E30" s="9" t="s">
        <v>33</v>
      </c>
      <c r="F30" s="9" t="s">
        <v>34</v>
      </c>
      <c r="G30" s="10" t="s">
        <v>378</v>
      </c>
      <c r="H30" s="29" t="s">
        <v>1135</v>
      </c>
      <c r="I30" s="9" t="str">
        <f>"2497,5"</f>
        <v>2497,5</v>
      </c>
      <c r="J30" s="10" t="str">
        <f>"1513,6099"</f>
        <v>1513,6099</v>
      </c>
      <c r="K30" s="9" t="s">
        <v>44</v>
      </c>
    </row>
    <row r="31" spans="1:11" ht="12.75">
      <c r="A31" s="12" t="s">
        <v>1232</v>
      </c>
      <c r="B31" s="12" t="s">
        <v>1231</v>
      </c>
      <c r="C31" s="12" t="s">
        <v>894</v>
      </c>
      <c r="D31" s="12" t="str">
        <f>"0,5821"</f>
        <v>0,5821</v>
      </c>
      <c r="E31" s="12" t="s">
        <v>33</v>
      </c>
      <c r="F31" s="12" t="s">
        <v>34</v>
      </c>
      <c r="G31" s="13" t="s">
        <v>22</v>
      </c>
      <c r="H31" s="28" t="s">
        <v>1230</v>
      </c>
      <c r="I31" s="12" t="str">
        <f>"2900,0"</f>
        <v>2900,0</v>
      </c>
      <c r="J31" s="13" t="str">
        <f>"1721,7040"</f>
        <v>1721,7040</v>
      </c>
      <c r="K31" s="12" t="s">
        <v>44</v>
      </c>
    </row>
    <row r="33" spans="1:10" ht="15">
      <c r="A33" s="46" t="s">
        <v>29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1" ht="12.75">
      <c r="A34" s="9" t="s">
        <v>1229</v>
      </c>
      <c r="B34" s="9" t="s">
        <v>1228</v>
      </c>
      <c r="C34" s="9" t="s">
        <v>1227</v>
      </c>
      <c r="D34" s="9" t="str">
        <f>"0,5778"</f>
        <v>0,5778</v>
      </c>
      <c r="E34" s="9" t="s">
        <v>33</v>
      </c>
      <c r="F34" s="9" t="s">
        <v>34</v>
      </c>
      <c r="G34" s="10" t="s">
        <v>389</v>
      </c>
      <c r="H34" s="29" t="s">
        <v>1226</v>
      </c>
      <c r="I34" s="9" t="str">
        <f>"3792,5"</f>
        <v>3792,5</v>
      </c>
      <c r="J34" s="10" t="str">
        <f>"2191,3064"</f>
        <v>2191,3064</v>
      </c>
      <c r="K34" s="9" t="s">
        <v>57</v>
      </c>
    </row>
    <row r="35" spans="1:11" ht="12.75">
      <c r="A35" s="23" t="s">
        <v>1225</v>
      </c>
      <c r="B35" s="23" t="s">
        <v>1224</v>
      </c>
      <c r="C35" s="23" t="s">
        <v>1223</v>
      </c>
      <c r="D35" s="23" t="str">
        <f>"0,5774"</f>
        <v>0,5774</v>
      </c>
      <c r="E35" s="23" t="s">
        <v>17</v>
      </c>
      <c r="F35" s="23" t="s">
        <v>18</v>
      </c>
      <c r="G35" s="24" t="s">
        <v>389</v>
      </c>
      <c r="H35" s="31" t="s">
        <v>1222</v>
      </c>
      <c r="I35" s="23" t="str">
        <f>"2665,0"</f>
        <v>2665,0</v>
      </c>
      <c r="J35" s="24" t="str">
        <f>"1538,7711"</f>
        <v>1538,7711</v>
      </c>
      <c r="K35" s="23" t="s">
        <v>1221</v>
      </c>
    </row>
    <row r="36" spans="1:11" ht="12.75">
      <c r="A36" s="23" t="s">
        <v>1220</v>
      </c>
      <c r="B36" s="23" t="s">
        <v>1219</v>
      </c>
      <c r="C36" s="23" t="s">
        <v>1218</v>
      </c>
      <c r="D36" s="23" t="str">
        <f>"0,5776"</f>
        <v>0,5776</v>
      </c>
      <c r="E36" s="23" t="s">
        <v>33</v>
      </c>
      <c r="F36" s="23" t="s">
        <v>33</v>
      </c>
      <c r="G36" s="24" t="s">
        <v>389</v>
      </c>
      <c r="H36" s="31" t="s">
        <v>1217</v>
      </c>
      <c r="I36" s="23" t="str">
        <f>"2562,5"</f>
        <v>2562,5</v>
      </c>
      <c r="J36" s="24" t="str">
        <f>"1480,1000"</f>
        <v>1480,1000</v>
      </c>
      <c r="K36" s="23" t="s">
        <v>1216</v>
      </c>
    </row>
    <row r="37" spans="1:11" ht="12.75">
      <c r="A37" s="23" t="s">
        <v>1215</v>
      </c>
      <c r="B37" s="23" t="s">
        <v>1214</v>
      </c>
      <c r="C37" s="23" t="s">
        <v>924</v>
      </c>
      <c r="D37" s="23" t="str">
        <f>"0,5644"</f>
        <v>0,5644</v>
      </c>
      <c r="E37" s="23" t="s">
        <v>33</v>
      </c>
      <c r="F37" s="23" t="s">
        <v>34</v>
      </c>
      <c r="G37" s="24" t="s">
        <v>75</v>
      </c>
      <c r="H37" s="31" t="s">
        <v>1211</v>
      </c>
      <c r="I37" s="23" t="str">
        <f>"2420,0"</f>
        <v>2420,0</v>
      </c>
      <c r="J37" s="24" t="str">
        <f>"1365,8480"</f>
        <v>1365,8480</v>
      </c>
      <c r="K37" s="23" t="s">
        <v>44</v>
      </c>
    </row>
    <row r="38" spans="1:11" ht="12.75">
      <c r="A38" s="12" t="s">
        <v>1213</v>
      </c>
      <c r="B38" s="12" t="s">
        <v>1212</v>
      </c>
      <c r="C38" s="12" t="s">
        <v>924</v>
      </c>
      <c r="D38" s="12" t="str">
        <f>"0,5644"</f>
        <v>0,5644</v>
      </c>
      <c r="E38" s="12" t="s">
        <v>33</v>
      </c>
      <c r="F38" s="12" t="s">
        <v>34</v>
      </c>
      <c r="G38" s="13" t="s">
        <v>75</v>
      </c>
      <c r="H38" s="28" t="s">
        <v>1211</v>
      </c>
      <c r="I38" s="12" t="str">
        <f>"2420,0"</f>
        <v>2420,0</v>
      </c>
      <c r="J38" s="13" t="str">
        <f>"1498,3353"</f>
        <v>1498,3353</v>
      </c>
      <c r="K38" s="12" t="s">
        <v>44</v>
      </c>
    </row>
    <row r="40" ht="15">
      <c r="E40" s="15" t="s">
        <v>59</v>
      </c>
    </row>
    <row r="41" ht="15">
      <c r="E41" s="15" t="s">
        <v>60</v>
      </c>
    </row>
    <row r="42" ht="15">
      <c r="E42" s="15" t="s">
        <v>61</v>
      </c>
    </row>
    <row r="43" ht="15">
      <c r="E43" s="15" t="s">
        <v>62</v>
      </c>
    </row>
    <row r="44" ht="15">
      <c r="E44" s="15" t="s">
        <v>62</v>
      </c>
    </row>
    <row r="45" ht="15">
      <c r="E45" s="15" t="s">
        <v>63</v>
      </c>
    </row>
    <row r="46" ht="15">
      <c r="E46" s="15"/>
    </row>
    <row r="48" spans="1:2" ht="18">
      <c r="A48" s="16" t="s">
        <v>64</v>
      </c>
      <c r="B48" s="16"/>
    </row>
    <row r="49" spans="1:2" ht="15">
      <c r="A49" s="17" t="s">
        <v>65</v>
      </c>
      <c r="B49" s="17"/>
    </row>
    <row r="50" spans="1:2" ht="14.25">
      <c r="A50" s="19"/>
      <c r="B50" s="20" t="s">
        <v>66</v>
      </c>
    </row>
    <row r="51" spans="1:5" ht="15">
      <c r="A51" s="21" t="s">
        <v>67</v>
      </c>
      <c r="B51" s="21" t="s">
        <v>68</v>
      </c>
      <c r="C51" s="21" t="s">
        <v>69</v>
      </c>
      <c r="D51" s="21" t="s">
        <v>70</v>
      </c>
      <c r="E51" s="21" t="s">
        <v>1165</v>
      </c>
    </row>
    <row r="52" spans="1:5" ht="12.75">
      <c r="A52" s="18" t="s">
        <v>1210</v>
      </c>
      <c r="B52" s="5" t="s">
        <v>72</v>
      </c>
      <c r="C52" s="5" t="s">
        <v>273</v>
      </c>
      <c r="D52" s="5" t="s">
        <v>1209</v>
      </c>
      <c r="E52" s="22" t="s">
        <v>1208</v>
      </c>
    </row>
    <row r="53" spans="1:5" ht="12.75">
      <c r="A53" s="18" t="s">
        <v>1198</v>
      </c>
      <c r="B53" s="5" t="s">
        <v>72</v>
      </c>
      <c r="C53" s="5" t="s">
        <v>149</v>
      </c>
      <c r="D53" s="5" t="s">
        <v>1197</v>
      </c>
      <c r="E53" s="22" t="s">
        <v>1196</v>
      </c>
    </row>
    <row r="54" spans="1:5" ht="12.75">
      <c r="A54" s="18" t="s">
        <v>1207</v>
      </c>
      <c r="B54" s="5" t="s">
        <v>72</v>
      </c>
      <c r="C54" s="5" t="s">
        <v>22</v>
      </c>
      <c r="D54" s="5" t="s">
        <v>1206</v>
      </c>
      <c r="E54" s="22" t="s">
        <v>1205</v>
      </c>
    </row>
    <row r="56" spans="1:2" ht="14.25">
      <c r="A56" s="19"/>
      <c r="B56" s="20" t="s">
        <v>74</v>
      </c>
    </row>
    <row r="57" spans="1:5" ht="15">
      <c r="A57" s="21" t="s">
        <v>67</v>
      </c>
      <c r="B57" s="21" t="s">
        <v>68</v>
      </c>
      <c r="C57" s="21" t="s">
        <v>69</v>
      </c>
      <c r="D57" s="21" t="s">
        <v>70</v>
      </c>
      <c r="E57" s="21" t="s">
        <v>1165</v>
      </c>
    </row>
    <row r="58" spans="1:5" ht="12.75">
      <c r="A58" s="18" t="s">
        <v>1204</v>
      </c>
      <c r="B58" s="5" t="s">
        <v>74</v>
      </c>
      <c r="C58" s="5" t="s">
        <v>75</v>
      </c>
      <c r="D58" s="5" t="s">
        <v>1203</v>
      </c>
      <c r="E58" s="22" t="s">
        <v>1202</v>
      </c>
    </row>
    <row r="59" spans="1:5" ht="12.75">
      <c r="A59" s="18" t="s">
        <v>1201</v>
      </c>
      <c r="B59" s="5" t="s">
        <v>74</v>
      </c>
      <c r="C59" s="5" t="s">
        <v>273</v>
      </c>
      <c r="D59" s="5" t="s">
        <v>1200</v>
      </c>
      <c r="E59" s="22" t="s">
        <v>1199</v>
      </c>
    </row>
    <row r="60" spans="1:5" ht="12.75">
      <c r="A60" s="18" t="s">
        <v>1198</v>
      </c>
      <c r="B60" s="5" t="s">
        <v>74</v>
      </c>
      <c r="C60" s="5" t="s">
        <v>149</v>
      </c>
      <c r="D60" s="5" t="s">
        <v>1197</v>
      </c>
      <c r="E60" s="22" t="s">
        <v>1196</v>
      </c>
    </row>
    <row r="61" spans="1:5" ht="12.75">
      <c r="A61" s="18" t="s">
        <v>1164</v>
      </c>
      <c r="B61" s="5" t="s">
        <v>74</v>
      </c>
      <c r="C61" s="5" t="s">
        <v>76</v>
      </c>
      <c r="D61" s="5" t="s">
        <v>1163</v>
      </c>
      <c r="E61" s="22" t="s">
        <v>1195</v>
      </c>
    </row>
    <row r="62" spans="1:5" ht="12.75">
      <c r="A62" s="18" t="s">
        <v>793</v>
      </c>
      <c r="B62" s="5" t="s">
        <v>74</v>
      </c>
      <c r="C62" s="5" t="s">
        <v>76</v>
      </c>
      <c r="D62" s="5" t="s">
        <v>1194</v>
      </c>
      <c r="E62" s="22" t="s">
        <v>1193</v>
      </c>
    </row>
    <row r="63" spans="1:5" ht="12.75">
      <c r="A63" s="18" t="s">
        <v>1192</v>
      </c>
      <c r="B63" s="5" t="s">
        <v>74</v>
      </c>
      <c r="C63" s="5" t="s">
        <v>273</v>
      </c>
      <c r="D63" s="5" t="s">
        <v>1191</v>
      </c>
      <c r="E63" s="22" t="s">
        <v>1190</v>
      </c>
    </row>
    <row r="64" spans="1:5" ht="12.75">
      <c r="A64" s="18" t="s">
        <v>1189</v>
      </c>
      <c r="B64" s="5" t="s">
        <v>74</v>
      </c>
      <c r="C64" s="5" t="s">
        <v>149</v>
      </c>
      <c r="D64" s="5" t="s">
        <v>1188</v>
      </c>
      <c r="E64" s="22" t="s">
        <v>1187</v>
      </c>
    </row>
    <row r="65" spans="1:5" ht="12.75">
      <c r="A65" s="18" t="s">
        <v>1186</v>
      </c>
      <c r="B65" s="5" t="s">
        <v>74</v>
      </c>
      <c r="C65" s="5" t="s">
        <v>75</v>
      </c>
      <c r="D65" s="5" t="s">
        <v>1185</v>
      </c>
      <c r="E65" s="22" t="s">
        <v>1184</v>
      </c>
    </row>
    <row r="66" spans="1:5" ht="12.75">
      <c r="A66" s="18" t="s">
        <v>1183</v>
      </c>
      <c r="B66" s="5" t="s">
        <v>74</v>
      </c>
      <c r="C66" s="5" t="s">
        <v>149</v>
      </c>
      <c r="D66" s="5" t="s">
        <v>1182</v>
      </c>
      <c r="E66" s="22" t="s">
        <v>1181</v>
      </c>
    </row>
    <row r="67" spans="1:5" ht="12.75">
      <c r="A67" s="18" t="s">
        <v>1180</v>
      </c>
      <c r="B67" s="5" t="s">
        <v>74</v>
      </c>
      <c r="C67" s="5" t="s">
        <v>75</v>
      </c>
      <c r="D67" s="5" t="s">
        <v>1179</v>
      </c>
      <c r="E67" s="22" t="s">
        <v>1178</v>
      </c>
    </row>
    <row r="68" spans="1:5" ht="12.75">
      <c r="A68" s="18" t="s">
        <v>415</v>
      </c>
      <c r="B68" s="5" t="s">
        <v>74</v>
      </c>
      <c r="C68" s="5" t="s">
        <v>168</v>
      </c>
      <c r="D68" s="5" t="s">
        <v>1158</v>
      </c>
      <c r="E68" s="22" t="s">
        <v>1177</v>
      </c>
    </row>
    <row r="69" spans="1:5" ht="12.75">
      <c r="A69" s="18" t="s">
        <v>921</v>
      </c>
      <c r="B69" s="5" t="s">
        <v>74</v>
      </c>
      <c r="C69" s="5" t="s">
        <v>75</v>
      </c>
      <c r="D69" s="5" t="s">
        <v>1156</v>
      </c>
      <c r="E69" s="22" t="s">
        <v>1176</v>
      </c>
    </row>
    <row r="70" spans="1:5" ht="12.75">
      <c r="A70" s="18" t="s">
        <v>1175</v>
      </c>
      <c r="B70" s="5" t="s">
        <v>74</v>
      </c>
      <c r="C70" s="5" t="s">
        <v>273</v>
      </c>
      <c r="D70" s="5" t="s">
        <v>1174</v>
      </c>
      <c r="E70" s="22" t="s">
        <v>1173</v>
      </c>
    </row>
    <row r="71" spans="1:5" ht="12.75">
      <c r="A71" s="18" t="s">
        <v>1172</v>
      </c>
      <c r="B71" s="5" t="s">
        <v>74</v>
      </c>
      <c r="C71" s="5" t="s">
        <v>273</v>
      </c>
      <c r="D71" s="5" t="s">
        <v>1171</v>
      </c>
      <c r="E71" s="22" t="s">
        <v>1170</v>
      </c>
    </row>
    <row r="72" spans="1:5" ht="12.75">
      <c r="A72" s="18" t="s">
        <v>1169</v>
      </c>
      <c r="B72" s="5" t="s">
        <v>74</v>
      </c>
      <c r="C72" s="5" t="s">
        <v>168</v>
      </c>
      <c r="D72" s="5" t="s">
        <v>1168</v>
      </c>
      <c r="E72" s="22" t="s">
        <v>1167</v>
      </c>
    </row>
    <row r="74" spans="1:2" ht="14.25">
      <c r="A74" s="19"/>
      <c r="B74" s="20" t="s">
        <v>1166</v>
      </c>
    </row>
    <row r="75" spans="1:5" ht="15">
      <c r="A75" s="21" t="s">
        <v>67</v>
      </c>
      <c r="B75" s="21" t="s">
        <v>68</v>
      </c>
      <c r="C75" s="21" t="s">
        <v>69</v>
      </c>
      <c r="D75" s="21" t="s">
        <v>70</v>
      </c>
      <c r="E75" s="21" t="s">
        <v>1165</v>
      </c>
    </row>
    <row r="76" spans="1:5" ht="12.75">
      <c r="A76" s="18" t="s">
        <v>1164</v>
      </c>
      <c r="B76" s="5" t="s">
        <v>1154</v>
      </c>
      <c r="C76" s="5" t="s">
        <v>76</v>
      </c>
      <c r="D76" s="5" t="s">
        <v>1163</v>
      </c>
      <c r="E76" s="22" t="s">
        <v>1162</v>
      </c>
    </row>
    <row r="77" spans="1:5" ht="12.75">
      <c r="A77" s="18" t="s">
        <v>891</v>
      </c>
      <c r="B77" s="5" t="s">
        <v>1154</v>
      </c>
      <c r="C77" s="5" t="s">
        <v>22</v>
      </c>
      <c r="D77" s="5" t="s">
        <v>1161</v>
      </c>
      <c r="E77" s="22" t="s">
        <v>1160</v>
      </c>
    </row>
    <row r="78" spans="1:5" ht="12.75">
      <c r="A78" s="18" t="s">
        <v>415</v>
      </c>
      <c r="B78" s="5" t="s">
        <v>1159</v>
      </c>
      <c r="C78" s="5" t="s">
        <v>168</v>
      </c>
      <c r="D78" s="5" t="s">
        <v>1158</v>
      </c>
      <c r="E78" s="22" t="s">
        <v>1157</v>
      </c>
    </row>
    <row r="79" spans="1:5" ht="12.75">
      <c r="A79" s="18" t="s">
        <v>921</v>
      </c>
      <c r="B79" s="5" t="s">
        <v>1154</v>
      </c>
      <c r="C79" s="5" t="s">
        <v>75</v>
      </c>
      <c r="D79" s="5" t="s">
        <v>1156</v>
      </c>
      <c r="E79" s="22" t="s">
        <v>1155</v>
      </c>
    </row>
    <row r="80" spans="1:5" ht="12.75">
      <c r="A80" s="18" t="s">
        <v>818</v>
      </c>
      <c r="B80" s="5" t="s">
        <v>1154</v>
      </c>
      <c r="C80" s="5" t="s">
        <v>76</v>
      </c>
      <c r="D80" s="5" t="s">
        <v>1153</v>
      </c>
      <c r="E80" s="22" t="s">
        <v>1152</v>
      </c>
    </row>
  </sheetData>
  <sheetProtection/>
  <mergeCells count="17">
    <mergeCell ref="A1:K2"/>
    <mergeCell ref="G3:H3"/>
    <mergeCell ref="A3:A4"/>
    <mergeCell ref="B3:B4"/>
    <mergeCell ref="C3:C4"/>
    <mergeCell ref="K3:K4"/>
    <mergeCell ref="F3:F4"/>
    <mergeCell ref="E3:E4"/>
    <mergeCell ref="A23:J23"/>
    <mergeCell ref="A29:J29"/>
    <mergeCell ref="A33:J33"/>
    <mergeCell ref="D3:D4"/>
    <mergeCell ref="I3:I4"/>
    <mergeCell ref="J3:J4"/>
    <mergeCell ref="A5:J5"/>
    <mergeCell ref="A10:J10"/>
    <mergeCell ref="A17:J17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6.00390625" style="5" bestFit="1" customWidth="1"/>
    <col min="2" max="2" width="22.8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7.375" style="5" bestFit="1" customWidth="1"/>
    <col min="7" max="7" width="6.25390625" style="4" customWidth="1"/>
    <col min="8" max="8" width="11.375" style="26" customWidth="1"/>
    <col min="9" max="9" width="8.625" style="5" customWidth="1"/>
    <col min="10" max="10" width="8.625" style="4" bestFit="1" customWidth="1"/>
    <col min="11" max="11" width="14.125" style="5" bestFit="1" customWidth="1"/>
    <col min="12" max="16384" width="9.125" style="4" customWidth="1"/>
  </cols>
  <sheetData>
    <row r="1" spans="1:11" s="3" customFormat="1" ht="28.5" customHeight="1">
      <c r="A1" s="32" t="s">
        <v>1286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1" customFormat="1" ht="12.75" customHeight="1">
      <c r="A3" s="38" t="s">
        <v>0</v>
      </c>
      <c r="B3" s="40" t="s">
        <v>9</v>
      </c>
      <c r="C3" s="40" t="s">
        <v>11</v>
      </c>
      <c r="D3" s="42" t="s">
        <v>1150</v>
      </c>
      <c r="E3" s="42" t="s">
        <v>7</v>
      </c>
      <c r="F3" s="42" t="s">
        <v>10</v>
      </c>
      <c r="G3" s="42" t="s">
        <v>1149</v>
      </c>
      <c r="H3" s="42"/>
      <c r="I3" s="42" t="s">
        <v>1148</v>
      </c>
      <c r="J3" s="42" t="s">
        <v>6</v>
      </c>
      <c r="K3" s="43" t="s">
        <v>5</v>
      </c>
    </row>
    <row r="4" spans="1:11" s="1" customFormat="1" ht="21" customHeight="1" thickBot="1">
      <c r="A4" s="39"/>
      <c r="B4" s="41"/>
      <c r="C4" s="41"/>
      <c r="D4" s="41"/>
      <c r="E4" s="41"/>
      <c r="F4" s="41"/>
      <c r="G4" s="2" t="s">
        <v>1147</v>
      </c>
      <c r="H4" s="30" t="s">
        <v>1146</v>
      </c>
      <c r="I4" s="41"/>
      <c r="J4" s="41"/>
      <c r="K4" s="44"/>
    </row>
    <row r="5" spans="1:10" ht="15">
      <c r="A5" s="45" t="s">
        <v>367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2.75">
      <c r="A6" s="6" t="s">
        <v>1285</v>
      </c>
      <c r="B6" s="6" t="s">
        <v>31</v>
      </c>
      <c r="C6" s="6" t="s">
        <v>1284</v>
      </c>
      <c r="D6" s="6" t="str">
        <f>"1,1846"</f>
        <v>1,1846</v>
      </c>
      <c r="E6" s="6" t="s">
        <v>17</v>
      </c>
      <c r="F6" s="6" t="s">
        <v>108</v>
      </c>
      <c r="G6" s="7" t="s">
        <v>1217</v>
      </c>
      <c r="H6" s="27" t="s">
        <v>1135</v>
      </c>
      <c r="I6" s="6" t="str">
        <f>"675,0"</f>
        <v>675,0</v>
      </c>
      <c r="J6" s="7" t="str">
        <f>"799,6050"</f>
        <v>799,6050</v>
      </c>
      <c r="K6" s="6" t="s">
        <v>1283</v>
      </c>
    </row>
    <row r="8" ht="15">
      <c r="E8" s="15" t="s">
        <v>59</v>
      </c>
    </row>
    <row r="9" ht="15">
      <c r="E9" s="15" t="s">
        <v>60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zoomScale="90" zoomScaleNormal="90" zoomScalePageLayoutView="0" workbookViewId="0" topLeftCell="C64">
      <selection activeCell="V35" sqref="V35"/>
    </sheetView>
  </sheetViews>
  <sheetFormatPr defaultColWidth="9.00390625" defaultRowHeight="12.75"/>
  <cols>
    <col min="1" max="1" width="28.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3.37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7.375" style="5" bestFit="1" customWidth="1"/>
    <col min="22" max="22" width="20.00390625" style="4" customWidth="1"/>
    <col min="23" max="16384" width="9.125" style="4" customWidth="1"/>
  </cols>
  <sheetData>
    <row r="1" spans="1:21" s="3" customFormat="1" ht="28.5" customHeight="1">
      <c r="A1" s="32" t="s">
        <v>1126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1</v>
      </c>
      <c r="H3" s="42"/>
      <c r="I3" s="42"/>
      <c r="J3" s="42"/>
      <c r="K3" s="42" t="s">
        <v>2</v>
      </c>
      <c r="L3" s="42"/>
      <c r="M3" s="42"/>
      <c r="N3" s="42"/>
      <c r="O3" s="42" t="s">
        <v>3</v>
      </c>
      <c r="P3" s="42"/>
      <c r="Q3" s="42"/>
      <c r="R3" s="42"/>
      <c r="S3" s="42" t="s">
        <v>4</v>
      </c>
      <c r="T3" s="42" t="s">
        <v>6</v>
      </c>
      <c r="U3" s="43" t="s">
        <v>5</v>
      </c>
    </row>
    <row r="4" spans="1:21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1"/>
      <c r="T4" s="41"/>
      <c r="U4" s="44"/>
    </row>
    <row r="5" spans="1:20" ht="15">
      <c r="A5" s="45" t="s">
        <v>162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12.75">
      <c r="A6" s="9" t="s">
        <v>449</v>
      </c>
      <c r="B6" s="9" t="s">
        <v>450</v>
      </c>
      <c r="C6" s="9" t="s">
        <v>308</v>
      </c>
      <c r="D6" s="9" t="str">
        <f>"1,2905"</f>
        <v>1,2905</v>
      </c>
      <c r="E6" s="9" t="s">
        <v>33</v>
      </c>
      <c r="F6" s="9" t="s">
        <v>34</v>
      </c>
      <c r="G6" s="10" t="s">
        <v>394</v>
      </c>
      <c r="H6" s="10" t="s">
        <v>187</v>
      </c>
      <c r="I6" s="10" t="s">
        <v>22</v>
      </c>
      <c r="J6" s="11"/>
      <c r="K6" s="10" t="s">
        <v>181</v>
      </c>
      <c r="L6" s="11" t="s">
        <v>373</v>
      </c>
      <c r="M6" s="11" t="s">
        <v>373</v>
      </c>
      <c r="N6" s="11"/>
      <c r="O6" s="10" t="s">
        <v>394</v>
      </c>
      <c r="P6" s="11" t="s">
        <v>149</v>
      </c>
      <c r="Q6" s="11" t="s">
        <v>149</v>
      </c>
      <c r="R6" s="11"/>
      <c r="S6" s="9" t="str">
        <f>"232,5"</f>
        <v>232,5</v>
      </c>
      <c r="T6" s="10" t="str">
        <f>"300,0413"</f>
        <v>300,0413</v>
      </c>
      <c r="U6" s="9" t="s">
        <v>451</v>
      </c>
    </row>
    <row r="7" spans="1:21" ht="12.75">
      <c r="A7" s="12" t="s">
        <v>452</v>
      </c>
      <c r="B7" s="12" t="s">
        <v>453</v>
      </c>
      <c r="C7" s="12" t="s">
        <v>383</v>
      </c>
      <c r="D7" s="12" t="str">
        <f>"1,2769"</f>
        <v>1,2769</v>
      </c>
      <c r="E7" s="12" t="s">
        <v>33</v>
      </c>
      <c r="F7" s="12" t="s">
        <v>34</v>
      </c>
      <c r="G7" s="13" t="s">
        <v>182</v>
      </c>
      <c r="H7" s="13" t="s">
        <v>372</v>
      </c>
      <c r="I7" s="13" t="s">
        <v>373</v>
      </c>
      <c r="J7" s="14"/>
      <c r="K7" s="13" t="s">
        <v>454</v>
      </c>
      <c r="L7" s="14" t="s">
        <v>455</v>
      </c>
      <c r="M7" s="14" t="s">
        <v>455</v>
      </c>
      <c r="N7" s="14"/>
      <c r="O7" s="13" t="s">
        <v>395</v>
      </c>
      <c r="P7" s="13" t="s">
        <v>166</v>
      </c>
      <c r="Q7" s="14" t="s">
        <v>167</v>
      </c>
      <c r="R7" s="14"/>
      <c r="S7" s="12" t="str">
        <f>"150,0"</f>
        <v>150,0</v>
      </c>
      <c r="T7" s="13" t="str">
        <f>"191,5350"</f>
        <v>191,5350</v>
      </c>
      <c r="U7" s="12" t="s">
        <v>456</v>
      </c>
    </row>
    <row r="9" spans="1:20" ht="15">
      <c r="A9" s="46" t="s">
        <v>170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1" ht="12.75">
      <c r="A10" s="9" t="s">
        <v>457</v>
      </c>
      <c r="B10" s="9" t="s">
        <v>458</v>
      </c>
      <c r="C10" s="9" t="s">
        <v>459</v>
      </c>
      <c r="D10" s="9" t="str">
        <f>"1,2123"</f>
        <v>1,2123</v>
      </c>
      <c r="E10" s="9" t="s">
        <v>33</v>
      </c>
      <c r="F10" s="9" t="s">
        <v>34</v>
      </c>
      <c r="G10" s="11" t="s">
        <v>22</v>
      </c>
      <c r="H10" s="10" t="s">
        <v>22</v>
      </c>
      <c r="I10" s="11" t="s">
        <v>75</v>
      </c>
      <c r="J10" s="11"/>
      <c r="K10" s="10" t="s">
        <v>395</v>
      </c>
      <c r="L10" s="10" t="s">
        <v>166</v>
      </c>
      <c r="M10" s="11" t="s">
        <v>167</v>
      </c>
      <c r="N10" s="11"/>
      <c r="O10" s="10" t="s">
        <v>19</v>
      </c>
      <c r="P10" s="10" t="s">
        <v>102</v>
      </c>
      <c r="Q10" s="10" t="s">
        <v>20</v>
      </c>
      <c r="R10" s="11"/>
      <c r="S10" s="9" t="str">
        <f>"300,0"</f>
        <v>300,0</v>
      </c>
      <c r="T10" s="10" t="str">
        <f>"363,6900"</f>
        <v>363,6900</v>
      </c>
      <c r="U10" s="9" t="s">
        <v>456</v>
      </c>
    </row>
    <row r="11" spans="1:21" ht="12.75">
      <c r="A11" s="12" t="s">
        <v>460</v>
      </c>
      <c r="B11" s="12" t="s">
        <v>461</v>
      </c>
      <c r="C11" s="12" t="s">
        <v>462</v>
      </c>
      <c r="D11" s="12" t="str">
        <f>"1,1816"</f>
        <v>1,1816</v>
      </c>
      <c r="E11" s="12" t="s">
        <v>33</v>
      </c>
      <c r="F11" s="12" t="s">
        <v>34</v>
      </c>
      <c r="G11" s="14" t="s">
        <v>22</v>
      </c>
      <c r="H11" s="13" t="s">
        <v>75</v>
      </c>
      <c r="I11" s="14" t="s">
        <v>374</v>
      </c>
      <c r="J11" s="14"/>
      <c r="K11" s="13" t="s">
        <v>182</v>
      </c>
      <c r="L11" s="13" t="s">
        <v>373</v>
      </c>
      <c r="M11" s="14" t="s">
        <v>395</v>
      </c>
      <c r="N11" s="14"/>
      <c r="O11" s="13" t="s">
        <v>208</v>
      </c>
      <c r="P11" s="13" t="s">
        <v>73</v>
      </c>
      <c r="Q11" s="13" t="s">
        <v>19</v>
      </c>
      <c r="R11" s="14"/>
      <c r="S11" s="12" t="str">
        <f>"295,0"</f>
        <v>295,0</v>
      </c>
      <c r="T11" s="13" t="str">
        <f>"348,5720"</f>
        <v>348,5720</v>
      </c>
      <c r="U11" s="12" t="s">
        <v>463</v>
      </c>
    </row>
    <row r="13" spans="1:20" ht="15">
      <c r="A13" s="46" t="s">
        <v>177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1" ht="12.75">
      <c r="A14" s="9" t="s">
        <v>464</v>
      </c>
      <c r="B14" s="9" t="s">
        <v>465</v>
      </c>
      <c r="C14" s="9" t="s">
        <v>466</v>
      </c>
      <c r="D14" s="9" t="str">
        <f>"1,1355"</f>
        <v>1,1355</v>
      </c>
      <c r="E14" s="9" t="s">
        <v>33</v>
      </c>
      <c r="F14" s="9" t="s">
        <v>34</v>
      </c>
      <c r="G14" s="10" t="s">
        <v>75</v>
      </c>
      <c r="H14" s="11" t="s">
        <v>374</v>
      </c>
      <c r="I14" s="10" t="s">
        <v>374</v>
      </c>
      <c r="J14" s="11"/>
      <c r="K14" s="10" t="s">
        <v>182</v>
      </c>
      <c r="L14" s="11" t="s">
        <v>373</v>
      </c>
      <c r="M14" s="11"/>
      <c r="N14" s="11"/>
      <c r="O14" s="10" t="s">
        <v>22</v>
      </c>
      <c r="P14" s="10" t="s">
        <v>75</v>
      </c>
      <c r="Q14" s="11" t="s">
        <v>374</v>
      </c>
      <c r="R14" s="11"/>
      <c r="S14" s="9" t="str">
        <f>"275,0"</f>
        <v>275,0</v>
      </c>
      <c r="T14" s="10" t="str">
        <f>"312,2625"</f>
        <v>312,2625</v>
      </c>
      <c r="U14" s="9" t="s">
        <v>467</v>
      </c>
    </row>
    <row r="15" spans="1:22" ht="12.75">
      <c r="A15" s="54" t="s">
        <v>468</v>
      </c>
      <c r="B15" s="54" t="s">
        <v>469</v>
      </c>
      <c r="C15" s="54" t="s">
        <v>470</v>
      </c>
      <c r="D15" s="54" t="str">
        <f>"1,1266"</f>
        <v>1,1266</v>
      </c>
      <c r="E15" s="54" t="s">
        <v>33</v>
      </c>
      <c r="F15" s="54" t="s">
        <v>34</v>
      </c>
      <c r="G15" s="55" t="s">
        <v>75</v>
      </c>
      <c r="H15" s="55" t="s">
        <v>224</v>
      </c>
      <c r="I15" s="56" t="s">
        <v>73</v>
      </c>
      <c r="J15" s="56"/>
      <c r="K15" s="55" t="s">
        <v>167</v>
      </c>
      <c r="L15" s="55" t="s">
        <v>379</v>
      </c>
      <c r="M15" s="55" t="s">
        <v>168</v>
      </c>
      <c r="N15" s="56"/>
      <c r="O15" s="55" t="s">
        <v>374</v>
      </c>
      <c r="P15" s="55" t="s">
        <v>224</v>
      </c>
      <c r="Q15" s="55" t="s">
        <v>19</v>
      </c>
      <c r="R15" s="56"/>
      <c r="S15" s="54" t="str">
        <f>"317,5"</f>
        <v>317,5</v>
      </c>
      <c r="T15" s="55" t="str">
        <f>"357,6955"</f>
        <v>357,6955</v>
      </c>
      <c r="U15" s="54" t="s">
        <v>471</v>
      </c>
      <c r="V15" s="50" t="s">
        <v>1333</v>
      </c>
    </row>
    <row r="17" spans="1:20" ht="15">
      <c r="A17" s="46" t="s">
        <v>189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1" ht="12.75">
      <c r="A18" s="9" t="s">
        <v>472</v>
      </c>
      <c r="B18" s="9" t="s">
        <v>465</v>
      </c>
      <c r="C18" s="9" t="s">
        <v>473</v>
      </c>
      <c r="D18" s="9" t="str">
        <f>"1,1035"</f>
        <v>1,1035</v>
      </c>
      <c r="E18" s="9" t="s">
        <v>33</v>
      </c>
      <c r="F18" s="9" t="s">
        <v>34</v>
      </c>
      <c r="G18" s="11" t="s">
        <v>374</v>
      </c>
      <c r="H18" s="11"/>
      <c r="I18" s="11"/>
      <c r="J18" s="11"/>
      <c r="K18" s="11" t="s">
        <v>182</v>
      </c>
      <c r="L18" s="11"/>
      <c r="M18" s="11"/>
      <c r="N18" s="11"/>
      <c r="O18" s="11" t="s">
        <v>75</v>
      </c>
      <c r="P18" s="11"/>
      <c r="Q18" s="11"/>
      <c r="R18" s="11"/>
      <c r="S18" s="9" t="str">
        <f>"0,0"</f>
        <v>0,0</v>
      </c>
      <c r="T18" s="10" t="str">
        <f>"0,0000"</f>
        <v>0,0000</v>
      </c>
      <c r="U18" s="9" t="s">
        <v>467</v>
      </c>
    </row>
    <row r="19" spans="1:21" ht="12.75">
      <c r="A19" s="23" t="s">
        <v>474</v>
      </c>
      <c r="B19" s="23" t="s">
        <v>475</v>
      </c>
      <c r="C19" s="23" t="s">
        <v>476</v>
      </c>
      <c r="D19" s="23" t="str">
        <f>"1,0844"</f>
        <v>1,0844</v>
      </c>
      <c r="E19" s="23" t="s">
        <v>33</v>
      </c>
      <c r="F19" s="23" t="s">
        <v>34</v>
      </c>
      <c r="G19" s="24" t="s">
        <v>379</v>
      </c>
      <c r="H19" s="24" t="s">
        <v>273</v>
      </c>
      <c r="I19" s="25" t="s">
        <v>309</v>
      </c>
      <c r="J19" s="25"/>
      <c r="K19" s="25" t="s">
        <v>174</v>
      </c>
      <c r="L19" s="24" t="s">
        <v>181</v>
      </c>
      <c r="M19" s="25" t="s">
        <v>372</v>
      </c>
      <c r="N19" s="25"/>
      <c r="O19" s="24" t="s">
        <v>187</v>
      </c>
      <c r="P19" s="24" t="s">
        <v>203</v>
      </c>
      <c r="Q19" s="25" t="s">
        <v>224</v>
      </c>
      <c r="R19" s="25"/>
      <c r="S19" s="23" t="str">
        <f>"227,5"</f>
        <v>227,5</v>
      </c>
      <c r="T19" s="24" t="str">
        <f>"246,7010"</f>
        <v>246,7010</v>
      </c>
      <c r="U19" s="23" t="s">
        <v>477</v>
      </c>
    </row>
    <row r="20" spans="1:21" ht="12.75">
      <c r="A20" s="12" t="s">
        <v>478</v>
      </c>
      <c r="B20" s="12" t="s">
        <v>479</v>
      </c>
      <c r="C20" s="12" t="s">
        <v>480</v>
      </c>
      <c r="D20" s="12" t="str">
        <f>"1,0432"</f>
        <v>1,0432</v>
      </c>
      <c r="E20" s="12" t="s">
        <v>33</v>
      </c>
      <c r="F20" s="12" t="s">
        <v>34</v>
      </c>
      <c r="G20" s="13" t="s">
        <v>273</v>
      </c>
      <c r="H20" s="13" t="s">
        <v>76</v>
      </c>
      <c r="I20" s="14" t="s">
        <v>377</v>
      </c>
      <c r="J20" s="14"/>
      <c r="K20" s="13" t="s">
        <v>174</v>
      </c>
      <c r="L20" s="14" t="s">
        <v>176</v>
      </c>
      <c r="M20" s="13" t="s">
        <v>176</v>
      </c>
      <c r="N20" s="14"/>
      <c r="O20" s="13" t="s">
        <v>273</v>
      </c>
      <c r="P20" s="13" t="s">
        <v>76</v>
      </c>
      <c r="Q20" s="13" t="s">
        <v>149</v>
      </c>
      <c r="R20" s="14"/>
      <c r="S20" s="12" t="str">
        <f>"217,5"</f>
        <v>217,5</v>
      </c>
      <c r="T20" s="13" t="str">
        <f>"226,8960"</f>
        <v>226,8960</v>
      </c>
      <c r="U20" s="12" t="s">
        <v>481</v>
      </c>
    </row>
    <row r="22" spans="1:20" ht="15">
      <c r="A22" s="46" t="s">
        <v>183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1" ht="12.75">
      <c r="A23" s="9" t="s">
        <v>482</v>
      </c>
      <c r="B23" s="9" t="s">
        <v>483</v>
      </c>
      <c r="C23" s="9" t="s">
        <v>484</v>
      </c>
      <c r="D23" s="9" t="str">
        <f>"0,9862"</f>
        <v>0,9862</v>
      </c>
      <c r="E23" s="9" t="s">
        <v>33</v>
      </c>
      <c r="F23" s="9" t="s">
        <v>34</v>
      </c>
      <c r="G23" s="11" t="s">
        <v>75</v>
      </c>
      <c r="H23" s="11" t="s">
        <v>75</v>
      </c>
      <c r="I23" s="10" t="s">
        <v>75</v>
      </c>
      <c r="J23" s="11"/>
      <c r="K23" s="10" t="s">
        <v>373</v>
      </c>
      <c r="L23" s="11" t="s">
        <v>395</v>
      </c>
      <c r="M23" s="10" t="s">
        <v>395</v>
      </c>
      <c r="N23" s="11"/>
      <c r="O23" s="10" t="s">
        <v>22</v>
      </c>
      <c r="P23" s="10" t="s">
        <v>75</v>
      </c>
      <c r="Q23" s="10" t="s">
        <v>374</v>
      </c>
      <c r="R23" s="11"/>
      <c r="S23" s="9" t="str">
        <f>"282,5"</f>
        <v>282,5</v>
      </c>
      <c r="T23" s="10" t="str">
        <f>"278,6015"</f>
        <v>278,6015</v>
      </c>
      <c r="U23" s="9" t="s">
        <v>467</v>
      </c>
    </row>
    <row r="24" spans="1:21" ht="12.75">
      <c r="A24" s="12" t="s">
        <v>485</v>
      </c>
      <c r="B24" s="12" t="s">
        <v>486</v>
      </c>
      <c r="C24" s="12" t="s">
        <v>487</v>
      </c>
      <c r="D24" s="12" t="str">
        <f>"0,9760"</f>
        <v>0,9760</v>
      </c>
      <c r="E24" s="12" t="s">
        <v>33</v>
      </c>
      <c r="F24" s="12" t="s">
        <v>34</v>
      </c>
      <c r="G24" s="13" t="s">
        <v>488</v>
      </c>
      <c r="H24" s="13" t="s">
        <v>309</v>
      </c>
      <c r="I24" s="13" t="s">
        <v>149</v>
      </c>
      <c r="J24" s="14"/>
      <c r="K24" s="13" t="s">
        <v>174</v>
      </c>
      <c r="L24" s="13" t="s">
        <v>182</v>
      </c>
      <c r="M24" s="14" t="s">
        <v>373</v>
      </c>
      <c r="N24" s="14"/>
      <c r="O24" s="13" t="s">
        <v>309</v>
      </c>
      <c r="P24" s="13" t="s">
        <v>149</v>
      </c>
      <c r="Q24" s="13" t="s">
        <v>22</v>
      </c>
      <c r="R24" s="14"/>
      <c r="S24" s="12" t="str">
        <f>"240,0"</f>
        <v>240,0</v>
      </c>
      <c r="T24" s="13" t="str">
        <f>"264,6912"</f>
        <v>264,6912</v>
      </c>
      <c r="U24" s="12" t="s">
        <v>489</v>
      </c>
    </row>
    <row r="26" spans="1:20" ht="15">
      <c r="A26" s="46" t="s">
        <v>490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1" ht="12.75">
      <c r="A27" s="6" t="s">
        <v>491</v>
      </c>
      <c r="B27" s="6" t="s">
        <v>492</v>
      </c>
      <c r="C27" s="6" t="s">
        <v>493</v>
      </c>
      <c r="D27" s="6" t="str">
        <f>"0,8195"</f>
        <v>0,8195</v>
      </c>
      <c r="E27" s="6" t="s">
        <v>33</v>
      </c>
      <c r="F27" s="6" t="s">
        <v>34</v>
      </c>
      <c r="G27" s="7" t="s">
        <v>19</v>
      </c>
      <c r="H27" s="7" t="s">
        <v>20</v>
      </c>
      <c r="I27" s="8" t="s">
        <v>21</v>
      </c>
      <c r="J27" s="8"/>
      <c r="K27" s="7" t="s">
        <v>166</v>
      </c>
      <c r="L27" s="7" t="s">
        <v>379</v>
      </c>
      <c r="M27" s="8" t="s">
        <v>168</v>
      </c>
      <c r="N27" s="8"/>
      <c r="O27" s="7" t="s">
        <v>19</v>
      </c>
      <c r="P27" s="7" t="s">
        <v>82</v>
      </c>
      <c r="Q27" s="8" t="s">
        <v>53</v>
      </c>
      <c r="R27" s="8"/>
      <c r="S27" s="6" t="str">
        <f>"350,0"</f>
        <v>350,0</v>
      </c>
      <c r="T27" s="7" t="str">
        <f>"286,8250"</f>
        <v>286,8250</v>
      </c>
      <c r="U27" s="6" t="s">
        <v>467</v>
      </c>
    </row>
    <row r="29" spans="1:20" ht="15">
      <c r="A29" s="46" t="s">
        <v>170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1" ht="12.75">
      <c r="A30" s="6" t="s">
        <v>494</v>
      </c>
      <c r="B30" s="6" t="s">
        <v>495</v>
      </c>
      <c r="C30" s="6" t="s">
        <v>496</v>
      </c>
      <c r="D30" s="6" t="str">
        <f>"0,9103"</f>
        <v>0,9103</v>
      </c>
      <c r="E30" s="6" t="s">
        <v>33</v>
      </c>
      <c r="F30" s="6" t="s">
        <v>34</v>
      </c>
      <c r="G30" s="7" t="s">
        <v>488</v>
      </c>
      <c r="H30" s="7" t="s">
        <v>273</v>
      </c>
      <c r="I30" s="7" t="s">
        <v>309</v>
      </c>
      <c r="J30" s="8"/>
      <c r="K30" s="7" t="s">
        <v>373</v>
      </c>
      <c r="L30" s="7" t="s">
        <v>166</v>
      </c>
      <c r="M30" s="8" t="s">
        <v>379</v>
      </c>
      <c r="N30" s="8"/>
      <c r="O30" s="7" t="s">
        <v>273</v>
      </c>
      <c r="P30" s="7" t="s">
        <v>394</v>
      </c>
      <c r="Q30" s="7" t="s">
        <v>378</v>
      </c>
      <c r="R30" s="8"/>
      <c r="S30" s="6" t="str">
        <f>"232,5"</f>
        <v>232,5</v>
      </c>
      <c r="T30" s="7" t="str">
        <f>"211,6448"</f>
        <v>211,6448</v>
      </c>
      <c r="U30" s="6" t="s">
        <v>28</v>
      </c>
    </row>
    <row r="32" spans="1:20" ht="15">
      <c r="A32" s="46" t="s">
        <v>189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1" ht="12.75">
      <c r="A33" s="9" t="s">
        <v>498</v>
      </c>
      <c r="B33" s="9" t="s">
        <v>499</v>
      </c>
      <c r="C33" s="9" t="s">
        <v>500</v>
      </c>
      <c r="D33" s="9" t="str">
        <f>"0,7785"</f>
        <v>0,7785</v>
      </c>
      <c r="E33" s="9" t="s">
        <v>33</v>
      </c>
      <c r="F33" s="9" t="s">
        <v>34</v>
      </c>
      <c r="G33" s="10" t="s">
        <v>55</v>
      </c>
      <c r="H33" s="10" t="s">
        <v>38</v>
      </c>
      <c r="I33" s="11" t="s">
        <v>40</v>
      </c>
      <c r="J33" s="11"/>
      <c r="K33" s="10" t="s">
        <v>394</v>
      </c>
      <c r="L33" s="10" t="s">
        <v>149</v>
      </c>
      <c r="M33" s="11" t="s">
        <v>378</v>
      </c>
      <c r="N33" s="11"/>
      <c r="O33" s="10" t="s">
        <v>53</v>
      </c>
      <c r="P33" s="11" t="s">
        <v>55</v>
      </c>
      <c r="Q33" s="11" t="s">
        <v>55</v>
      </c>
      <c r="R33" s="11"/>
      <c r="S33" s="9" t="str">
        <f>"430,0"</f>
        <v>430,0</v>
      </c>
      <c r="T33" s="10" t="str">
        <f>"334,7550"</f>
        <v>334,7550</v>
      </c>
      <c r="U33" s="9" t="s">
        <v>501</v>
      </c>
    </row>
    <row r="34" spans="1:22" ht="12.75">
      <c r="A34" s="51" t="s">
        <v>503</v>
      </c>
      <c r="B34" s="51" t="s">
        <v>504</v>
      </c>
      <c r="C34" s="51" t="s">
        <v>505</v>
      </c>
      <c r="D34" s="51" t="str">
        <f>"0,7719"</f>
        <v>0,7719</v>
      </c>
      <c r="E34" s="51" t="s">
        <v>33</v>
      </c>
      <c r="F34" s="51" t="s">
        <v>34</v>
      </c>
      <c r="G34" s="52" t="s">
        <v>52</v>
      </c>
      <c r="H34" s="52" t="s">
        <v>56</v>
      </c>
      <c r="I34" s="52" t="s">
        <v>91</v>
      </c>
      <c r="J34" s="53"/>
      <c r="K34" s="52" t="s">
        <v>374</v>
      </c>
      <c r="L34" s="52" t="s">
        <v>224</v>
      </c>
      <c r="M34" s="53" t="s">
        <v>73</v>
      </c>
      <c r="N34" s="53"/>
      <c r="O34" s="52" t="s">
        <v>116</v>
      </c>
      <c r="P34" s="52" t="s">
        <v>52</v>
      </c>
      <c r="Q34" s="53"/>
      <c r="R34" s="53"/>
      <c r="S34" s="51" t="str">
        <f>"570,0"</f>
        <v>570,0</v>
      </c>
      <c r="T34" s="52" t="str">
        <f>"439,9830"</f>
        <v>439,9830</v>
      </c>
      <c r="U34" s="51" t="s">
        <v>57</v>
      </c>
      <c r="V34" s="50" t="s">
        <v>1333</v>
      </c>
    </row>
    <row r="35" spans="1:21" ht="12.75">
      <c r="A35" s="23" t="s">
        <v>506</v>
      </c>
      <c r="B35" s="23" t="s">
        <v>507</v>
      </c>
      <c r="C35" s="23" t="s">
        <v>508</v>
      </c>
      <c r="D35" s="23" t="str">
        <f>"0,7738"</f>
        <v>0,7738</v>
      </c>
      <c r="E35" s="23" t="s">
        <v>33</v>
      </c>
      <c r="F35" s="23" t="s">
        <v>18</v>
      </c>
      <c r="G35" s="24" t="s">
        <v>75</v>
      </c>
      <c r="H35" s="24" t="s">
        <v>208</v>
      </c>
      <c r="I35" s="25" t="s">
        <v>224</v>
      </c>
      <c r="J35" s="25"/>
      <c r="K35" s="24" t="s">
        <v>149</v>
      </c>
      <c r="L35" s="25" t="s">
        <v>187</v>
      </c>
      <c r="M35" s="25" t="s">
        <v>187</v>
      </c>
      <c r="N35" s="25"/>
      <c r="O35" s="24" t="s">
        <v>20</v>
      </c>
      <c r="P35" s="24" t="s">
        <v>21</v>
      </c>
      <c r="Q35" s="24" t="s">
        <v>53</v>
      </c>
      <c r="R35" s="25"/>
      <c r="S35" s="23" t="str">
        <f>"367,5"</f>
        <v>367,5</v>
      </c>
      <c r="T35" s="24" t="str">
        <f>"284,3715"</f>
        <v>284,3715</v>
      </c>
      <c r="U35" s="23" t="s">
        <v>28</v>
      </c>
    </row>
    <row r="36" spans="1:21" ht="12.75">
      <c r="A36" s="12" t="s">
        <v>509</v>
      </c>
      <c r="B36" s="12" t="s">
        <v>510</v>
      </c>
      <c r="C36" s="12" t="s">
        <v>511</v>
      </c>
      <c r="D36" s="12" t="str">
        <f>"0,7852"</f>
        <v>0,7852</v>
      </c>
      <c r="E36" s="12" t="s">
        <v>17</v>
      </c>
      <c r="F36" s="12" t="s">
        <v>304</v>
      </c>
      <c r="G36" s="13" t="s">
        <v>149</v>
      </c>
      <c r="H36" s="13" t="s">
        <v>203</v>
      </c>
      <c r="I36" s="13" t="s">
        <v>75</v>
      </c>
      <c r="J36" s="14"/>
      <c r="K36" s="13" t="s">
        <v>488</v>
      </c>
      <c r="L36" s="13" t="s">
        <v>309</v>
      </c>
      <c r="M36" s="13" t="s">
        <v>76</v>
      </c>
      <c r="N36" s="14"/>
      <c r="O36" s="13" t="s">
        <v>224</v>
      </c>
      <c r="P36" s="13" t="s">
        <v>19</v>
      </c>
      <c r="Q36" s="13" t="s">
        <v>20</v>
      </c>
      <c r="R36" s="14"/>
      <c r="S36" s="12" t="str">
        <f>"332,5"</f>
        <v>332,5</v>
      </c>
      <c r="T36" s="13" t="str">
        <f>"261,0790"</f>
        <v>261,0790</v>
      </c>
      <c r="U36" s="12" t="s">
        <v>57</v>
      </c>
    </row>
    <row r="38" spans="1:20" ht="15">
      <c r="A38" s="46" t="s">
        <v>183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1" ht="12.75">
      <c r="A39" s="9" t="s">
        <v>512</v>
      </c>
      <c r="B39" s="9" t="s">
        <v>513</v>
      </c>
      <c r="C39" s="9" t="s">
        <v>514</v>
      </c>
      <c r="D39" s="9" t="str">
        <f>"0,7307"</f>
        <v>0,7307</v>
      </c>
      <c r="E39" s="9" t="s">
        <v>33</v>
      </c>
      <c r="F39" s="9" t="s">
        <v>34</v>
      </c>
      <c r="G39" s="10" t="s">
        <v>488</v>
      </c>
      <c r="H39" s="10" t="s">
        <v>384</v>
      </c>
      <c r="I39" s="10" t="s">
        <v>394</v>
      </c>
      <c r="J39" s="11"/>
      <c r="K39" s="10" t="s">
        <v>166</v>
      </c>
      <c r="L39" s="10" t="s">
        <v>379</v>
      </c>
      <c r="M39" s="11" t="s">
        <v>488</v>
      </c>
      <c r="N39" s="11"/>
      <c r="O39" s="10" t="s">
        <v>149</v>
      </c>
      <c r="P39" s="10" t="s">
        <v>22</v>
      </c>
      <c r="Q39" s="10" t="s">
        <v>75</v>
      </c>
      <c r="R39" s="11"/>
      <c r="S39" s="9" t="str">
        <f>"260,0"</f>
        <v>260,0</v>
      </c>
      <c r="T39" s="10" t="str">
        <f>"189,9820"</f>
        <v>189,9820</v>
      </c>
      <c r="U39" s="9" t="s">
        <v>515</v>
      </c>
    </row>
    <row r="40" spans="1:21" ht="12.75">
      <c r="A40" s="23" t="s">
        <v>516</v>
      </c>
      <c r="B40" s="23" t="s">
        <v>517</v>
      </c>
      <c r="C40" s="23" t="s">
        <v>518</v>
      </c>
      <c r="D40" s="23" t="str">
        <f>"0,7612"</f>
        <v>0,7612</v>
      </c>
      <c r="E40" s="23" t="s">
        <v>33</v>
      </c>
      <c r="F40" s="23" t="s">
        <v>18</v>
      </c>
      <c r="G40" s="24" t="s">
        <v>75</v>
      </c>
      <c r="H40" s="24" t="s">
        <v>224</v>
      </c>
      <c r="I40" s="24" t="s">
        <v>73</v>
      </c>
      <c r="J40" s="25"/>
      <c r="K40" s="24" t="s">
        <v>394</v>
      </c>
      <c r="L40" s="24" t="s">
        <v>149</v>
      </c>
      <c r="M40" s="25" t="s">
        <v>187</v>
      </c>
      <c r="N40" s="25"/>
      <c r="O40" s="24" t="s">
        <v>73</v>
      </c>
      <c r="P40" s="24" t="s">
        <v>102</v>
      </c>
      <c r="Q40" s="24" t="s">
        <v>82</v>
      </c>
      <c r="R40" s="25"/>
      <c r="S40" s="23" t="str">
        <f>"360,0"</f>
        <v>360,0</v>
      </c>
      <c r="T40" s="24" t="str">
        <f>"274,0320"</f>
        <v>274,0320</v>
      </c>
      <c r="U40" s="23" t="s">
        <v>28</v>
      </c>
    </row>
    <row r="41" spans="1:21" ht="12.75">
      <c r="A41" s="12" t="s">
        <v>519</v>
      </c>
      <c r="B41" s="12" t="s">
        <v>520</v>
      </c>
      <c r="C41" s="12" t="s">
        <v>521</v>
      </c>
      <c r="D41" s="12" t="str">
        <f>"0,7322"</f>
        <v>0,7322</v>
      </c>
      <c r="E41" s="12" t="s">
        <v>33</v>
      </c>
      <c r="F41" s="12" t="s">
        <v>34</v>
      </c>
      <c r="G41" s="13" t="s">
        <v>21</v>
      </c>
      <c r="H41" s="14" t="s">
        <v>54</v>
      </c>
      <c r="I41" s="14" t="s">
        <v>55</v>
      </c>
      <c r="J41" s="14"/>
      <c r="K41" s="13" t="s">
        <v>224</v>
      </c>
      <c r="L41" s="14" t="s">
        <v>19</v>
      </c>
      <c r="M41" s="14" t="s">
        <v>19</v>
      </c>
      <c r="N41" s="14"/>
      <c r="O41" s="14" t="s">
        <v>21</v>
      </c>
      <c r="P41" s="13" t="s">
        <v>53</v>
      </c>
      <c r="Q41" s="13" t="s">
        <v>25</v>
      </c>
      <c r="R41" s="14"/>
      <c r="S41" s="12" t="str">
        <f>"445,0"</f>
        <v>445,0</v>
      </c>
      <c r="T41" s="13" t="str">
        <f>"325,8290"</f>
        <v>325,8290</v>
      </c>
      <c r="U41" s="12" t="s">
        <v>414</v>
      </c>
    </row>
    <row r="43" spans="1:20" ht="15">
      <c r="A43" s="46" t="s">
        <v>13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1" ht="12.75">
      <c r="A44" s="9" t="s">
        <v>522</v>
      </c>
      <c r="B44" s="9" t="s">
        <v>523</v>
      </c>
      <c r="C44" s="9" t="s">
        <v>524</v>
      </c>
      <c r="D44" s="9" t="str">
        <f>"0,6981"</f>
        <v>0,6981</v>
      </c>
      <c r="E44" s="9" t="s">
        <v>33</v>
      </c>
      <c r="F44" s="9" t="s">
        <v>34</v>
      </c>
      <c r="G44" s="10" t="s">
        <v>203</v>
      </c>
      <c r="H44" s="10" t="s">
        <v>24</v>
      </c>
      <c r="I44" s="10" t="s">
        <v>208</v>
      </c>
      <c r="J44" s="11"/>
      <c r="K44" s="10" t="s">
        <v>309</v>
      </c>
      <c r="L44" s="10" t="s">
        <v>394</v>
      </c>
      <c r="M44" s="10" t="s">
        <v>149</v>
      </c>
      <c r="N44" s="11"/>
      <c r="O44" s="10" t="s">
        <v>75</v>
      </c>
      <c r="P44" s="10" t="s">
        <v>224</v>
      </c>
      <c r="Q44" s="10" t="s">
        <v>19</v>
      </c>
      <c r="R44" s="11"/>
      <c r="S44" s="9" t="str">
        <f>"337,5"</f>
        <v>337,5</v>
      </c>
      <c r="T44" s="10" t="str">
        <f>"235,6087"</f>
        <v>235,6087</v>
      </c>
      <c r="U44" s="9" t="s">
        <v>28</v>
      </c>
    </row>
    <row r="45" spans="1:21" ht="12.75">
      <c r="A45" s="23" t="s">
        <v>525</v>
      </c>
      <c r="B45" s="23" t="s">
        <v>526</v>
      </c>
      <c r="C45" s="23" t="s">
        <v>527</v>
      </c>
      <c r="D45" s="23" t="str">
        <f>"0,6882"</f>
        <v>0,6882</v>
      </c>
      <c r="E45" s="23" t="s">
        <v>33</v>
      </c>
      <c r="F45" s="23" t="s">
        <v>18</v>
      </c>
      <c r="G45" s="24" t="s">
        <v>20</v>
      </c>
      <c r="H45" s="24" t="s">
        <v>21</v>
      </c>
      <c r="I45" s="25" t="s">
        <v>83</v>
      </c>
      <c r="J45" s="25"/>
      <c r="K45" s="24" t="s">
        <v>187</v>
      </c>
      <c r="L45" s="24" t="s">
        <v>389</v>
      </c>
      <c r="M45" s="24" t="s">
        <v>203</v>
      </c>
      <c r="N45" s="25"/>
      <c r="O45" s="24" t="s">
        <v>20</v>
      </c>
      <c r="P45" s="24" t="s">
        <v>21</v>
      </c>
      <c r="Q45" s="24" t="s">
        <v>53</v>
      </c>
      <c r="R45" s="25"/>
      <c r="S45" s="23" t="str">
        <f>"415,0"</f>
        <v>415,0</v>
      </c>
      <c r="T45" s="24" t="str">
        <f>"285,6030"</f>
        <v>285,6030</v>
      </c>
      <c r="U45" s="23" t="s">
        <v>28</v>
      </c>
    </row>
    <row r="46" spans="1:21" ht="12.75">
      <c r="A46" s="23" t="s">
        <v>529</v>
      </c>
      <c r="B46" s="23" t="s">
        <v>530</v>
      </c>
      <c r="C46" s="23" t="s">
        <v>531</v>
      </c>
      <c r="D46" s="23" t="str">
        <f>"0,6774"</f>
        <v>0,6774</v>
      </c>
      <c r="E46" s="23" t="s">
        <v>33</v>
      </c>
      <c r="F46" s="23" t="s">
        <v>34</v>
      </c>
      <c r="G46" s="24" t="s">
        <v>27</v>
      </c>
      <c r="H46" s="24" t="s">
        <v>127</v>
      </c>
      <c r="I46" s="25"/>
      <c r="J46" s="25"/>
      <c r="K46" s="24" t="s">
        <v>102</v>
      </c>
      <c r="L46" s="24" t="s">
        <v>20</v>
      </c>
      <c r="M46" s="25" t="s">
        <v>532</v>
      </c>
      <c r="N46" s="25"/>
      <c r="O46" s="24" t="s">
        <v>56</v>
      </c>
      <c r="P46" s="24" t="s">
        <v>91</v>
      </c>
      <c r="Q46" s="24" t="s">
        <v>103</v>
      </c>
      <c r="R46" s="25"/>
      <c r="S46" s="23" t="str">
        <f>"590,0"</f>
        <v>590,0</v>
      </c>
      <c r="T46" s="24" t="str">
        <f>"399,6660"</f>
        <v>399,6660</v>
      </c>
      <c r="U46" s="23" t="s">
        <v>533</v>
      </c>
    </row>
    <row r="47" spans="1:21" ht="12.75">
      <c r="A47" s="23" t="s">
        <v>534</v>
      </c>
      <c r="B47" s="23" t="s">
        <v>535</v>
      </c>
      <c r="C47" s="23" t="s">
        <v>536</v>
      </c>
      <c r="D47" s="23" t="str">
        <f>"0,6759"</f>
        <v>0,6759</v>
      </c>
      <c r="E47" s="23" t="s">
        <v>33</v>
      </c>
      <c r="F47" s="23" t="s">
        <v>34</v>
      </c>
      <c r="G47" s="24" t="s">
        <v>26</v>
      </c>
      <c r="H47" s="24" t="s">
        <v>228</v>
      </c>
      <c r="I47" s="25" t="s">
        <v>52</v>
      </c>
      <c r="J47" s="25"/>
      <c r="K47" s="24" t="s">
        <v>82</v>
      </c>
      <c r="L47" s="24" t="s">
        <v>83</v>
      </c>
      <c r="M47" s="24" t="s">
        <v>53</v>
      </c>
      <c r="N47" s="25"/>
      <c r="O47" s="24" t="s">
        <v>26</v>
      </c>
      <c r="P47" s="24" t="s">
        <v>127</v>
      </c>
      <c r="Q47" s="24" t="s">
        <v>215</v>
      </c>
      <c r="R47" s="25"/>
      <c r="S47" s="23" t="str">
        <f>"582,5"</f>
        <v>582,5</v>
      </c>
      <c r="T47" s="24" t="str">
        <f>"393,7117"</f>
        <v>393,7117</v>
      </c>
      <c r="U47" s="23" t="s">
        <v>44</v>
      </c>
    </row>
    <row r="48" spans="1:21" ht="12.75">
      <c r="A48" s="12" t="s">
        <v>537</v>
      </c>
      <c r="B48" s="12" t="s">
        <v>538</v>
      </c>
      <c r="C48" s="12" t="s">
        <v>539</v>
      </c>
      <c r="D48" s="12" t="str">
        <f>"0,6822"</f>
        <v>0,6822</v>
      </c>
      <c r="E48" s="12" t="s">
        <v>33</v>
      </c>
      <c r="F48" s="12" t="s">
        <v>34</v>
      </c>
      <c r="G48" s="13" t="s">
        <v>55</v>
      </c>
      <c r="H48" s="13" t="s">
        <v>38</v>
      </c>
      <c r="I48" s="13" t="s">
        <v>39</v>
      </c>
      <c r="J48" s="14"/>
      <c r="K48" s="13" t="s">
        <v>73</v>
      </c>
      <c r="L48" s="13" t="s">
        <v>19</v>
      </c>
      <c r="M48" s="13" t="s">
        <v>102</v>
      </c>
      <c r="N48" s="14"/>
      <c r="O48" s="14" t="s">
        <v>38</v>
      </c>
      <c r="P48" s="13" t="s">
        <v>38</v>
      </c>
      <c r="Q48" s="14" t="s">
        <v>39</v>
      </c>
      <c r="R48" s="14"/>
      <c r="S48" s="12" t="str">
        <f>"500,0"</f>
        <v>500,0</v>
      </c>
      <c r="T48" s="13" t="str">
        <f>"341,1000"</f>
        <v>341,1000</v>
      </c>
      <c r="U48" s="12" t="s">
        <v>44</v>
      </c>
    </row>
    <row r="50" spans="1:20" ht="15">
      <c r="A50" s="46" t="s">
        <v>128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1" ht="12.75">
      <c r="A51" s="9" t="s">
        <v>540</v>
      </c>
      <c r="B51" s="9" t="s">
        <v>541</v>
      </c>
      <c r="C51" s="9" t="s">
        <v>542</v>
      </c>
      <c r="D51" s="9" t="str">
        <f>"0,6421"</f>
        <v>0,6421</v>
      </c>
      <c r="E51" s="9" t="s">
        <v>33</v>
      </c>
      <c r="F51" s="9" t="s">
        <v>34</v>
      </c>
      <c r="G51" s="11" t="s">
        <v>53</v>
      </c>
      <c r="H51" s="10" t="s">
        <v>53</v>
      </c>
      <c r="I51" s="10" t="s">
        <v>55</v>
      </c>
      <c r="J51" s="11"/>
      <c r="K51" s="10" t="s">
        <v>203</v>
      </c>
      <c r="L51" s="11" t="s">
        <v>24</v>
      </c>
      <c r="M51" s="10" t="s">
        <v>24</v>
      </c>
      <c r="N51" s="11"/>
      <c r="O51" s="11" t="s">
        <v>228</v>
      </c>
      <c r="P51" s="10" t="s">
        <v>228</v>
      </c>
      <c r="Q51" s="10" t="s">
        <v>56</v>
      </c>
      <c r="R51" s="11"/>
      <c r="S51" s="9" t="str">
        <f>"512,5"</f>
        <v>512,5</v>
      </c>
      <c r="T51" s="10" t="str">
        <f>"329,0762"</f>
        <v>329,0762</v>
      </c>
      <c r="U51" s="9" t="s">
        <v>57</v>
      </c>
    </row>
    <row r="52" spans="1:21" ht="12.75">
      <c r="A52" s="23" t="s">
        <v>543</v>
      </c>
      <c r="B52" s="23" t="s">
        <v>544</v>
      </c>
      <c r="C52" s="23" t="s">
        <v>545</v>
      </c>
      <c r="D52" s="23" t="str">
        <f>"0,6532"</f>
        <v>0,6532</v>
      </c>
      <c r="E52" s="23" t="s">
        <v>33</v>
      </c>
      <c r="F52" s="23" t="s">
        <v>34</v>
      </c>
      <c r="G52" s="24" t="s">
        <v>83</v>
      </c>
      <c r="H52" s="24" t="s">
        <v>53</v>
      </c>
      <c r="I52" s="25" t="s">
        <v>55</v>
      </c>
      <c r="J52" s="25"/>
      <c r="K52" s="25" t="s">
        <v>102</v>
      </c>
      <c r="L52" s="24" t="s">
        <v>121</v>
      </c>
      <c r="M52" s="25" t="s">
        <v>20</v>
      </c>
      <c r="N52" s="25"/>
      <c r="O52" s="24" t="s">
        <v>38</v>
      </c>
      <c r="P52" s="24" t="s">
        <v>39</v>
      </c>
      <c r="Q52" s="24" t="s">
        <v>26</v>
      </c>
      <c r="R52" s="25"/>
      <c r="S52" s="23" t="str">
        <f>"487,5"</f>
        <v>487,5</v>
      </c>
      <c r="T52" s="24" t="str">
        <f>"318,4350"</f>
        <v>318,4350</v>
      </c>
      <c r="U52" s="23" t="s">
        <v>57</v>
      </c>
    </row>
    <row r="53" spans="1:21" ht="12.75">
      <c r="A53" s="12" t="s">
        <v>546</v>
      </c>
      <c r="B53" s="12" t="s">
        <v>547</v>
      </c>
      <c r="C53" s="12" t="s">
        <v>548</v>
      </c>
      <c r="D53" s="12" t="str">
        <f>"0,6459"</f>
        <v>0,6459</v>
      </c>
      <c r="E53" s="12" t="s">
        <v>33</v>
      </c>
      <c r="F53" s="12" t="s">
        <v>34</v>
      </c>
      <c r="G53" s="13" t="s">
        <v>39</v>
      </c>
      <c r="H53" s="13" t="s">
        <v>116</v>
      </c>
      <c r="I53" s="13" t="s">
        <v>228</v>
      </c>
      <c r="J53" s="14"/>
      <c r="K53" s="14" t="s">
        <v>224</v>
      </c>
      <c r="L53" s="14" t="s">
        <v>224</v>
      </c>
      <c r="M53" s="13" t="s">
        <v>224</v>
      </c>
      <c r="N53" s="14"/>
      <c r="O53" s="13" t="s">
        <v>127</v>
      </c>
      <c r="P53" s="13" t="s">
        <v>101</v>
      </c>
      <c r="Q53" s="14" t="s">
        <v>434</v>
      </c>
      <c r="R53" s="14"/>
      <c r="S53" s="12" t="str">
        <f>"545,0"</f>
        <v>545,0</v>
      </c>
      <c r="T53" s="13" t="str">
        <f>"352,0155"</f>
        <v>352,0155</v>
      </c>
      <c r="U53" s="12" t="s">
        <v>549</v>
      </c>
    </row>
    <row r="55" spans="1:20" ht="15">
      <c r="A55" s="46" t="s">
        <v>85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1" ht="12.75">
      <c r="A56" s="9" t="s">
        <v>550</v>
      </c>
      <c r="B56" s="9" t="s">
        <v>551</v>
      </c>
      <c r="C56" s="9" t="s">
        <v>552</v>
      </c>
      <c r="D56" s="9" t="str">
        <f>"0,6142"</f>
        <v>0,6142</v>
      </c>
      <c r="E56" s="9" t="s">
        <v>33</v>
      </c>
      <c r="F56" s="9" t="s">
        <v>34</v>
      </c>
      <c r="G56" s="10" t="s">
        <v>19</v>
      </c>
      <c r="H56" s="10" t="s">
        <v>82</v>
      </c>
      <c r="I56" s="11" t="s">
        <v>21</v>
      </c>
      <c r="J56" s="11"/>
      <c r="K56" s="10" t="s">
        <v>394</v>
      </c>
      <c r="L56" s="11" t="s">
        <v>187</v>
      </c>
      <c r="M56" s="10" t="s">
        <v>187</v>
      </c>
      <c r="N56" s="11"/>
      <c r="O56" s="10" t="s">
        <v>102</v>
      </c>
      <c r="P56" s="10" t="s">
        <v>21</v>
      </c>
      <c r="Q56" s="10" t="s">
        <v>83</v>
      </c>
      <c r="R56" s="11"/>
      <c r="S56" s="9" t="str">
        <f>"395,0"</f>
        <v>395,0</v>
      </c>
      <c r="T56" s="10" t="str">
        <f>"242,6090"</f>
        <v>242,6090</v>
      </c>
      <c r="U56" s="9" t="s">
        <v>44</v>
      </c>
    </row>
    <row r="57" spans="1:21" ht="12.75">
      <c r="A57" s="23" t="s">
        <v>553</v>
      </c>
      <c r="B57" s="23" t="s">
        <v>554</v>
      </c>
      <c r="C57" s="23" t="s">
        <v>555</v>
      </c>
      <c r="D57" s="23" t="str">
        <f>"0,6186"</f>
        <v>0,6186</v>
      </c>
      <c r="E57" s="23" t="s">
        <v>33</v>
      </c>
      <c r="F57" s="23" t="s">
        <v>34</v>
      </c>
      <c r="G57" s="24" t="s">
        <v>27</v>
      </c>
      <c r="H57" s="24" t="s">
        <v>52</v>
      </c>
      <c r="I57" s="24" t="s">
        <v>89</v>
      </c>
      <c r="J57" s="25"/>
      <c r="K57" s="25" t="s">
        <v>19</v>
      </c>
      <c r="L57" s="24" t="s">
        <v>102</v>
      </c>
      <c r="M57" s="25" t="s">
        <v>20</v>
      </c>
      <c r="N57" s="25"/>
      <c r="O57" s="24" t="s">
        <v>27</v>
      </c>
      <c r="P57" s="24" t="s">
        <v>52</v>
      </c>
      <c r="Q57" s="24" t="s">
        <v>91</v>
      </c>
      <c r="R57" s="25"/>
      <c r="S57" s="23" t="str">
        <f>"595,0"</f>
        <v>595,0</v>
      </c>
      <c r="T57" s="24" t="str">
        <f>"368,0670"</f>
        <v>368,0670</v>
      </c>
      <c r="U57" s="23" t="s">
        <v>57</v>
      </c>
    </row>
    <row r="58" spans="1:21" ht="12.75">
      <c r="A58" s="12" t="s">
        <v>556</v>
      </c>
      <c r="B58" s="12" t="s">
        <v>557</v>
      </c>
      <c r="C58" s="12" t="s">
        <v>558</v>
      </c>
      <c r="D58" s="12" t="str">
        <f>"0,6288"</f>
        <v>0,6288</v>
      </c>
      <c r="E58" s="12" t="s">
        <v>17</v>
      </c>
      <c r="F58" s="12" t="s">
        <v>559</v>
      </c>
      <c r="G58" s="14" t="s">
        <v>36</v>
      </c>
      <c r="H58" s="14" t="s">
        <v>98</v>
      </c>
      <c r="I58" s="14" t="s">
        <v>98</v>
      </c>
      <c r="J58" s="14"/>
      <c r="K58" s="14" t="s">
        <v>20</v>
      </c>
      <c r="L58" s="14"/>
      <c r="M58" s="14"/>
      <c r="N58" s="14"/>
      <c r="O58" s="14" t="s">
        <v>36</v>
      </c>
      <c r="P58" s="14"/>
      <c r="Q58" s="14"/>
      <c r="R58" s="14"/>
      <c r="S58" s="12" t="str">
        <f>"0,0"</f>
        <v>0,0</v>
      </c>
      <c r="T58" s="13" t="str">
        <f>"0,0000"</f>
        <v>0,0000</v>
      </c>
      <c r="U58" s="12" t="s">
        <v>560</v>
      </c>
    </row>
    <row r="60" spans="1:20" ht="15">
      <c r="A60" s="46" t="s">
        <v>29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1" ht="12.75">
      <c r="A61" s="9" t="s">
        <v>561</v>
      </c>
      <c r="B61" s="9" t="s">
        <v>562</v>
      </c>
      <c r="C61" s="9" t="s">
        <v>563</v>
      </c>
      <c r="D61" s="9" t="str">
        <f>"0,6055"</f>
        <v>0,6055</v>
      </c>
      <c r="E61" s="9" t="s">
        <v>33</v>
      </c>
      <c r="F61" s="9" t="s">
        <v>34</v>
      </c>
      <c r="G61" s="10" t="s">
        <v>55</v>
      </c>
      <c r="H61" s="11" t="s">
        <v>39</v>
      </c>
      <c r="I61" s="11"/>
      <c r="J61" s="11"/>
      <c r="K61" s="10" t="s">
        <v>309</v>
      </c>
      <c r="L61" s="10" t="s">
        <v>378</v>
      </c>
      <c r="M61" s="11" t="s">
        <v>389</v>
      </c>
      <c r="N61" s="11"/>
      <c r="O61" s="10" t="s">
        <v>53</v>
      </c>
      <c r="P61" s="11" t="s">
        <v>25</v>
      </c>
      <c r="Q61" s="10" t="s">
        <v>25</v>
      </c>
      <c r="R61" s="11"/>
      <c r="S61" s="9" t="str">
        <f>"437,5"</f>
        <v>437,5</v>
      </c>
      <c r="T61" s="10" t="str">
        <f>"264,9062"</f>
        <v>264,9062</v>
      </c>
      <c r="U61" s="9" t="s">
        <v>564</v>
      </c>
    </row>
    <row r="62" spans="1:21" ht="12.75">
      <c r="A62" s="23" t="s">
        <v>565</v>
      </c>
      <c r="B62" s="23" t="s">
        <v>566</v>
      </c>
      <c r="C62" s="23" t="s">
        <v>567</v>
      </c>
      <c r="D62" s="23" t="str">
        <f>"0,5898"</f>
        <v>0,5898</v>
      </c>
      <c r="E62" s="23" t="s">
        <v>33</v>
      </c>
      <c r="F62" s="23" t="s">
        <v>18</v>
      </c>
      <c r="G62" s="24" t="s">
        <v>20</v>
      </c>
      <c r="H62" s="24" t="s">
        <v>83</v>
      </c>
      <c r="I62" s="24" t="s">
        <v>109</v>
      </c>
      <c r="J62" s="25"/>
      <c r="K62" s="24" t="s">
        <v>102</v>
      </c>
      <c r="L62" s="24" t="s">
        <v>82</v>
      </c>
      <c r="M62" s="24" t="s">
        <v>83</v>
      </c>
      <c r="N62" s="25"/>
      <c r="O62" s="24" t="s">
        <v>25</v>
      </c>
      <c r="P62" s="24" t="s">
        <v>26</v>
      </c>
      <c r="Q62" s="24" t="s">
        <v>51</v>
      </c>
      <c r="R62" s="25"/>
      <c r="S62" s="23" t="str">
        <f>"530,0"</f>
        <v>530,0</v>
      </c>
      <c r="T62" s="24" t="str">
        <f>"312,5940"</f>
        <v>312,5940</v>
      </c>
      <c r="U62" s="23" t="s">
        <v>28</v>
      </c>
    </row>
    <row r="63" spans="1:21" ht="12.75">
      <c r="A63" s="23" t="s">
        <v>569</v>
      </c>
      <c r="B63" s="23" t="s">
        <v>570</v>
      </c>
      <c r="C63" s="23" t="s">
        <v>571</v>
      </c>
      <c r="D63" s="23" t="str">
        <f>"0,5966"</f>
        <v>0,5966</v>
      </c>
      <c r="E63" s="23" t="s">
        <v>33</v>
      </c>
      <c r="F63" s="23" t="s">
        <v>34</v>
      </c>
      <c r="G63" s="24" t="s">
        <v>572</v>
      </c>
      <c r="H63" s="24" t="s">
        <v>84</v>
      </c>
      <c r="I63" s="24" t="s">
        <v>36</v>
      </c>
      <c r="J63" s="25"/>
      <c r="K63" s="24" t="s">
        <v>573</v>
      </c>
      <c r="L63" s="24" t="s">
        <v>574</v>
      </c>
      <c r="M63" s="25" t="s">
        <v>116</v>
      </c>
      <c r="N63" s="25"/>
      <c r="O63" s="24" t="s">
        <v>35</v>
      </c>
      <c r="P63" s="24" t="s">
        <v>37</v>
      </c>
      <c r="Q63" s="24" t="s">
        <v>97</v>
      </c>
      <c r="R63" s="25"/>
      <c r="S63" s="23" t="str">
        <f>"707,5"</f>
        <v>707,5</v>
      </c>
      <c r="T63" s="24" t="str">
        <f>"422,0945"</f>
        <v>422,0945</v>
      </c>
      <c r="U63" s="23" t="s">
        <v>575</v>
      </c>
    </row>
    <row r="64" spans="1:21" ht="12.75">
      <c r="A64" s="23" t="s">
        <v>576</v>
      </c>
      <c r="B64" s="23" t="s">
        <v>577</v>
      </c>
      <c r="C64" s="23" t="s">
        <v>578</v>
      </c>
      <c r="D64" s="23" t="str">
        <f>"0,5982"</f>
        <v>0,5982</v>
      </c>
      <c r="E64" s="23" t="s">
        <v>33</v>
      </c>
      <c r="F64" s="23" t="s">
        <v>34</v>
      </c>
      <c r="G64" s="24" t="s">
        <v>27</v>
      </c>
      <c r="H64" s="24" t="s">
        <v>101</v>
      </c>
      <c r="I64" s="25" t="s">
        <v>91</v>
      </c>
      <c r="J64" s="25"/>
      <c r="K64" s="24" t="s">
        <v>55</v>
      </c>
      <c r="L64" s="24" t="s">
        <v>38</v>
      </c>
      <c r="M64" s="24" t="s">
        <v>39</v>
      </c>
      <c r="N64" s="25"/>
      <c r="O64" s="24" t="s">
        <v>103</v>
      </c>
      <c r="P64" s="24" t="s">
        <v>98</v>
      </c>
      <c r="Q64" s="25" t="s">
        <v>37</v>
      </c>
      <c r="R64" s="25"/>
      <c r="S64" s="23" t="str">
        <f>"660,0"</f>
        <v>660,0</v>
      </c>
      <c r="T64" s="24" t="str">
        <f>"394,8120"</f>
        <v>394,8120</v>
      </c>
      <c r="U64" s="23" t="s">
        <v>44</v>
      </c>
    </row>
    <row r="65" spans="1:21" ht="12.75">
      <c r="A65" s="23" t="s">
        <v>579</v>
      </c>
      <c r="B65" s="23" t="s">
        <v>580</v>
      </c>
      <c r="C65" s="23" t="s">
        <v>581</v>
      </c>
      <c r="D65" s="23" t="str">
        <f>"0,5978"</f>
        <v>0,5978</v>
      </c>
      <c r="E65" s="23" t="s">
        <v>33</v>
      </c>
      <c r="F65" s="23" t="s">
        <v>34</v>
      </c>
      <c r="G65" s="24" t="s">
        <v>101</v>
      </c>
      <c r="H65" s="24" t="s">
        <v>56</v>
      </c>
      <c r="I65" s="25" t="s">
        <v>103</v>
      </c>
      <c r="J65" s="25"/>
      <c r="K65" s="24" t="s">
        <v>121</v>
      </c>
      <c r="L65" s="24" t="s">
        <v>532</v>
      </c>
      <c r="M65" s="24" t="s">
        <v>115</v>
      </c>
      <c r="N65" s="25"/>
      <c r="O65" s="24" t="s">
        <v>103</v>
      </c>
      <c r="P65" s="24" t="s">
        <v>98</v>
      </c>
      <c r="Q65" s="24" t="s">
        <v>138</v>
      </c>
      <c r="R65" s="25"/>
      <c r="S65" s="23" t="str">
        <f>"647,5"</f>
        <v>647,5</v>
      </c>
      <c r="T65" s="24" t="str">
        <f>"387,0755"</f>
        <v>387,0755</v>
      </c>
      <c r="U65" s="23" t="s">
        <v>582</v>
      </c>
    </row>
    <row r="66" spans="1:21" ht="12.75">
      <c r="A66" s="23" t="s">
        <v>583</v>
      </c>
      <c r="B66" s="23" t="s">
        <v>584</v>
      </c>
      <c r="C66" s="23" t="s">
        <v>567</v>
      </c>
      <c r="D66" s="23" t="str">
        <f>"0,5898"</f>
        <v>0,5898</v>
      </c>
      <c r="E66" s="23" t="s">
        <v>33</v>
      </c>
      <c r="F66" s="23" t="s">
        <v>34</v>
      </c>
      <c r="G66" s="24" t="s">
        <v>127</v>
      </c>
      <c r="H66" s="24" t="s">
        <v>101</v>
      </c>
      <c r="I66" s="24" t="s">
        <v>56</v>
      </c>
      <c r="J66" s="25"/>
      <c r="K66" s="24" t="s">
        <v>20</v>
      </c>
      <c r="L66" s="25" t="s">
        <v>21</v>
      </c>
      <c r="M66" s="24" t="s">
        <v>21</v>
      </c>
      <c r="N66" s="25"/>
      <c r="O66" s="24" t="s">
        <v>56</v>
      </c>
      <c r="P66" s="24" t="s">
        <v>103</v>
      </c>
      <c r="Q66" s="25" t="s">
        <v>36</v>
      </c>
      <c r="R66" s="25"/>
      <c r="S66" s="23" t="str">
        <f>"620,0"</f>
        <v>620,0</v>
      </c>
      <c r="T66" s="24" t="str">
        <f>"365,6760"</f>
        <v>365,6760</v>
      </c>
      <c r="U66" s="23" t="s">
        <v>390</v>
      </c>
    </row>
    <row r="67" spans="1:21" ht="12.75">
      <c r="A67" s="23" t="s">
        <v>585</v>
      </c>
      <c r="B67" s="23" t="s">
        <v>586</v>
      </c>
      <c r="C67" s="23" t="s">
        <v>587</v>
      </c>
      <c r="D67" s="23" t="str">
        <f>"0,6000"</f>
        <v>0,6000</v>
      </c>
      <c r="E67" s="23" t="s">
        <v>33</v>
      </c>
      <c r="F67" s="23" t="s">
        <v>33</v>
      </c>
      <c r="G67" s="25" t="s">
        <v>101</v>
      </c>
      <c r="H67" s="24" t="s">
        <v>56</v>
      </c>
      <c r="I67" s="25" t="s">
        <v>84</v>
      </c>
      <c r="J67" s="25"/>
      <c r="K67" s="24" t="s">
        <v>21</v>
      </c>
      <c r="L67" s="25" t="s">
        <v>54</v>
      </c>
      <c r="M67" s="24" t="s">
        <v>54</v>
      </c>
      <c r="N67" s="25"/>
      <c r="O67" s="24" t="s">
        <v>26</v>
      </c>
      <c r="P67" s="24" t="s">
        <v>127</v>
      </c>
      <c r="Q67" s="25" t="s">
        <v>101</v>
      </c>
      <c r="R67" s="25"/>
      <c r="S67" s="23" t="str">
        <f>"605,0"</f>
        <v>605,0</v>
      </c>
      <c r="T67" s="24" t="str">
        <f>"363,0000"</f>
        <v>363,0000</v>
      </c>
      <c r="U67" s="23" t="s">
        <v>588</v>
      </c>
    </row>
    <row r="68" spans="1:21" ht="12.75">
      <c r="A68" s="12" t="s">
        <v>589</v>
      </c>
      <c r="B68" s="12" t="s">
        <v>590</v>
      </c>
      <c r="C68" s="12" t="s">
        <v>567</v>
      </c>
      <c r="D68" s="12" t="str">
        <f>"0,5898"</f>
        <v>0,5898</v>
      </c>
      <c r="E68" s="12" t="s">
        <v>33</v>
      </c>
      <c r="F68" s="12" t="s">
        <v>34</v>
      </c>
      <c r="G68" s="13" t="s">
        <v>127</v>
      </c>
      <c r="H68" s="13" t="s">
        <v>101</v>
      </c>
      <c r="I68" s="13" t="s">
        <v>56</v>
      </c>
      <c r="J68" s="14"/>
      <c r="K68" s="13" t="s">
        <v>20</v>
      </c>
      <c r="L68" s="14" t="s">
        <v>21</v>
      </c>
      <c r="M68" s="13" t="s">
        <v>21</v>
      </c>
      <c r="N68" s="14"/>
      <c r="O68" s="13" t="s">
        <v>56</v>
      </c>
      <c r="P68" s="13" t="s">
        <v>103</v>
      </c>
      <c r="Q68" s="14" t="s">
        <v>36</v>
      </c>
      <c r="R68" s="14"/>
      <c r="S68" s="12" t="str">
        <f>"620,0"</f>
        <v>620,0</v>
      </c>
      <c r="T68" s="13" t="str">
        <f>"369,3328"</f>
        <v>369,3328</v>
      </c>
      <c r="U68" s="12" t="s">
        <v>390</v>
      </c>
    </row>
    <row r="70" spans="1:20" ht="15">
      <c r="A70" s="46" t="s">
        <v>591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21" ht="12.75">
      <c r="A71" s="6" t="s">
        <v>592</v>
      </c>
      <c r="B71" s="6" t="s">
        <v>593</v>
      </c>
      <c r="C71" s="6" t="s">
        <v>594</v>
      </c>
      <c r="D71" s="6" t="str">
        <f>"0,5671"</f>
        <v>0,5671</v>
      </c>
      <c r="E71" s="6" t="s">
        <v>33</v>
      </c>
      <c r="F71" s="6" t="s">
        <v>34</v>
      </c>
      <c r="G71" s="7" t="s">
        <v>91</v>
      </c>
      <c r="H71" s="7" t="s">
        <v>36</v>
      </c>
      <c r="I71" s="7" t="s">
        <v>37</v>
      </c>
      <c r="J71" s="8"/>
      <c r="K71" s="7" t="s">
        <v>20</v>
      </c>
      <c r="L71" s="7" t="s">
        <v>83</v>
      </c>
      <c r="M71" s="7" t="s">
        <v>114</v>
      </c>
      <c r="N71" s="8"/>
      <c r="O71" s="7" t="s">
        <v>81</v>
      </c>
      <c r="P71" s="7" t="s">
        <v>91</v>
      </c>
      <c r="Q71" s="7" t="s">
        <v>103</v>
      </c>
      <c r="R71" s="8"/>
      <c r="S71" s="6" t="str">
        <f>"662,5"</f>
        <v>662,5</v>
      </c>
      <c r="T71" s="7" t="str">
        <f>"375,7037"</f>
        <v>375,7037</v>
      </c>
      <c r="U71" s="6" t="s">
        <v>57</v>
      </c>
    </row>
    <row r="73" ht="15">
      <c r="E73" s="15" t="s">
        <v>59</v>
      </c>
    </row>
    <row r="74" ht="15">
      <c r="E74" s="15" t="s">
        <v>60</v>
      </c>
    </row>
    <row r="75" ht="15">
      <c r="E75" s="15"/>
    </row>
    <row r="77" spans="1:2" ht="18">
      <c r="A77" s="16" t="s">
        <v>64</v>
      </c>
      <c r="B77" s="16"/>
    </row>
    <row r="78" spans="1:2" ht="15">
      <c r="A78" s="17" t="s">
        <v>65</v>
      </c>
      <c r="B78" s="17"/>
    </row>
    <row r="79" spans="1:2" ht="14.25">
      <c r="A79" s="19"/>
      <c r="B79" s="20" t="s">
        <v>445</v>
      </c>
    </row>
    <row r="80" spans="1:5" ht="15">
      <c r="A80" s="21" t="s">
        <v>67</v>
      </c>
      <c r="B80" s="21" t="s">
        <v>68</v>
      </c>
      <c r="C80" s="21" t="s">
        <v>69</v>
      </c>
      <c r="D80" s="21" t="s">
        <v>70</v>
      </c>
      <c r="E80" s="21" t="s">
        <v>71</v>
      </c>
    </row>
    <row r="81" spans="1:5" ht="12.75">
      <c r="A81" s="18" t="s">
        <v>497</v>
      </c>
      <c r="B81" s="5" t="s">
        <v>446</v>
      </c>
      <c r="C81" s="5" t="s">
        <v>168</v>
      </c>
      <c r="D81" s="5" t="s">
        <v>595</v>
      </c>
      <c r="E81" s="22" t="s">
        <v>596</v>
      </c>
    </row>
    <row r="84" spans="1:2" ht="14.25">
      <c r="A84" s="19"/>
      <c r="B84" s="20" t="s">
        <v>74</v>
      </c>
    </row>
    <row r="85" spans="1:5" ht="15">
      <c r="A85" s="21" t="s">
        <v>67</v>
      </c>
      <c r="B85" s="21" t="s">
        <v>68</v>
      </c>
      <c r="C85" s="21" t="s">
        <v>69</v>
      </c>
      <c r="D85" s="21" t="s">
        <v>70</v>
      </c>
      <c r="E85" s="21" t="s">
        <v>71</v>
      </c>
    </row>
    <row r="86" spans="1:5" ht="12.75">
      <c r="A86" s="18" t="s">
        <v>502</v>
      </c>
      <c r="B86" s="5" t="s">
        <v>74</v>
      </c>
      <c r="C86" s="5" t="s">
        <v>168</v>
      </c>
      <c r="D86" s="5" t="s">
        <v>597</v>
      </c>
      <c r="E86" s="22" t="s">
        <v>598</v>
      </c>
    </row>
    <row r="87" spans="1:5" ht="12.75">
      <c r="A87" s="18" t="s">
        <v>568</v>
      </c>
      <c r="B87" s="5" t="s">
        <v>74</v>
      </c>
      <c r="C87" s="5" t="s">
        <v>75</v>
      </c>
      <c r="D87" s="5" t="s">
        <v>599</v>
      </c>
      <c r="E87" s="22" t="s">
        <v>600</v>
      </c>
    </row>
    <row r="88" spans="1:5" ht="12.75">
      <c r="A88" s="18" t="s">
        <v>528</v>
      </c>
      <c r="B88" s="5" t="s">
        <v>74</v>
      </c>
      <c r="C88" s="5" t="s">
        <v>76</v>
      </c>
      <c r="D88" s="5" t="s">
        <v>601</v>
      </c>
      <c r="E88" s="22" t="s">
        <v>602</v>
      </c>
    </row>
  </sheetData>
  <sheetProtection/>
  <mergeCells count="27">
    <mergeCell ref="A43:T43"/>
    <mergeCell ref="A50:T50"/>
    <mergeCell ref="A55:T55"/>
    <mergeCell ref="A60:T60"/>
    <mergeCell ref="A70:T70"/>
    <mergeCell ref="A17:T17"/>
    <mergeCell ref="A22:T22"/>
    <mergeCell ref="A26:T26"/>
    <mergeCell ref="A29:T29"/>
    <mergeCell ref="A32:T32"/>
    <mergeCell ref="A38:T38"/>
    <mergeCell ref="S3:S4"/>
    <mergeCell ref="T3:T4"/>
    <mergeCell ref="U3:U4"/>
    <mergeCell ref="A5:T5"/>
    <mergeCell ref="A9:T9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8.1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8.875" style="5" bestFit="1" customWidth="1"/>
    <col min="7" max="7" width="5.625" style="4" bestFit="1" customWidth="1"/>
    <col min="8" max="8" width="10.125" style="26" customWidth="1"/>
    <col min="9" max="9" width="7.875" style="5" bestFit="1" customWidth="1"/>
    <col min="10" max="10" width="9.625" style="4" bestFit="1" customWidth="1"/>
    <col min="11" max="11" width="14.125" style="5" bestFit="1" customWidth="1"/>
    <col min="12" max="16384" width="9.125" style="4" customWidth="1"/>
  </cols>
  <sheetData>
    <row r="1" spans="1:11" s="3" customFormat="1" ht="28.5" customHeight="1">
      <c r="A1" s="32" t="s">
        <v>1332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1" customFormat="1" ht="12.75" customHeight="1">
      <c r="A3" s="38" t="s">
        <v>0</v>
      </c>
      <c r="B3" s="40" t="s">
        <v>9</v>
      </c>
      <c r="C3" s="40" t="s">
        <v>11</v>
      </c>
      <c r="D3" s="42" t="s">
        <v>1150</v>
      </c>
      <c r="E3" s="42" t="s">
        <v>7</v>
      </c>
      <c r="F3" s="42" t="s">
        <v>10</v>
      </c>
      <c r="G3" s="42" t="s">
        <v>1149</v>
      </c>
      <c r="H3" s="42"/>
      <c r="I3" s="42" t="s">
        <v>1148</v>
      </c>
      <c r="J3" s="42" t="s">
        <v>6</v>
      </c>
      <c r="K3" s="43" t="s">
        <v>5</v>
      </c>
    </row>
    <row r="4" spans="1:11" s="1" customFormat="1" ht="21" customHeight="1" thickBot="1">
      <c r="A4" s="39"/>
      <c r="B4" s="41"/>
      <c r="C4" s="41"/>
      <c r="D4" s="41"/>
      <c r="E4" s="41"/>
      <c r="F4" s="41"/>
      <c r="G4" s="2" t="s">
        <v>1147</v>
      </c>
      <c r="H4" s="30" t="s">
        <v>1146</v>
      </c>
      <c r="I4" s="41"/>
      <c r="J4" s="41"/>
      <c r="K4" s="44"/>
    </row>
    <row r="5" spans="1:10" ht="15">
      <c r="A5" s="45" t="s">
        <v>177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2.75">
      <c r="A6" s="6" t="s">
        <v>1331</v>
      </c>
      <c r="B6" s="6" t="s">
        <v>1330</v>
      </c>
      <c r="C6" s="6" t="s">
        <v>1329</v>
      </c>
      <c r="D6" s="6" t="str">
        <f>"1,0220"</f>
        <v>1,0220</v>
      </c>
      <c r="E6" s="6" t="s">
        <v>33</v>
      </c>
      <c r="F6" s="6" t="s">
        <v>34</v>
      </c>
      <c r="G6" s="7" t="s">
        <v>395</v>
      </c>
      <c r="H6" s="27" t="s">
        <v>1328</v>
      </c>
      <c r="I6" s="6" t="str">
        <f>"0,0"</f>
        <v>0,0</v>
      </c>
      <c r="J6" s="7" t="str">
        <f>"0,0000"</f>
        <v>0,0000</v>
      </c>
      <c r="K6" s="6" t="s">
        <v>57</v>
      </c>
    </row>
    <row r="8" spans="1:10" ht="15">
      <c r="A8" s="46" t="s">
        <v>183</v>
      </c>
      <c r="B8" s="46"/>
      <c r="C8" s="46"/>
      <c r="D8" s="46"/>
      <c r="E8" s="46"/>
      <c r="F8" s="46"/>
      <c r="G8" s="46"/>
      <c r="H8" s="46"/>
      <c r="I8" s="46"/>
      <c r="J8" s="46"/>
    </row>
    <row r="9" spans="1:11" ht="12.75">
      <c r="A9" s="9" t="s">
        <v>1327</v>
      </c>
      <c r="B9" s="9" t="s">
        <v>1326</v>
      </c>
      <c r="C9" s="9" t="s">
        <v>487</v>
      </c>
      <c r="D9" s="9" t="str">
        <f>"0,7102"</f>
        <v>0,7102</v>
      </c>
      <c r="E9" s="9" t="s">
        <v>17</v>
      </c>
      <c r="F9" s="9" t="s">
        <v>1316</v>
      </c>
      <c r="G9" s="10" t="s">
        <v>638</v>
      </c>
      <c r="H9" s="29" t="s">
        <v>1325</v>
      </c>
      <c r="I9" s="9" t="str">
        <f>"5510,0"</f>
        <v>5510,0</v>
      </c>
      <c r="J9" s="10" t="str">
        <f>"3913,2021"</f>
        <v>3913,2021</v>
      </c>
      <c r="K9" s="9" t="s">
        <v>44</v>
      </c>
    </row>
    <row r="10" spans="1:11" ht="12.75">
      <c r="A10" s="12" t="s">
        <v>1324</v>
      </c>
      <c r="B10" s="12" t="s">
        <v>1323</v>
      </c>
      <c r="C10" s="12" t="s">
        <v>1322</v>
      </c>
      <c r="D10" s="12" t="str">
        <f>"0,7322"</f>
        <v>0,7322</v>
      </c>
      <c r="E10" s="12" t="s">
        <v>17</v>
      </c>
      <c r="F10" s="12" t="s">
        <v>108</v>
      </c>
      <c r="G10" s="13" t="s">
        <v>488</v>
      </c>
      <c r="H10" s="28" t="s">
        <v>1321</v>
      </c>
      <c r="I10" s="12" t="str">
        <f>"4270,0"</f>
        <v>4270,0</v>
      </c>
      <c r="J10" s="13" t="str">
        <f>"3126,4941"</f>
        <v>3126,4941</v>
      </c>
      <c r="K10" s="12" t="s">
        <v>1320</v>
      </c>
    </row>
    <row r="12" spans="1:10" ht="15">
      <c r="A12" s="46" t="s">
        <v>13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1" ht="12.75">
      <c r="A13" s="9" t="s">
        <v>1319</v>
      </c>
      <c r="B13" s="9" t="s">
        <v>1318</v>
      </c>
      <c r="C13" s="9" t="s">
        <v>1317</v>
      </c>
      <c r="D13" s="9" t="str">
        <f>"0,6780"</f>
        <v>0,6780</v>
      </c>
      <c r="E13" s="9" t="s">
        <v>17</v>
      </c>
      <c r="F13" s="9" t="s">
        <v>1316</v>
      </c>
      <c r="G13" s="10" t="s">
        <v>384</v>
      </c>
      <c r="H13" s="29" t="s">
        <v>1141</v>
      </c>
      <c r="I13" s="9" t="str">
        <f>"2945,0"</f>
        <v>2945,0</v>
      </c>
      <c r="J13" s="10" t="str">
        <f>"1996,7099"</f>
        <v>1996,7099</v>
      </c>
      <c r="K13" s="9" t="s">
        <v>57</v>
      </c>
    </row>
    <row r="14" spans="1:11" ht="12.75">
      <c r="A14" s="12" t="s">
        <v>1315</v>
      </c>
      <c r="B14" s="12" t="s">
        <v>1314</v>
      </c>
      <c r="C14" s="12" t="s">
        <v>80</v>
      </c>
      <c r="D14" s="12" t="str">
        <f>"0,6492"</f>
        <v>0,6492</v>
      </c>
      <c r="E14" s="12" t="s">
        <v>33</v>
      </c>
      <c r="F14" s="12" t="s">
        <v>34</v>
      </c>
      <c r="G14" s="13" t="s">
        <v>76</v>
      </c>
      <c r="H14" s="28" t="s">
        <v>1313</v>
      </c>
      <c r="I14" s="12" t="str">
        <f>"3217,5"</f>
        <v>3217,5</v>
      </c>
      <c r="J14" s="13" t="str">
        <f>"2109,8514"</f>
        <v>2109,8514</v>
      </c>
      <c r="K14" s="12" t="s">
        <v>44</v>
      </c>
    </row>
    <row r="16" spans="1:10" ht="15">
      <c r="A16" s="46" t="s">
        <v>85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1" ht="12.75">
      <c r="A17" s="9" t="s">
        <v>1312</v>
      </c>
      <c r="B17" s="9" t="s">
        <v>1311</v>
      </c>
      <c r="C17" s="9" t="s">
        <v>1310</v>
      </c>
      <c r="D17" s="9" t="str">
        <f>"0,6090"</f>
        <v>0,6090</v>
      </c>
      <c r="E17" s="9" t="s">
        <v>33</v>
      </c>
      <c r="F17" s="9" t="s">
        <v>34</v>
      </c>
      <c r="G17" s="10" t="s">
        <v>378</v>
      </c>
      <c r="H17" s="29" t="s">
        <v>1272</v>
      </c>
      <c r="I17" s="9" t="str">
        <f>"4255,0"</f>
        <v>4255,0</v>
      </c>
      <c r="J17" s="10" t="str">
        <f>"2591,0823"</f>
        <v>2591,0823</v>
      </c>
      <c r="K17" s="9" t="s">
        <v>1309</v>
      </c>
    </row>
    <row r="18" spans="1:11" ht="12.75">
      <c r="A18" s="23" t="s">
        <v>1308</v>
      </c>
      <c r="B18" s="23" t="s">
        <v>1307</v>
      </c>
      <c r="C18" s="23" t="s">
        <v>1306</v>
      </c>
      <c r="D18" s="23" t="str">
        <f>"0,6108"</f>
        <v>0,6108</v>
      </c>
      <c r="E18" s="23" t="s">
        <v>33</v>
      </c>
      <c r="F18" s="23" t="s">
        <v>34</v>
      </c>
      <c r="G18" s="24" t="s">
        <v>378</v>
      </c>
      <c r="H18" s="31" t="s">
        <v>1305</v>
      </c>
      <c r="I18" s="23" t="str">
        <f>"2960,0"</f>
        <v>2960,0</v>
      </c>
      <c r="J18" s="24" t="str">
        <f>"1807,8201"</f>
        <v>1807,8201</v>
      </c>
      <c r="K18" s="23" t="s">
        <v>44</v>
      </c>
    </row>
    <row r="19" spans="1:11" ht="12.75">
      <c r="A19" s="23" t="s">
        <v>1304</v>
      </c>
      <c r="B19" s="23" t="s">
        <v>1303</v>
      </c>
      <c r="C19" s="23" t="s">
        <v>1302</v>
      </c>
      <c r="D19" s="23" t="str">
        <f>"0,5818"</f>
        <v>0,5818</v>
      </c>
      <c r="E19" s="23" t="s">
        <v>17</v>
      </c>
      <c r="F19" s="23" t="s">
        <v>327</v>
      </c>
      <c r="G19" s="24" t="s">
        <v>22</v>
      </c>
      <c r="H19" s="31" t="s">
        <v>1222</v>
      </c>
      <c r="I19" s="23" t="str">
        <f>"2600,0"</f>
        <v>2600,0</v>
      </c>
      <c r="J19" s="24" t="str">
        <f>"1512,6800"</f>
        <v>1512,6800</v>
      </c>
      <c r="K19" s="23" t="s">
        <v>44</v>
      </c>
    </row>
    <row r="20" spans="1:11" ht="12.75">
      <c r="A20" s="12" t="s">
        <v>1301</v>
      </c>
      <c r="B20" s="12" t="s">
        <v>1300</v>
      </c>
      <c r="C20" s="12" t="s">
        <v>227</v>
      </c>
      <c r="D20" s="12" t="str">
        <f>"0,5823"</f>
        <v>0,5823</v>
      </c>
      <c r="E20" s="12" t="s">
        <v>33</v>
      </c>
      <c r="F20" s="12" t="s">
        <v>34</v>
      </c>
      <c r="G20" s="13" t="s">
        <v>22</v>
      </c>
      <c r="H20" s="28" t="s">
        <v>1299</v>
      </c>
      <c r="I20" s="12" t="str">
        <f>"2300,0"</f>
        <v>2300,0</v>
      </c>
      <c r="J20" s="13" t="str">
        <f>"1430,3617"</f>
        <v>1430,3617</v>
      </c>
      <c r="K20" s="12" t="s">
        <v>1295</v>
      </c>
    </row>
    <row r="22" spans="1:10" ht="15">
      <c r="A22" s="46" t="s">
        <v>29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1" ht="12.75">
      <c r="A23" s="6" t="s">
        <v>1298</v>
      </c>
      <c r="B23" s="6" t="s">
        <v>1297</v>
      </c>
      <c r="C23" s="6" t="s">
        <v>1296</v>
      </c>
      <c r="D23" s="6" t="str">
        <f>"0,5724"</f>
        <v>0,5724</v>
      </c>
      <c r="E23" s="6" t="s">
        <v>33</v>
      </c>
      <c r="F23" s="6" t="s">
        <v>34</v>
      </c>
      <c r="G23" s="7" t="s">
        <v>203</v>
      </c>
      <c r="H23" s="27" t="s">
        <v>1217</v>
      </c>
      <c r="I23" s="6" t="str">
        <f>"2625,0"</f>
        <v>2625,0</v>
      </c>
      <c r="J23" s="7" t="str">
        <f>"1502,5499"</f>
        <v>1502,5499</v>
      </c>
      <c r="K23" s="6" t="s">
        <v>1295</v>
      </c>
    </row>
    <row r="25" spans="1:10" ht="15">
      <c r="A25" s="46" t="s">
        <v>45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1" ht="12.75">
      <c r="A26" s="6" t="s">
        <v>1294</v>
      </c>
      <c r="B26" s="6" t="s">
        <v>1293</v>
      </c>
      <c r="C26" s="6" t="s">
        <v>1292</v>
      </c>
      <c r="D26" s="6" t="str">
        <f>"0,5490"</f>
        <v>0,5490</v>
      </c>
      <c r="E26" s="6" t="s">
        <v>33</v>
      </c>
      <c r="F26" s="6" t="s">
        <v>34</v>
      </c>
      <c r="G26" s="7" t="s">
        <v>427</v>
      </c>
      <c r="H26" s="27" t="s">
        <v>1291</v>
      </c>
      <c r="I26" s="6" t="str">
        <f>"1837,5"</f>
        <v>1837,5</v>
      </c>
      <c r="J26" s="7" t="str">
        <f>"1008,8793"</f>
        <v>1008,8793</v>
      </c>
      <c r="K26" s="6" t="s">
        <v>1290</v>
      </c>
    </row>
    <row r="28" ht="15">
      <c r="E28" s="15" t="s">
        <v>59</v>
      </c>
    </row>
    <row r="29" ht="15">
      <c r="E29" s="15" t="s">
        <v>60</v>
      </c>
    </row>
    <row r="30" ht="15">
      <c r="E30" s="15"/>
    </row>
    <row r="32" spans="1:2" ht="18">
      <c r="A32" s="16" t="s">
        <v>64</v>
      </c>
      <c r="B32" s="16"/>
    </row>
    <row r="33" spans="1:2" ht="15">
      <c r="A33" s="17" t="s">
        <v>65</v>
      </c>
      <c r="B33" s="17"/>
    </row>
    <row r="34" spans="1:2" ht="14.25">
      <c r="A34" s="19"/>
      <c r="B34" s="20" t="s">
        <v>74</v>
      </c>
    </row>
    <row r="35" spans="1:5" ht="15">
      <c r="A35" s="21" t="s">
        <v>67</v>
      </c>
      <c r="B35" s="21" t="s">
        <v>68</v>
      </c>
      <c r="C35" s="21" t="s">
        <v>69</v>
      </c>
      <c r="D35" s="21" t="s">
        <v>70</v>
      </c>
      <c r="E35" s="21" t="s">
        <v>1165</v>
      </c>
    </row>
    <row r="36" spans="1:5" ht="12.75">
      <c r="A36" s="18" t="s">
        <v>1289</v>
      </c>
      <c r="B36" s="5" t="s">
        <v>74</v>
      </c>
      <c r="C36" s="5" t="s">
        <v>273</v>
      </c>
      <c r="D36" s="5" t="s">
        <v>1288</v>
      </c>
      <c r="E36" s="22" t="s">
        <v>1287</v>
      </c>
    </row>
  </sheetData>
  <sheetProtection/>
  <mergeCells count="17">
    <mergeCell ref="A1:K2"/>
    <mergeCell ref="A3:A4"/>
    <mergeCell ref="B3:B4"/>
    <mergeCell ref="C3:C4"/>
    <mergeCell ref="D3:D4"/>
    <mergeCell ref="E3:E4"/>
    <mergeCell ref="F3:F4"/>
    <mergeCell ref="G3:H3"/>
    <mergeCell ref="A16:J16"/>
    <mergeCell ref="A22:J22"/>
    <mergeCell ref="A25:J25"/>
    <mergeCell ref="I3:I4"/>
    <mergeCell ref="J3:J4"/>
    <mergeCell ref="K3:K4"/>
    <mergeCell ref="A5:J5"/>
    <mergeCell ref="A8:J8"/>
    <mergeCell ref="A12:J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6"/>
  <sheetViews>
    <sheetView zoomScalePageLayoutView="0" workbookViewId="0" topLeftCell="A129">
      <selection activeCell="A156" sqref="A156"/>
    </sheetView>
  </sheetViews>
  <sheetFormatPr defaultColWidth="9.00390625" defaultRowHeight="12.75"/>
  <cols>
    <col min="1" max="1" width="31.00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6.75390625" style="5" bestFit="1" customWidth="1"/>
    <col min="7" max="9" width="5.625" style="4" bestFit="1" customWidth="1"/>
    <col min="10" max="10" width="4.875" style="4" bestFit="1" customWidth="1"/>
    <col min="11" max="11" width="11.125" style="5" customWidth="1"/>
    <col min="12" max="12" width="8.625" style="4" bestFit="1" customWidth="1"/>
    <col min="13" max="13" width="18.25390625" style="5" bestFit="1" customWidth="1"/>
    <col min="14" max="14" width="16.375" style="4" customWidth="1"/>
    <col min="15" max="16384" width="9.125" style="4" customWidth="1"/>
  </cols>
  <sheetData>
    <row r="1" spans="1:13" s="3" customFormat="1" ht="28.5" customHeight="1">
      <c r="A1" s="32" t="s">
        <v>1125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2</v>
      </c>
      <c r="H3" s="42"/>
      <c r="I3" s="42"/>
      <c r="J3" s="42"/>
      <c r="K3" s="42" t="s">
        <v>279</v>
      </c>
      <c r="L3" s="42" t="s">
        <v>6</v>
      </c>
      <c r="M3" s="43" t="s">
        <v>5</v>
      </c>
    </row>
    <row r="4" spans="1:13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41"/>
      <c r="L4" s="41"/>
      <c r="M4" s="44"/>
    </row>
    <row r="5" spans="1:12" ht="15">
      <c r="A5" s="45" t="s">
        <v>603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9" t="s">
        <v>604</v>
      </c>
      <c r="B6" s="9" t="s">
        <v>605</v>
      </c>
      <c r="C6" s="9" t="s">
        <v>606</v>
      </c>
      <c r="D6" s="9" t="str">
        <f>"1,4252"</f>
        <v>1,4252</v>
      </c>
      <c r="E6" s="9" t="s">
        <v>17</v>
      </c>
      <c r="F6" s="9" t="s">
        <v>607</v>
      </c>
      <c r="G6" s="11" t="s">
        <v>608</v>
      </c>
      <c r="H6" s="11" t="s">
        <v>608</v>
      </c>
      <c r="I6" s="11" t="s">
        <v>454</v>
      </c>
      <c r="J6" s="11"/>
      <c r="K6" s="9" t="str">
        <f>"0,0"</f>
        <v>0,0</v>
      </c>
      <c r="L6" s="10" t="str">
        <f>"0,0000"</f>
        <v>0,0000</v>
      </c>
      <c r="M6" s="9" t="s">
        <v>609</v>
      </c>
    </row>
    <row r="7" spans="1:13" ht="12.75">
      <c r="A7" s="12" t="s">
        <v>610</v>
      </c>
      <c r="B7" s="12" t="s">
        <v>611</v>
      </c>
      <c r="C7" s="12" t="s">
        <v>612</v>
      </c>
      <c r="D7" s="12" t="str">
        <f>"1,4316"</f>
        <v>1,4316</v>
      </c>
      <c r="E7" s="12" t="s">
        <v>33</v>
      </c>
      <c r="F7" s="12" t="s">
        <v>34</v>
      </c>
      <c r="G7" s="13" t="s">
        <v>454</v>
      </c>
      <c r="H7" s="14" t="s">
        <v>455</v>
      </c>
      <c r="I7" s="14" t="s">
        <v>455</v>
      </c>
      <c r="J7" s="14"/>
      <c r="K7" s="12" t="str">
        <f>"35,0"</f>
        <v>35,0</v>
      </c>
      <c r="L7" s="13" t="str">
        <f>"50,1060"</f>
        <v>50,1060</v>
      </c>
      <c r="M7" s="12" t="s">
        <v>28</v>
      </c>
    </row>
    <row r="9" spans="1:12" ht="15">
      <c r="A9" s="46" t="s">
        <v>367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3" ht="12.75">
      <c r="A10" s="6" t="s">
        <v>613</v>
      </c>
      <c r="B10" s="6" t="s">
        <v>614</v>
      </c>
      <c r="C10" s="6" t="s">
        <v>615</v>
      </c>
      <c r="D10" s="6" t="str">
        <f>"1,3470"</f>
        <v>1,3470</v>
      </c>
      <c r="E10" s="6" t="s">
        <v>33</v>
      </c>
      <c r="F10" s="6" t="s">
        <v>34</v>
      </c>
      <c r="G10" s="7" t="s">
        <v>608</v>
      </c>
      <c r="H10" s="7" t="s">
        <v>455</v>
      </c>
      <c r="I10" s="8" t="s">
        <v>174</v>
      </c>
      <c r="J10" s="8"/>
      <c r="K10" s="6" t="str">
        <f>"37,5"</f>
        <v>37,5</v>
      </c>
      <c r="L10" s="7" t="str">
        <f>"50,5125"</f>
        <v>50,5125</v>
      </c>
      <c r="M10" s="6" t="s">
        <v>616</v>
      </c>
    </row>
    <row r="12" spans="1:12" ht="15">
      <c r="A12" s="46" t="s">
        <v>162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3" ht="12.75">
      <c r="A13" s="9" t="s">
        <v>617</v>
      </c>
      <c r="B13" s="9" t="s">
        <v>618</v>
      </c>
      <c r="C13" s="9" t="s">
        <v>619</v>
      </c>
      <c r="D13" s="9" t="str">
        <f>"1,2808"</f>
        <v>1,2808</v>
      </c>
      <c r="E13" s="9" t="s">
        <v>33</v>
      </c>
      <c r="F13" s="9" t="s">
        <v>34</v>
      </c>
      <c r="G13" s="10" t="s">
        <v>176</v>
      </c>
      <c r="H13" s="10" t="s">
        <v>182</v>
      </c>
      <c r="I13" s="10" t="s">
        <v>372</v>
      </c>
      <c r="J13" s="11"/>
      <c r="K13" s="9" t="str">
        <f>"52,5"</f>
        <v>52,5</v>
      </c>
      <c r="L13" s="10" t="str">
        <f>"67,2420"</f>
        <v>67,2420</v>
      </c>
      <c r="M13" s="9" t="s">
        <v>620</v>
      </c>
    </row>
    <row r="14" spans="1:13" ht="12.75">
      <c r="A14" s="12" t="s">
        <v>621</v>
      </c>
      <c r="B14" s="12" t="s">
        <v>622</v>
      </c>
      <c r="C14" s="12" t="s">
        <v>623</v>
      </c>
      <c r="D14" s="12" t="str">
        <f>"1,2654"</f>
        <v>1,2654</v>
      </c>
      <c r="E14" s="12" t="s">
        <v>17</v>
      </c>
      <c r="F14" s="12" t="s">
        <v>624</v>
      </c>
      <c r="G14" s="14" t="s">
        <v>373</v>
      </c>
      <c r="H14" s="14" t="s">
        <v>395</v>
      </c>
      <c r="I14" s="14" t="s">
        <v>395</v>
      </c>
      <c r="J14" s="14"/>
      <c r="K14" s="12" t="str">
        <f>"0,0"</f>
        <v>0,0</v>
      </c>
      <c r="L14" s="13" t="str">
        <f>"0,0000"</f>
        <v>0,0000</v>
      </c>
      <c r="M14" s="12" t="s">
        <v>625</v>
      </c>
    </row>
    <row r="16" spans="1:12" ht="15">
      <c r="A16" s="46" t="s">
        <v>170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3" ht="12.75">
      <c r="A17" s="9" t="s">
        <v>626</v>
      </c>
      <c r="B17" s="9" t="s">
        <v>627</v>
      </c>
      <c r="C17" s="9" t="s">
        <v>628</v>
      </c>
      <c r="D17" s="9" t="str">
        <f>"1,1967"</f>
        <v>1,1967</v>
      </c>
      <c r="E17" s="9" t="s">
        <v>33</v>
      </c>
      <c r="F17" s="9" t="s">
        <v>18</v>
      </c>
      <c r="G17" s="10" t="s">
        <v>455</v>
      </c>
      <c r="H17" s="10" t="s">
        <v>174</v>
      </c>
      <c r="I17" s="11" t="s">
        <v>175</v>
      </c>
      <c r="J17" s="11"/>
      <c r="K17" s="9" t="str">
        <f>"40,0"</f>
        <v>40,0</v>
      </c>
      <c r="L17" s="10" t="str">
        <f>"47,8680"</f>
        <v>47,8680</v>
      </c>
      <c r="M17" s="9" t="s">
        <v>28</v>
      </c>
    </row>
    <row r="18" spans="1:13" ht="12.75">
      <c r="A18" s="23" t="s">
        <v>629</v>
      </c>
      <c r="B18" s="23" t="s">
        <v>630</v>
      </c>
      <c r="C18" s="23" t="s">
        <v>462</v>
      </c>
      <c r="D18" s="23" t="str">
        <f>"1,1816"</f>
        <v>1,1816</v>
      </c>
      <c r="E18" s="23" t="s">
        <v>33</v>
      </c>
      <c r="F18" s="23" t="s">
        <v>34</v>
      </c>
      <c r="G18" s="24" t="s">
        <v>372</v>
      </c>
      <c r="H18" s="24" t="s">
        <v>373</v>
      </c>
      <c r="I18" s="25" t="s">
        <v>395</v>
      </c>
      <c r="J18" s="25"/>
      <c r="K18" s="23" t="str">
        <f>"55,0"</f>
        <v>55,0</v>
      </c>
      <c r="L18" s="24" t="str">
        <f>"64,9880"</f>
        <v>64,9880</v>
      </c>
      <c r="M18" s="23" t="s">
        <v>631</v>
      </c>
    </row>
    <row r="19" spans="1:13" ht="12.75">
      <c r="A19" s="23" t="s">
        <v>632</v>
      </c>
      <c r="B19" s="23" t="s">
        <v>633</v>
      </c>
      <c r="C19" s="23" t="s">
        <v>387</v>
      </c>
      <c r="D19" s="23" t="str">
        <f>"1,1916"</f>
        <v>1,1916</v>
      </c>
      <c r="E19" s="23" t="s">
        <v>33</v>
      </c>
      <c r="F19" s="23" t="s">
        <v>34</v>
      </c>
      <c r="G19" s="25" t="s">
        <v>182</v>
      </c>
      <c r="H19" s="24" t="s">
        <v>182</v>
      </c>
      <c r="I19" s="25" t="s">
        <v>373</v>
      </c>
      <c r="J19" s="25"/>
      <c r="K19" s="23" t="str">
        <f>"50,0"</f>
        <v>50,0</v>
      </c>
      <c r="L19" s="24" t="str">
        <f>"59,5800"</f>
        <v>59,5800</v>
      </c>
      <c r="M19" s="23" t="s">
        <v>634</v>
      </c>
    </row>
    <row r="20" spans="1:13" ht="12.75">
      <c r="A20" s="23" t="s">
        <v>636</v>
      </c>
      <c r="B20" s="23" t="s">
        <v>637</v>
      </c>
      <c r="C20" s="23" t="s">
        <v>387</v>
      </c>
      <c r="D20" s="23" t="str">
        <f>"1,1916"</f>
        <v>1,1916</v>
      </c>
      <c r="E20" s="23" t="s">
        <v>33</v>
      </c>
      <c r="F20" s="23" t="s">
        <v>34</v>
      </c>
      <c r="G20" s="24" t="s">
        <v>168</v>
      </c>
      <c r="H20" s="25" t="s">
        <v>638</v>
      </c>
      <c r="I20" s="25" t="s">
        <v>638</v>
      </c>
      <c r="J20" s="25"/>
      <c r="K20" s="23" t="str">
        <f>"67,5"</f>
        <v>67,5</v>
      </c>
      <c r="L20" s="24" t="str">
        <f>"80,4330"</f>
        <v>80,4330</v>
      </c>
      <c r="M20" s="23" t="s">
        <v>631</v>
      </c>
    </row>
    <row r="21" spans="1:13" ht="12.75">
      <c r="A21" s="23" t="s">
        <v>639</v>
      </c>
      <c r="B21" s="23" t="s">
        <v>640</v>
      </c>
      <c r="C21" s="23" t="s">
        <v>641</v>
      </c>
      <c r="D21" s="23" t="str">
        <f>"1,2141"</f>
        <v>1,2141</v>
      </c>
      <c r="E21" s="23" t="s">
        <v>33</v>
      </c>
      <c r="F21" s="23" t="s">
        <v>34</v>
      </c>
      <c r="G21" s="24" t="s">
        <v>182</v>
      </c>
      <c r="H21" s="24" t="s">
        <v>373</v>
      </c>
      <c r="I21" s="25" t="s">
        <v>379</v>
      </c>
      <c r="J21" s="25"/>
      <c r="K21" s="23" t="str">
        <f>"55,0"</f>
        <v>55,0</v>
      </c>
      <c r="L21" s="24" t="str">
        <f>"66,7755"</f>
        <v>66,7755</v>
      </c>
      <c r="M21" s="23" t="s">
        <v>642</v>
      </c>
    </row>
    <row r="22" spans="1:13" ht="12.75">
      <c r="A22" s="23" t="s">
        <v>643</v>
      </c>
      <c r="B22" s="23" t="s">
        <v>644</v>
      </c>
      <c r="C22" s="23" t="s">
        <v>645</v>
      </c>
      <c r="D22" s="23" t="str">
        <f>"1,2176"</f>
        <v>1,2176</v>
      </c>
      <c r="E22" s="23" t="s">
        <v>33</v>
      </c>
      <c r="F22" s="23" t="s">
        <v>34</v>
      </c>
      <c r="G22" s="24" t="s">
        <v>181</v>
      </c>
      <c r="H22" s="24" t="s">
        <v>182</v>
      </c>
      <c r="I22" s="24" t="s">
        <v>372</v>
      </c>
      <c r="J22" s="25"/>
      <c r="K22" s="23" t="str">
        <f>"52,5"</f>
        <v>52,5</v>
      </c>
      <c r="L22" s="24" t="str">
        <f>"63,9240"</f>
        <v>63,9240</v>
      </c>
      <c r="M22" s="23" t="s">
        <v>646</v>
      </c>
    </row>
    <row r="23" spans="1:13" ht="12.75">
      <c r="A23" s="23" t="s">
        <v>647</v>
      </c>
      <c r="B23" s="23" t="s">
        <v>648</v>
      </c>
      <c r="C23" s="23" t="s">
        <v>649</v>
      </c>
      <c r="D23" s="23" t="str">
        <f>"1,1900"</f>
        <v>1,1900</v>
      </c>
      <c r="E23" s="23" t="s">
        <v>17</v>
      </c>
      <c r="F23" s="23" t="s">
        <v>607</v>
      </c>
      <c r="G23" s="24" t="s">
        <v>182</v>
      </c>
      <c r="H23" s="25" t="s">
        <v>373</v>
      </c>
      <c r="I23" s="25" t="s">
        <v>373</v>
      </c>
      <c r="J23" s="25"/>
      <c r="K23" s="23" t="str">
        <f>"50,0"</f>
        <v>50,0</v>
      </c>
      <c r="L23" s="24" t="str">
        <f>"59,5000"</f>
        <v>59,5000</v>
      </c>
      <c r="M23" s="23" t="s">
        <v>650</v>
      </c>
    </row>
    <row r="24" spans="1:13" ht="12.75">
      <c r="A24" s="23" t="s">
        <v>651</v>
      </c>
      <c r="B24" s="23" t="s">
        <v>652</v>
      </c>
      <c r="C24" s="23" t="s">
        <v>653</v>
      </c>
      <c r="D24" s="23" t="str">
        <f>"1,1866"</f>
        <v>1,1866</v>
      </c>
      <c r="E24" s="23" t="s">
        <v>33</v>
      </c>
      <c r="F24" s="23" t="s">
        <v>34</v>
      </c>
      <c r="G24" s="25" t="s">
        <v>176</v>
      </c>
      <c r="H24" s="24" t="s">
        <v>176</v>
      </c>
      <c r="I24" s="25" t="s">
        <v>182</v>
      </c>
      <c r="J24" s="25"/>
      <c r="K24" s="23" t="str">
        <f>"45,0"</f>
        <v>45,0</v>
      </c>
      <c r="L24" s="24" t="str">
        <f>"53,3970"</f>
        <v>53,3970</v>
      </c>
      <c r="M24" s="23" t="s">
        <v>616</v>
      </c>
    </row>
    <row r="25" spans="1:13" ht="12.75">
      <c r="A25" s="12" t="s">
        <v>654</v>
      </c>
      <c r="B25" s="12" t="s">
        <v>655</v>
      </c>
      <c r="C25" s="12" t="s">
        <v>656</v>
      </c>
      <c r="D25" s="12" t="str">
        <f>"1,2266"</f>
        <v>1,2266</v>
      </c>
      <c r="E25" s="12" t="s">
        <v>33</v>
      </c>
      <c r="F25" s="12" t="s">
        <v>34</v>
      </c>
      <c r="G25" s="13" t="s">
        <v>454</v>
      </c>
      <c r="H25" s="13" t="s">
        <v>175</v>
      </c>
      <c r="I25" s="14" t="s">
        <v>181</v>
      </c>
      <c r="J25" s="14"/>
      <c r="K25" s="12" t="str">
        <f>"42,5"</f>
        <v>42,5</v>
      </c>
      <c r="L25" s="13" t="str">
        <f>"52,1305"</f>
        <v>52,1305</v>
      </c>
      <c r="M25" s="12" t="s">
        <v>657</v>
      </c>
    </row>
    <row r="27" spans="1:12" ht="15">
      <c r="A27" s="46" t="s">
        <v>177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3" ht="12.75">
      <c r="A28" s="9" t="s">
        <v>658</v>
      </c>
      <c r="B28" s="9" t="s">
        <v>659</v>
      </c>
      <c r="C28" s="9" t="s">
        <v>660</v>
      </c>
      <c r="D28" s="9" t="str">
        <f>"1,1371"</f>
        <v>1,1371</v>
      </c>
      <c r="E28" s="9" t="s">
        <v>17</v>
      </c>
      <c r="F28" s="9" t="s">
        <v>661</v>
      </c>
      <c r="G28" s="10" t="s">
        <v>176</v>
      </c>
      <c r="H28" s="11" t="s">
        <v>182</v>
      </c>
      <c r="I28" s="11" t="s">
        <v>182</v>
      </c>
      <c r="J28" s="11"/>
      <c r="K28" s="9" t="str">
        <f>"45,0"</f>
        <v>45,0</v>
      </c>
      <c r="L28" s="10" t="str">
        <f>"51,1695"</f>
        <v>51,1695</v>
      </c>
      <c r="M28" s="9" t="s">
        <v>57</v>
      </c>
    </row>
    <row r="29" spans="1:13" ht="12.75">
      <c r="A29" s="23" t="s">
        <v>662</v>
      </c>
      <c r="B29" s="23" t="s">
        <v>663</v>
      </c>
      <c r="C29" s="23" t="s">
        <v>664</v>
      </c>
      <c r="D29" s="23" t="str">
        <f>"1,1325"</f>
        <v>1,1325</v>
      </c>
      <c r="E29" s="23" t="s">
        <v>33</v>
      </c>
      <c r="F29" s="23" t="s">
        <v>34</v>
      </c>
      <c r="G29" s="24" t="s">
        <v>174</v>
      </c>
      <c r="H29" s="25" t="s">
        <v>175</v>
      </c>
      <c r="I29" s="25" t="s">
        <v>175</v>
      </c>
      <c r="J29" s="25"/>
      <c r="K29" s="23" t="str">
        <f>"40,0"</f>
        <v>40,0</v>
      </c>
      <c r="L29" s="24" t="str">
        <f>"45,3000"</f>
        <v>45,3000</v>
      </c>
      <c r="M29" s="23" t="s">
        <v>456</v>
      </c>
    </row>
    <row r="30" spans="1:14" ht="12.75">
      <c r="A30" s="51" t="s">
        <v>666</v>
      </c>
      <c r="B30" s="51" t="s">
        <v>667</v>
      </c>
      <c r="C30" s="51" t="s">
        <v>668</v>
      </c>
      <c r="D30" s="51" t="str">
        <f>"1,1295"</f>
        <v>1,1295</v>
      </c>
      <c r="E30" s="51" t="s">
        <v>33</v>
      </c>
      <c r="F30" s="51" t="s">
        <v>34</v>
      </c>
      <c r="G30" s="52" t="s">
        <v>168</v>
      </c>
      <c r="H30" s="52" t="s">
        <v>488</v>
      </c>
      <c r="I30" s="52" t="s">
        <v>638</v>
      </c>
      <c r="J30" s="53"/>
      <c r="K30" s="51" t="str">
        <f>"72,5"</f>
        <v>72,5</v>
      </c>
      <c r="L30" s="52" t="str">
        <f>"81,8888"</f>
        <v>81,8888</v>
      </c>
      <c r="M30" s="51" t="s">
        <v>669</v>
      </c>
      <c r="N30" s="50" t="s">
        <v>1333</v>
      </c>
    </row>
    <row r="31" spans="1:13" ht="12.75">
      <c r="A31" s="23" t="s">
        <v>670</v>
      </c>
      <c r="B31" s="23" t="s">
        <v>671</v>
      </c>
      <c r="C31" s="23" t="s">
        <v>466</v>
      </c>
      <c r="D31" s="23" t="str">
        <f>"1,1355"</f>
        <v>1,1355</v>
      </c>
      <c r="E31" s="23" t="s">
        <v>33</v>
      </c>
      <c r="F31" s="23" t="s">
        <v>34</v>
      </c>
      <c r="G31" s="24" t="s">
        <v>395</v>
      </c>
      <c r="H31" s="24" t="s">
        <v>167</v>
      </c>
      <c r="I31" s="25" t="s">
        <v>168</v>
      </c>
      <c r="J31" s="25"/>
      <c r="K31" s="23" t="str">
        <f>"62,5"</f>
        <v>62,5</v>
      </c>
      <c r="L31" s="24" t="str">
        <f>"70,9687"</f>
        <v>70,9687</v>
      </c>
      <c r="M31" s="23" t="s">
        <v>672</v>
      </c>
    </row>
    <row r="32" spans="1:13" ht="12.75">
      <c r="A32" s="23" t="s">
        <v>673</v>
      </c>
      <c r="B32" s="23" t="s">
        <v>674</v>
      </c>
      <c r="C32" s="23" t="s">
        <v>675</v>
      </c>
      <c r="D32" s="23" t="str">
        <f>"1,1717"</f>
        <v>1,1717</v>
      </c>
      <c r="E32" s="23" t="s">
        <v>33</v>
      </c>
      <c r="F32" s="23" t="s">
        <v>34</v>
      </c>
      <c r="G32" s="24" t="s">
        <v>372</v>
      </c>
      <c r="H32" s="24" t="s">
        <v>373</v>
      </c>
      <c r="I32" s="24" t="s">
        <v>395</v>
      </c>
      <c r="J32" s="25"/>
      <c r="K32" s="23" t="str">
        <f>"57,5"</f>
        <v>57,5</v>
      </c>
      <c r="L32" s="24" t="str">
        <f>"67,3728"</f>
        <v>67,3728</v>
      </c>
      <c r="M32" s="23" t="s">
        <v>676</v>
      </c>
    </row>
    <row r="33" spans="1:13" ht="12.75">
      <c r="A33" s="23" t="s">
        <v>677</v>
      </c>
      <c r="B33" s="23" t="s">
        <v>678</v>
      </c>
      <c r="C33" s="23" t="s">
        <v>664</v>
      </c>
      <c r="D33" s="23" t="str">
        <f>"1,1325"</f>
        <v>1,1325</v>
      </c>
      <c r="E33" s="23" t="s">
        <v>17</v>
      </c>
      <c r="F33" s="23" t="s">
        <v>679</v>
      </c>
      <c r="G33" s="24" t="s">
        <v>182</v>
      </c>
      <c r="H33" s="24" t="s">
        <v>395</v>
      </c>
      <c r="I33" s="25" t="s">
        <v>166</v>
      </c>
      <c r="J33" s="25"/>
      <c r="K33" s="23" t="str">
        <f>"57,5"</f>
        <v>57,5</v>
      </c>
      <c r="L33" s="24" t="str">
        <f>"65,1188"</f>
        <v>65,1188</v>
      </c>
      <c r="M33" s="23" t="s">
        <v>44</v>
      </c>
    </row>
    <row r="34" spans="1:13" ht="12.75">
      <c r="A34" s="23" t="s">
        <v>680</v>
      </c>
      <c r="B34" s="23" t="s">
        <v>681</v>
      </c>
      <c r="C34" s="23" t="s">
        <v>398</v>
      </c>
      <c r="D34" s="23" t="str">
        <f>"1,1221"</f>
        <v>1,1221</v>
      </c>
      <c r="E34" s="23" t="s">
        <v>33</v>
      </c>
      <c r="F34" s="23" t="s">
        <v>18</v>
      </c>
      <c r="G34" s="24" t="s">
        <v>373</v>
      </c>
      <c r="H34" s="25" t="s">
        <v>395</v>
      </c>
      <c r="I34" s="25" t="s">
        <v>395</v>
      </c>
      <c r="J34" s="25"/>
      <c r="K34" s="23" t="str">
        <f>"55,0"</f>
        <v>55,0</v>
      </c>
      <c r="L34" s="24" t="str">
        <f>"61,7155"</f>
        <v>61,7155</v>
      </c>
      <c r="M34" s="23" t="s">
        <v>28</v>
      </c>
    </row>
    <row r="35" spans="1:13" ht="12.75">
      <c r="A35" s="12" t="s">
        <v>682</v>
      </c>
      <c r="B35" s="12" t="s">
        <v>683</v>
      </c>
      <c r="C35" s="12" t="s">
        <v>470</v>
      </c>
      <c r="D35" s="12" t="str">
        <f>"1,1266"</f>
        <v>1,1266</v>
      </c>
      <c r="E35" s="12" t="s">
        <v>33</v>
      </c>
      <c r="F35" s="12" t="s">
        <v>34</v>
      </c>
      <c r="G35" s="13" t="s">
        <v>181</v>
      </c>
      <c r="H35" s="14" t="s">
        <v>372</v>
      </c>
      <c r="I35" s="14" t="s">
        <v>372</v>
      </c>
      <c r="J35" s="14"/>
      <c r="K35" s="12" t="str">
        <f>"47,5"</f>
        <v>47,5</v>
      </c>
      <c r="L35" s="13" t="str">
        <f>"53,5135"</f>
        <v>53,5135</v>
      </c>
      <c r="M35" s="12" t="s">
        <v>616</v>
      </c>
    </row>
    <row r="37" spans="1:12" ht="15">
      <c r="A37" s="46" t="s">
        <v>189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3" ht="12.75">
      <c r="A38" s="9" t="s">
        <v>685</v>
      </c>
      <c r="B38" s="9" t="s">
        <v>686</v>
      </c>
      <c r="C38" s="9" t="s">
        <v>480</v>
      </c>
      <c r="D38" s="9" t="str">
        <f>"1,0432"</f>
        <v>1,0432</v>
      </c>
      <c r="E38" s="9" t="s">
        <v>33</v>
      </c>
      <c r="F38" s="9" t="s">
        <v>34</v>
      </c>
      <c r="G38" s="10" t="s">
        <v>488</v>
      </c>
      <c r="H38" s="11" t="s">
        <v>273</v>
      </c>
      <c r="I38" s="10" t="s">
        <v>273</v>
      </c>
      <c r="J38" s="11"/>
      <c r="K38" s="9" t="str">
        <f>"75,0"</f>
        <v>75,0</v>
      </c>
      <c r="L38" s="10" t="str">
        <f>"78,2400"</f>
        <v>78,2400</v>
      </c>
      <c r="M38" s="9" t="s">
        <v>687</v>
      </c>
    </row>
    <row r="39" spans="1:13" ht="12.75">
      <c r="A39" s="23" t="s">
        <v>688</v>
      </c>
      <c r="B39" s="23" t="s">
        <v>689</v>
      </c>
      <c r="C39" s="23" t="s">
        <v>690</v>
      </c>
      <c r="D39" s="23" t="str">
        <f>"1,0317"</f>
        <v>1,0317</v>
      </c>
      <c r="E39" s="23" t="s">
        <v>33</v>
      </c>
      <c r="F39" s="23" t="s">
        <v>34</v>
      </c>
      <c r="G39" s="24" t="s">
        <v>273</v>
      </c>
      <c r="H39" s="25" t="s">
        <v>384</v>
      </c>
      <c r="I39" s="25" t="s">
        <v>384</v>
      </c>
      <c r="J39" s="25"/>
      <c r="K39" s="23" t="str">
        <f>"75,0"</f>
        <v>75,0</v>
      </c>
      <c r="L39" s="24" t="str">
        <f>"77,3775"</f>
        <v>77,3775</v>
      </c>
      <c r="M39" s="23" t="s">
        <v>691</v>
      </c>
    </row>
    <row r="40" spans="1:13" ht="12.75">
      <c r="A40" s="23" t="s">
        <v>692</v>
      </c>
      <c r="B40" s="23" t="s">
        <v>693</v>
      </c>
      <c r="C40" s="23" t="s">
        <v>694</v>
      </c>
      <c r="D40" s="23" t="str">
        <f>"1,0613"</f>
        <v>1,0613</v>
      </c>
      <c r="E40" s="23" t="s">
        <v>17</v>
      </c>
      <c r="F40" s="23" t="s">
        <v>695</v>
      </c>
      <c r="G40" s="24" t="s">
        <v>488</v>
      </c>
      <c r="H40" s="25" t="s">
        <v>273</v>
      </c>
      <c r="I40" s="25" t="s">
        <v>273</v>
      </c>
      <c r="J40" s="25"/>
      <c r="K40" s="23" t="str">
        <f>"70,0"</f>
        <v>70,0</v>
      </c>
      <c r="L40" s="24" t="str">
        <f>"74,2910"</f>
        <v>74,2910</v>
      </c>
      <c r="M40" s="23" t="s">
        <v>57</v>
      </c>
    </row>
    <row r="41" spans="1:13" ht="12.75">
      <c r="A41" s="23" t="s">
        <v>696</v>
      </c>
      <c r="B41" s="23" t="s">
        <v>697</v>
      </c>
      <c r="C41" s="23" t="s">
        <v>698</v>
      </c>
      <c r="D41" s="23" t="str">
        <f>"1,0328"</f>
        <v>1,0328</v>
      </c>
      <c r="E41" s="23" t="s">
        <v>33</v>
      </c>
      <c r="F41" s="23" t="s">
        <v>34</v>
      </c>
      <c r="G41" s="25" t="s">
        <v>167</v>
      </c>
      <c r="H41" s="24" t="s">
        <v>167</v>
      </c>
      <c r="I41" s="25" t="s">
        <v>168</v>
      </c>
      <c r="J41" s="25"/>
      <c r="K41" s="23" t="str">
        <f>"62,5"</f>
        <v>62,5</v>
      </c>
      <c r="L41" s="24" t="str">
        <f>"64,5500"</f>
        <v>64,5500</v>
      </c>
      <c r="M41" s="23" t="s">
        <v>616</v>
      </c>
    </row>
    <row r="42" spans="1:13" ht="12.75">
      <c r="A42" s="12" t="s">
        <v>699</v>
      </c>
      <c r="B42" s="12" t="s">
        <v>700</v>
      </c>
      <c r="C42" s="12" t="s">
        <v>701</v>
      </c>
      <c r="D42" s="12" t="str">
        <f>"1,0753"</f>
        <v>1,0753</v>
      </c>
      <c r="E42" s="12" t="s">
        <v>17</v>
      </c>
      <c r="F42" s="12" t="s">
        <v>284</v>
      </c>
      <c r="G42" s="13" t="s">
        <v>372</v>
      </c>
      <c r="H42" s="14" t="s">
        <v>373</v>
      </c>
      <c r="I42" s="14" t="s">
        <v>373</v>
      </c>
      <c r="J42" s="14"/>
      <c r="K42" s="12" t="str">
        <f>"52,5"</f>
        <v>52,5</v>
      </c>
      <c r="L42" s="13" t="str">
        <f>"56,4532"</f>
        <v>56,4532</v>
      </c>
      <c r="M42" s="12" t="s">
        <v>117</v>
      </c>
    </row>
    <row r="44" spans="1:12" ht="15">
      <c r="A44" s="46" t="s">
        <v>183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3" ht="12.75">
      <c r="A45" s="9" t="s">
        <v>702</v>
      </c>
      <c r="B45" s="9" t="s">
        <v>703</v>
      </c>
      <c r="C45" s="9" t="s">
        <v>704</v>
      </c>
      <c r="D45" s="9" t="str">
        <f>"0,9629"</f>
        <v>0,9629</v>
      </c>
      <c r="E45" s="9" t="s">
        <v>17</v>
      </c>
      <c r="F45" s="9" t="s">
        <v>284</v>
      </c>
      <c r="G45" s="10" t="s">
        <v>176</v>
      </c>
      <c r="H45" s="10" t="s">
        <v>181</v>
      </c>
      <c r="I45" s="11" t="s">
        <v>182</v>
      </c>
      <c r="J45" s="11"/>
      <c r="K45" s="9" t="str">
        <f>"47,5"</f>
        <v>47,5</v>
      </c>
      <c r="L45" s="10" t="str">
        <f>"45,7377"</f>
        <v>45,7377</v>
      </c>
      <c r="M45" s="9" t="s">
        <v>117</v>
      </c>
    </row>
    <row r="46" spans="1:13" ht="12.75">
      <c r="A46" s="12" t="s">
        <v>705</v>
      </c>
      <c r="B46" s="12" t="s">
        <v>706</v>
      </c>
      <c r="C46" s="12" t="s">
        <v>707</v>
      </c>
      <c r="D46" s="12" t="str">
        <f>"0,9579"</f>
        <v>0,9579</v>
      </c>
      <c r="E46" s="12" t="s">
        <v>33</v>
      </c>
      <c r="F46" s="12" t="s">
        <v>34</v>
      </c>
      <c r="G46" s="13" t="s">
        <v>273</v>
      </c>
      <c r="H46" s="14" t="s">
        <v>384</v>
      </c>
      <c r="I46" s="13" t="s">
        <v>384</v>
      </c>
      <c r="J46" s="14"/>
      <c r="K46" s="12" t="str">
        <f>"77,5"</f>
        <v>77,5</v>
      </c>
      <c r="L46" s="13" t="str">
        <f>"74,2372"</f>
        <v>74,2372</v>
      </c>
      <c r="M46" s="12" t="s">
        <v>292</v>
      </c>
    </row>
    <row r="48" spans="1:12" ht="15">
      <c r="A48" s="46" t="s">
        <v>170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3" ht="12.75">
      <c r="A49" s="9" t="s">
        <v>708</v>
      </c>
      <c r="B49" s="9" t="s">
        <v>709</v>
      </c>
      <c r="C49" s="9" t="s">
        <v>653</v>
      </c>
      <c r="D49" s="9" t="str">
        <f>"0,9200"</f>
        <v>0,9200</v>
      </c>
      <c r="E49" s="9" t="s">
        <v>269</v>
      </c>
      <c r="F49" s="9" t="s">
        <v>270</v>
      </c>
      <c r="G49" s="10" t="s">
        <v>273</v>
      </c>
      <c r="H49" s="10" t="s">
        <v>309</v>
      </c>
      <c r="I49" s="11" t="s">
        <v>76</v>
      </c>
      <c r="J49" s="11"/>
      <c r="K49" s="9" t="str">
        <f>"80,0"</f>
        <v>80,0</v>
      </c>
      <c r="L49" s="10" t="str">
        <f>"73,6000"</f>
        <v>73,6000</v>
      </c>
      <c r="M49" s="9" t="s">
        <v>271</v>
      </c>
    </row>
    <row r="50" spans="1:13" ht="12.75">
      <c r="A50" s="12" t="s">
        <v>710</v>
      </c>
      <c r="B50" s="12" t="s">
        <v>711</v>
      </c>
      <c r="C50" s="12" t="s">
        <v>712</v>
      </c>
      <c r="D50" s="12" t="str">
        <f>"0,9933"</f>
        <v>0,9933</v>
      </c>
      <c r="E50" s="12" t="s">
        <v>33</v>
      </c>
      <c r="F50" s="12" t="s">
        <v>34</v>
      </c>
      <c r="G50" s="14" t="s">
        <v>384</v>
      </c>
      <c r="H50" s="13" t="s">
        <v>309</v>
      </c>
      <c r="I50" s="13" t="s">
        <v>377</v>
      </c>
      <c r="J50" s="14"/>
      <c r="K50" s="12" t="str">
        <f>"87,5"</f>
        <v>87,5</v>
      </c>
      <c r="L50" s="13" t="str">
        <f>"86,9138"</f>
        <v>86,9138</v>
      </c>
      <c r="M50" s="12" t="s">
        <v>169</v>
      </c>
    </row>
    <row r="52" spans="1:12" ht="15">
      <c r="A52" s="46" t="s">
        <v>177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3" ht="12.75">
      <c r="A53" s="9" t="s">
        <v>713</v>
      </c>
      <c r="B53" s="9" t="s">
        <v>714</v>
      </c>
      <c r="C53" s="9" t="s">
        <v>715</v>
      </c>
      <c r="D53" s="9" t="str">
        <f>"0,8675"</f>
        <v>0,8675</v>
      </c>
      <c r="E53" s="9" t="s">
        <v>33</v>
      </c>
      <c r="F53" s="9" t="s">
        <v>34</v>
      </c>
      <c r="G53" s="11" t="s">
        <v>379</v>
      </c>
      <c r="H53" s="10" t="s">
        <v>384</v>
      </c>
      <c r="I53" s="11"/>
      <c r="J53" s="11"/>
      <c r="K53" s="9" t="str">
        <f>"77,5"</f>
        <v>77,5</v>
      </c>
      <c r="L53" s="10" t="str">
        <f>"67,2313"</f>
        <v>67,2313</v>
      </c>
      <c r="M53" s="9" t="s">
        <v>44</v>
      </c>
    </row>
    <row r="54" spans="1:13" ht="12.75">
      <c r="A54" s="12" t="s">
        <v>716</v>
      </c>
      <c r="B54" s="12" t="s">
        <v>717</v>
      </c>
      <c r="C54" s="12" t="s">
        <v>718</v>
      </c>
      <c r="D54" s="12" t="str">
        <f>"0,8648"</f>
        <v>0,8648</v>
      </c>
      <c r="E54" s="12" t="s">
        <v>33</v>
      </c>
      <c r="F54" s="12" t="s">
        <v>34</v>
      </c>
      <c r="G54" s="14" t="s">
        <v>388</v>
      </c>
      <c r="H54" s="14" t="s">
        <v>388</v>
      </c>
      <c r="I54" s="14" t="s">
        <v>22</v>
      </c>
      <c r="J54" s="14"/>
      <c r="K54" s="12" t="str">
        <f>"0,0"</f>
        <v>0,0</v>
      </c>
      <c r="L54" s="13" t="str">
        <f>"0,0000"</f>
        <v>0,0000</v>
      </c>
      <c r="M54" s="12" t="s">
        <v>44</v>
      </c>
    </row>
    <row r="56" spans="1:12" ht="15">
      <c r="A56" s="46" t="s">
        <v>189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3" ht="12.75">
      <c r="A57" s="9" t="s">
        <v>719</v>
      </c>
      <c r="B57" s="9" t="s">
        <v>720</v>
      </c>
      <c r="C57" s="9" t="s">
        <v>721</v>
      </c>
      <c r="D57" s="9" t="str">
        <f>"0,7823"</f>
        <v>0,7823</v>
      </c>
      <c r="E57" s="9" t="s">
        <v>269</v>
      </c>
      <c r="F57" s="9" t="s">
        <v>270</v>
      </c>
      <c r="G57" s="10" t="s">
        <v>22</v>
      </c>
      <c r="H57" s="10" t="s">
        <v>203</v>
      </c>
      <c r="I57" s="11" t="s">
        <v>23</v>
      </c>
      <c r="J57" s="11"/>
      <c r="K57" s="9" t="str">
        <f>"105,0"</f>
        <v>105,0</v>
      </c>
      <c r="L57" s="10" t="str">
        <f>"82,1415"</f>
        <v>82,1415</v>
      </c>
      <c r="M57" s="9" t="s">
        <v>271</v>
      </c>
    </row>
    <row r="58" spans="1:13" ht="12.75">
      <c r="A58" s="23" t="s">
        <v>722</v>
      </c>
      <c r="B58" s="23" t="s">
        <v>723</v>
      </c>
      <c r="C58" s="23" t="s">
        <v>724</v>
      </c>
      <c r="D58" s="23" t="str">
        <f>"0,7766"</f>
        <v>0,7766</v>
      </c>
      <c r="E58" s="23" t="s">
        <v>269</v>
      </c>
      <c r="F58" s="23" t="s">
        <v>270</v>
      </c>
      <c r="G58" s="24" t="s">
        <v>75</v>
      </c>
      <c r="H58" s="25" t="s">
        <v>374</v>
      </c>
      <c r="I58" s="25" t="s">
        <v>374</v>
      </c>
      <c r="J58" s="25"/>
      <c r="K58" s="23" t="str">
        <f>"110,0"</f>
        <v>110,0</v>
      </c>
      <c r="L58" s="24" t="str">
        <f>"85,4260"</f>
        <v>85,4260</v>
      </c>
      <c r="M58" s="23" t="s">
        <v>271</v>
      </c>
    </row>
    <row r="59" spans="1:13" ht="12.75">
      <c r="A59" s="23" t="s">
        <v>725</v>
      </c>
      <c r="B59" s="23" t="s">
        <v>726</v>
      </c>
      <c r="C59" s="23" t="s">
        <v>724</v>
      </c>
      <c r="D59" s="23" t="str">
        <f>"0,7766"</f>
        <v>0,7766</v>
      </c>
      <c r="E59" s="23" t="s">
        <v>17</v>
      </c>
      <c r="F59" s="23" t="s">
        <v>727</v>
      </c>
      <c r="G59" s="24" t="s">
        <v>309</v>
      </c>
      <c r="H59" s="24" t="s">
        <v>187</v>
      </c>
      <c r="I59" s="25" t="s">
        <v>23</v>
      </c>
      <c r="J59" s="25"/>
      <c r="K59" s="23" t="str">
        <f>"95,0"</f>
        <v>95,0</v>
      </c>
      <c r="L59" s="24" t="str">
        <f>"73,7770"</f>
        <v>73,7770</v>
      </c>
      <c r="M59" s="23" t="s">
        <v>44</v>
      </c>
    </row>
    <row r="60" spans="1:13" ht="12.75">
      <c r="A60" s="23" t="s">
        <v>728</v>
      </c>
      <c r="B60" s="23" t="s">
        <v>729</v>
      </c>
      <c r="C60" s="23" t="s">
        <v>508</v>
      </c>
      <c r="D60" s="23" t="str">
        <f>"0,7738"</f>
        <v>0,7738</v>
      </c>
      <c r="E60" s="23" t="s">
        <v>33</v>
      </c>
      <c r="F60" s="23" t="s">
        <v>34</v>
      </c>
      <c r="G60" s="25" t="s">
        <v>374</v>
      </c>
      <c r="H60" s="24" t="s">
        <v>374</v>
      </c>
      <c r="I60" s="25" t="s">
        <v>224</v>
      </c>
      <c r="J60" s="25"/>
      <c r="K60" s="23" t="str">
        <f>"115,0"</f>
        <v>115,0</v>
      </c>
      <c r="L60" s="24" t="str">
        <f>"88,9870"</f>
        <v>88,9870</v>
      </c>
      <c r="M60" s="23" t="s">
        <v>730</v>
      </c>
    </row>
    <row r="61" spans="1:13" ht="12.75">
      <c r="A61" s="23" t="s">
        <v>731</v>
      </c>
      <c r="B61" s="23" t="s">
        <v>732</v>
      </c>
      <c r="C61" s="23" t="s">
        <v>733</v>
      </c>
      <c r="D61" s="23" t="str">
        <f>"0,8004"</f>
        <v>0,8004</v>
      </c>
      <c r="E61" s="23" t="s">
        <v>17</v>
      </c>
      <c r="F61" s="23" t="s">
        <v>96</v>
      </c>
      <c r="G61" s="24" t="s">
        <v>389</v>
      </c>
      <c r="H61" s="25" t="s">
        <v>75</v>
      </c>
      <c r="I61" s="25" t="s">
        <v>75</v>
      </c>
      <c r="J61" s="25"/>
      <c r="K61" s="23" t="str">
        <f>"102,5"</f>
        <v>102,5</v>
      </c>
      <c r="L61" s="24" t="str">
        <f>"82,0410"</f>
        <v>82,0410</v>
      </c>
      <c r="M61" s="23" t="s">
        <v>44</v>
      </c>
    </row>
    <row r="62" spans="1:13" ht="12.75">
      <c r="A62" s="23" t="s">
        <v>734</v>
      </c>
      <c r="B62" s="23" t="s">
        <v>735</v>
      </c>
      <c r="C62" s="23" t="s">
        <v>736</v>
      </c>
      <c r="D62" s="23" t="str">
        <f>"0,7729"</f>
        <v>0,7729</v>
      </c>
      <c r="E62" s="23" t="s">
        <v>17</v>
      </c>
      <c r="F62" s="23" t="s">
        <v>284</v>
      </c>
      <c r="G62" s="25" t="s">
        <v>75</v>
      </c>
      <c r="H62" s="25" t="s">
        <v>224</v>
      </c>
      <c r="I62" s="25" t="s">
        <v>224</v>
      </c>
      <c r="J62" s="25"/>
      <c r="K62" s="23" t="str">
        <f>"0,0"</f>
        <v>0,0</v>
      </c>
      <c r="L62" s="24" t="str">
        <f>"0,0000"</f>
        <v>0,0000</v>
      </c>
      <c r="M62" s="23" t="s">
        <v>737</v>
      </c>
    </row>
    <row r="63" spans="1:13" ht="12.75">
      <c r="A63" s="23" t="s">
        <v>738</v>
      </c>
      <c r="B63" s="23" t="s">
        <v>739</v>
      </c>
      <c r="C63" s="23" t="s">
        <v>736</v>
      </c>
      <c r="D63" s="23" t="str">
        <f>"0,7729"</f>
        <v>0,7729</v>
      </c>
      <c r="E63" s="23" t="s">
        <v>33</v>
      </c>
      <c r="F63" s="23" t="s">
        <v>34</v>
      </c>
      <c r="G63" s="25" t="s">
        <v>75</v>
      </c>
      <c r="H63" s="25" t="s">
        <v>75</v>
      </c>
      <c r="I63" s="25" t="s">
        <v>75</v>
      </c>
      <c r="J63" s="25"/>
      <c r="K63" s="23" t="str">
        <f>"0,0"</f>
        <v>0,0</v>
      </c>
      <c r="L63" s="24" t="str">
        <f>"0,0000"</f>
        <v>0,0000</v>
      </c>
      <c r="M63" s="23" t="s">
        <v>44</v>
      </c>
    </row>
    <row r="64" spans="1:13" ht="12.75">
      <c r="A64" s="12" t="s">
        <v>416</v>
      </c>
      <c r="B64" s="12" t="s">
        <v>418</v>
      </c>
      <c r="C64" s="12" t="s">
        <v>419</v>
      </c>
      <c r="D64" s="12" t="str">
        <f>"0,7756"</f>
        <v>0,7756</v>
      </c>
      <c r="E64" s="12" t="s">
        <v>33</v>
      </c>
      <c r="F64" s="12" t="s">
        <v>34</v>
      </c>
      <c r="G64" s="13" t="s">
        <v>203</v>
      </c>
      <c r="H64" s="13" t="s">
        <v>75</v>
      </c>
      <c r="I64" s="14"/>
      <c r="J64" s="14"/>
      <c r="K64" s="12" t="str">
        <f>"110,0"</f>
        <v>110,0</v>
      </c>
      <c r="L64" s="13" t="str">
        <f>"99,3931"</f>
        <v>99,3931</v>
      </c>
      <c r="M64" s="12" t="s">
        <v>420</v>
      </c>
    </row>
    <row r="66" spans="1:12" ht="15">
      <c r="A66" s="46" t="s">
        <v>183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3" ht="12.75">
      <c r="A67" s="9" t="s">
        <v>740</v>
      </c>
      <c r="B67" s="9" t="s">
        <v>741</v>
      </c>
      <c r="C67" s="9" t="s">
        <v>742</v>
      </c>
      <c r="D67" s="9" t="str">
        <f>"0,7173"</f>
        <v>0,7173</v>
      </c>
      <c r="E67" s="9" t="s">
        <v>33</v>
      </c>
      <c r="F67" s="9" t="s">
        <v>34</v>
      </c>
      <c r="G67" s="10" t="s">
        <v>82</v>
      </c>
      <c r="H67" s="11" t="s">
        <v>435</v>
      </c>
      <c r="I67" s="11" t="s">
        <v>435</v>
      </c>
      <c r="J67" s="11"/>
      <c r="K67" s="9" t="str">
        <f>"145,0"</f>
        <v>145,0</v>
      </c>
      <c r="L67" s="10" t="str">
        <f>"104,0085"</f>
        <v>104,0085</v>
      </c>
      <c r="M67" s="9" t="s">
        <v>44</v>
      </c>
    </row>
    <row r="68" spans="1:13" ht="12.75">
      <c r="A68" s="23" t="s">
        <v>743</v>
      </c>
      <c r="B68" s="23" t="s">
        <v>744</v>
      </c>
      <c r="C68" s="23" t="s">
        <v>745</v>
      </c>
      <c r="D68" s="23" t="str">
        <f>"0,7214"</f>
        <v>0,7214</v>
      </c>
      <c r="E68" s="23" t="s">
        <v>17</v>
      </c>
      <c r="F68" s="23" t="s">
        <v>746</v>
      </c>
      <c r="G68" s="24" t="s">
        <v>19</v>
      </c>
      <c r="H68" s="25" t="s">
        <v>121</v>
      </c>
      <c r="I68" s="25" t="s">
        <v>121</v>
      </c>
      <c r="J68" s="25"/>
      <c r="K68" s="23" t="str">
        <f>"130,0"</f>
        <v>130,0</v>
      </c>
      <c r="L68" s="24" t="str">
        <f>"93,7820"</f>
        <v>93,7820</v>
      </c>
      <c r="M68" s="23" t="s">
        <v>44</v>
      </c>
    </row>
    <row r="69" spans="1:13" ht="12.75">
      <c r="A69" s="23" t="s">
        <v>747</v>
      </c>
      <c r="B69" s="23" t="s">
        <v>748</v>
      </c>
      <c r="C69" s="23" t="s">
        <v>749</v>
      </c>
      <c r="D69" s="23" t="str">
        <f>"0,7159"</f>
        <v>0,7159</v>
      </c>
      <c r="E69" s="23" t="s">
        <v>33</v>
      </c>
      <c r="F69" s="23" t="s">
        <v>96</v>
      </c>
      <c r="G69" s="24" t="s">
        <v>224</v>
      </c>
      <c r="H69" s="24" t="s">
        <v>73</v>
      </c>
      <c r="I69" s="24" t="s">
        <v>19</v>
      </c>
      <c r="J69" s="25"/>
      <c r="K69" s="23" t="str">
        <f>"130,0"</f>
        <v>130,0</v>
      </c>
      <c r="L69" s="24" t="str">
        <f>"93,0670"</f>
        <v>93,0670</v>
      </c>
      <c r="M69" s="23" t="s">
        <v>750</v>
      </c>
    </row>
    <row r="70" spans="1:13" ht="12.75">
      <c r="A70" s="23" t="s">
        <v>751</v>
      </c>
      <c r="B70" s="23" t="s">
        <v>752</v>
      </c>
      <c r="C70" s="23" t="s">
        <v>322</v>
      </c>
      <c r="D70" s="23" t="str">
        <f>"0,7152"</f>
        <v>0,7152</v>
      </c>
      <c r="E70" s="23" t="s">
        <v>33</v>
      </c>
      <c r="F70" s="23" t="s">
        <v>34</v>
      </c>
      <c r="G70" s="24" t="s">
        <v>224</v>
      </c>
      <c r="H70" s="24" t="s">
        <v>73</v>
      </c>
      <c r="I70" s="25" t="s">
        <v>753</v>
      </c>
      <c r="J70" s="25"/>
      <c r="K70" s="23" t="str">
        <f>"125,0"</f>
        <v>125,0</v>
      </c>
      <c r="L70" s="24" t="str">
        <f>"89,4000"</f>
        <v>89,4000</v>
      </c>
      <c r="M70" s="23" t="s">
        <v>28</v>
      </c>
    </row>
    <row r="71" spans="1:13" ht="12.75">
      <c r="A71" s="23" t="s">
        <v>754</v>
      </c>
      <c r="B71" s="23" t="s">
        <v>755</v>
      </c>
      <c r="C71" s="23" t="s">
        <v>756</v>
      </c>
      <c r="D71" s="23" t="str">
        <f>"0,7300"</f>
        <v>0,7300</v>
      </c>
      <c r="E71" s="23" t="s">
        <v>33</v>
      </c>
      <c r="F71" s="23" t="s">
        <v>34</v>
      </c>
      <c r="G71" s="24" t="s">
        <v>75</v>
      </c>
      <c r="H71" s="24" t="s">
        <v>374</v>
      </c>
      <c r="I71" s="25" t="s">
        <v>224</v>
      </c>
      <c r="J71" s="25"/>
      <c r="K71" s="23" t="str">
        <f>"115,0"</f>
        <v>115,0</v>
      </c>
      <c r="L71" s="24" t="str">
        <f>"83,9500"</f>
        <v>83,9500</v>
      </c>
      <c r="M71" s="23" t="s">
        <v>57</v>
      </c>
    </row>
    <row r="72" spans="1:13" ht="12.75">
      <c r="A72" s="23" t="s">
        <v>757</v>
      </c>
      <c r="B72" s="23" t="s">
        <v>758</v>
      </c>
      <c r="C72" s="23" t="s">
        <v>759</v>
      </c>
      <c r="D72" s="23" t="str">
        <f>"0,7398"</f>
        <v>0,7398</v>
      </c>
      <c r="E72" s="23" t="s">
        <v>33</v>
      </c>
      <c r="F72" s="23" t="s">
        <v>34</v>
      </c>
      <c r="G72" s="24" t="s">
        <v>187</v>
      </c>
      <c r="H72" s="24" t="s">
        <v>22</v>
      </c>
      <c r="I72" s="24" t="s">
        <v>389</v>
      </c>
      <c r="J72" s="25"/>
      <c r="K72" s="23" t="str">
        <f>"102,5"</f>
        <v>102,5</v>
      </c>
      <c r="L72" s="24" t="str">
        <f>"75,8295"</f>
        <v>75,8295</v>
      </c>
      <c r="M72" s="23" t="s">
        <v>456</v>
      </c>
    </row>
    <row r="73" spans="1:13" ht="12.75">
      <c r="A73" s="23" t="s">
        <v>760</v>
      </c>
      <c r="B73" s="23" t="s">
        <v>761</v>
      </c>
      <c r="C73" s="23" t="s">
        <v>762</v>
      </c>
      <c r="D73" s="23" t="str">
        <f>"0,7519"</f>
        <v>0,7519</v>
      </c>
      <c r="E73" s="23" t="s">
        <v>33</v>
      </c>
      <c r="F73" s="23" t="s">
        <v>34</v>
      </c>
      <c r="G73" s="24" t="s">
        <v>309</v>
      </c>
      <c r="H73" s="25" t="s">
        <v>187</v>
      </c>
      <c r="I73" s="25" t="s">
        <v>187</v>
      </c>
      <c r="J73" s="25"/>
      <c r="K73" s="23" t="str">
        <f>"80,0"</f>
        <v>80,0</v>
      </c>
      <c r="L73" s="24" t="str">
        <f>"60,1520"</f>
        <v>60,1520</v>
      </c>
      <c r="M73" s="23" t="s">
        <v>57</v>
      </c>
    </row>
    <row r="74" spans="1:13" ht="12.75">
      <c r="A74" s="12" t="s">
        <v>764</v>
      </c>
      <c r="B74" s="12" t="s">
        <v>765</v>
      </c>
      <c r="C74" s="12" t="s">
        <v>766</v>
      </c>
      <c r="D74" s="12" t="str">
        <f>"0,7179"</f>
        <v>0,7179</v>
      </c>
      <c r="E74" s="12" t="s">
        <v>33</v>
      </c>
      <c r="F74" s="12" t="s">
        <v>34</v>
      </c>
      <c r="G74" s="13" t="s">
        <v>224</v>
      </c>
      <c r="H74" s="13" t="s">
        <v>73</v>
      </c>
      <c r="I74" s="14" t="s">
        <v>753</v>
      </c>
      <c r="J74" s="14"/>
      <c r="K74" s="12" t="str">
        <f>"125,0"</f>
        <v>125,0</v>
      </c>
      <c r="L74" s="13" t="str">
        <f>"127,5170"</f>
        <v>127,5170</v>
      </c>
      <c r="M74" s="12" t="s">
        <v>44</v>
      </c>
    </row>
    <row r="76" spans="1:12" ht="15">
      <c r="A76" s="46" t="s">
        <v>13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3" ht="12.75">
      <c r="A77" s="9" t="s">
        <v>767</v>
      </c>
      <c r="B77" s="9" t="s">
        <v>768</v>
      </c>
      <c r="C77" s="9" t="s">
        <v>769</v>
      </c>
      <c r="D77" s="9" t="str">
        <f>"0,6800"</f>
        <v>0,6800</v>
      </c>
      <c r="E77" s="9" t="s">
        <v>33</v>
      </c>
      <c r="F77" s="9" t="s">
        <v>270</v>
      </c>
      <c r="G77" s="10" t="s">
        <v>224</v>
      </c>
      <c r="H77" s="10" t="s">
        <v>73</v>
      </c>
      <c r="I77" s="11" t="s">
        <v>399</v>
      </c>
      <c r="J77" s="11"/>
      <c r="K77" s="9" t="str">
        <f>"125,0"</f>
        <v>125,0</v>
      </c>
      <c r="L77" s="10" t="str">
        <f>"85,0000"</f>
        <v>85,0000</v>
      </c>
      <c r="M77" s="9" t="s">
        <v>271</v>
      </c>
    </row>
    <row r="78" spans="1:13" ht="12.75">
      <c r="A78" s="23" t="s">
        <v>770</v>
      </c>
      <c r="B78" s="23" t="s">
        <v>771</v>
      </c>
      <c r="C78" s="23" t="s">
        <v>337</v>
      </c>
      <c r="D78" s="23" t="str">
        <f>"0,6724"</f>
        <v>0,6724</v>
      </c>
      <c r="E78" s="23" t="s">
        <v>33</v>
      </c>
      <c r="F78" s="23" t="s">
        <v>18</v>
      </c>
      <c r="G78" s="24" t="s">
        <v>21</v>
      </c>
      <c r="H78" s="24" t="s">
        <v>83</v>
      </c>
      <c r="I78" s="25" t="s">
        <v>53</v>
      </c>
      <c r="J78" s="25"/>
      <c r="K78" s="23" t="str">
        <f>"155,0"</f>
        <v>155,0</v>
      </c>
      <c r="L78" s="24" t="str">
        <f>"104,2220"</f>
        <v>104,2220</v>
      </c>
      <c r="M78" s="23" t="s">
        <v>44</v>
      </c>
    </row>
    <row r="79" spans="1:13" ht="12.75">
      <c r="A79" s="23" t="s">
        <v>772</v>
      </c>
      <c r="B79" s="23" t="s">
        <v>773</v>
      </c>
      <c r="C79" s="23" t="s">
        <v>774</v>
      </c>
      <c r="D79" s="23" t="str">
        <f>"0,6795"</f>
        <v>0,6795</v>
      </c>
      <c r="E79" s="23" t="s">
        <v>33</v>
      </c>
      <c r="F79" s="23" t="s">
        <v>34</v>
      </c>
      <c r="G79" s="24" t="s">
        <v>20</v>
      </c>
      <c r="H79" s="24" t="s">
        <v>115</v>
      </c>
      <c r="I79" s="24" t="s">
        <v>21</v>
      </c>
      <c r="J79" s="25"/>
      <c r="K79" s="23" t="str">
        <f>"150,0"</f>
        <v>150,0</v>
      </c>
      <c r="L79" s="24" t="str">
        <f>"101,9250"</f>
        <v>101,9250</v>
      </c>
      <c r="M79" s="23" t="s">
        <v>775</v>
      </c>
    </row>
    <row r="80" spans="1:13" ht="12.75">
      <c r="A80" s="23" t="s">
        <v>776</v>
      </c>
      <c r="B80" s="23" t="s">
        <v>777</v>
      </c>
      <c r="C80" s="23" t="s">
        <v>778</v>
      </c>
      <c r="D80" s="23" t="str">
        <f>"0,6854"</f>
        <v>0,6854</v>
      </c>
      <c r="E80" s="23" t="s">
        <v>17</v>
      </c>
      <c r="F80" s="23" t="s">
        <v>779</v>
      </c>
      <c r="G80" s="24" t="s">
        <v>20</v>
      </c>
      <c r="H80" s="24" t="s">
        <v>115</v>
      </c>
      <c r="I80" s="25" t="s">
        <v>21</v>
      </c>
      <c r="J80" s="25"/>
      <c r="K80" s="23" t="str">
        <f>"147,5"</f>
        <v>147,5</v>
      </c>
      <c r="L80" s="24" t="str">
        <f>"101,0965"</f>
        <v>101,0965</v>
      </c>
      <c r="M80" s="23" t="s">
        <v>44</v>
      </c>
    </row>
    <row r="81" spans="1:13" ht="12.75">
      <c r="A81" s="23" t="s">
        <v>780</v>
      </c>
      <c r="B81" s="23" t="s">
        <v>781</v>
      </c>
      <c r="C81" s="23" t="s">
        <v>782</v>
      </c>
      <c r="D81" s="23" t="str">
        <f>"0,6714"</f>
        <v>0,6714</v>
      </c>
      <c r="E81" s="23" t="s">
        <v>33</v>
      </c>
      <c r="F81" s="23" t="s">
        <v>34</v>
      </c>
      <c r="G81" s="24" t="s">
        <v>102</v>
      </c>
      <c r="H81" s="24" t="s">
        <v>532</v>
      </c>
      <c r="I81" s="25" t="s">
        <v>115</v>
      </c>
      <c r="J81" s="25"/>
      <c r="K81" s="23" t="str">
        <f>"142,5"</f>
        <v>142,5</v>
      </c>
      <c r="L81" s="24" t="str">
        <f>"95,6745"</f>
        <v>95,6745</v>
      </c>
      <c r="M81" s="23" t="s">
        <v>57</v>
      </c>
    </row>
    <row r="82" spans="1:13" ht="12.75">
      <c r="A82" s="23" t="s">
        <v>783</v>
      </c>
      <c r="B82" s="23" t="s">
        <v>784</v>
      </c>
      <c r="C82" s="23" t="s">
        <v>16</v>
      </c>
      <c r="D82" s="23" t="str">
        <f>"0,6779"</f>
        <v>0,6779</v>
      </c>
      <c r="E82" s="23" t="s">
        <v>17</v>
      </c>
      <c r="F82" s="23" t="s">
        <v>785</v>
      </c>
      <c r="G82" s="24" t="s">
        <v>427</v>
      </c>
      <c r="H82" s="24" t="s">
        <v>19</v>
      </c>
      <c r="I82" s="24" t="s">
        <v>102</v>
      </c>
      <c r="J82" s="25"/>
      <c r="K82" s="23" t="str">
        <f>"135,0"</f>
        <v>135,0</v>
      </c>
      <c r="L82" s="24" t="str">
        <f>"91,5165"</f>
        <v>91,5165</v>
      </c>
      <c r="M82" s="23" t="s">
        <v>786</v>
      </c>
    </row>
    <row r="83" spans="1:13" ht="12.75">
      <c r="A83" s="23" t="s">
        <v>787</v>
      </c>
      <c r="B83" s="23" t="s">
        <v>788</v>
      </c>
      <c r="C83" s="23" t="s">
        <v>789</v>
      </c>
      <c r="D83" s="23" t="str">
        <f>"0,6699"</f>
        <v>0,6699</v>
      </c>
      <c r="E83" s="23" t="s">
        <v>33</v>
      </c>
      <c r="F83" s="23" t="s">
        <v>34</v>
      </c>
      <c r="G83" s="25" t="s">
        <v>102</v>
      </c>
      <c r="H83" s="24" t="s">
        <v>102</v>
      </c>
      <c r="I83" s="25" t="s">
        <v>20</v>
      </c>
      <c r="J83" s="25"/>
      <c r="K83" s="23" t="str">
        <f>"135,0"</f>
        <v>135,0</v>
      </c>
      <c r="L83" s="24" t="str">
        <f>"90,4365"</f>
        <v>90,4365</v>
      </c>
      <c r="M83" s="23" t="s">
        <v>57</v>
      </c>
    </row>
    <row r="84" spans="1:13" ht="12.75">
      <c r="A84" s="23" t="s">
        <v>790</v>
      </c>
      <c r="B84" s="23" t="s">
        <v>791</v>
      </c>
      <c r="C84" s="23" t="s">
        <v>792</v>
      </c>
      <c r="D84" s="23" t="str">
        <f>"0,6963"</f>
        <v>0,6963</v>
      </c>
      <c r="E84" s="23" t="s">
        <v>33</v>
      </c>
      <c r="F84" s="23" t="s">
        <v>34</v>
      </c>
      <c r="G84" s="24" t="s">
        <v>19</v>
      </c>
      <c r="H84" s="25" t="s">
        <v>532</v>
      </c>
      <c r="I84" s="25" t="s">
        <v>532</v>
      </c>
      <c r="J84" s="25"/>
      <c r="K84" s="23" t="str">
        <f>"130,0"</f>
        <v>130,0</v>
      </c>
      <c r="L84" s="24" t="str">
        <f>"90,5190"</f>
        <v>90,5190</v>
      </c>
      <c r="M84" s="23" t="s">
        <v>44</v>
      </c>
    </row>
    <row r="85" spans="1:13" ht="12.75">
      <c r="A85" s="23" t="s">
        <v>794</v>
      </c>
      <c r="B85" s="23" t="s">
        <v>795</v>
      </c>
      <c r="C85" s="23" t="s">
        <v>796</v>
      </c>
      <c r="D85" s="23" t="str">
        <f>"0,6764"</f>
        <v>0,6764</v>
      </c>
      <c r="E85" s="23" t="s">
        <v>33</v>
      </c>
      <c r="F85" s="23" t="s">
        <v>34</v>
      </c>
      <c r="G85" s="24" t="s">
        <v>19</v>
      </c>
      <c r="H85" s="25" t="s">
        <v>115</v>
      </c>
      <c r="I85" s="25" t="s">
        <v>115</v>
      </c>
      <c r="J85" s="25"/>
      <c r="K85" s="23" t="str">
        <f>"130,0"</f>
        <v>130,0</v>
      </c>
      <c r="L85" s="24" t="str">
        <f>"87,9320"</f>
        <v>87,9320</v>
      </c>
      <c r="M85" s="23" t="s">
        <v>44</v>
      </c>
    </row>
    <row r="86" spans="1:13" ht="12.75">
      <c r="A86" s="23" t="s">
        <v>797</v>
      </c>
      <c r="B86" s="23" t="s">
        <v>798</v>
      </c>
      <c r="C86" s="23" t="s">
        <v>796</v>
      </c>
      <c r="D86" s="23" t="str">
        <f>"0,6764"</f>
        <v>0,6764</v>
      </c>
      <c r="E86" s="23" t="s">
        <v>17</v>
      </c>
      <c r="F86" s="23" t="s">
        <v>799</v>
      </c>
      <c r="G86" s="24" t="s">
        <v>427</v>
      </c>
      <c r="H86" s="24" t="s">
        <v>19</v>
      </c>
      <c r="I86" s="25" t="s">
        <v>20</v>
      </c>
      <c r="J86" s="25"/>
      <c r="K86" s="23" t="str">
        <f>"130,0"</f>
        <v>130,0</v>
      </c>
      <c r="L86" s="24" t="str">
        <f>"87,9320"</f>
        <v>87,9320</v>
      </c>
      <c r="M86" s="23" t="s">
        <v>800</v>
      </c>
    </row>
    <row r="87" spans="1:13" ht="12.75">
      <c r="A87" s="23" t="s">
        <v>801</v>
      </c>
      <c r="B87" s="23" t="s">
        <v>802</v>
      </c>
      <c r="C87" s="23" t="s">
        <v>803</v>
      </c>
      <c r="D87" s="23" t="str">
        <f>"0,6769"</f>
        <v>0,6769</v>
      </c>
      <c r="E87" s="23" t="s">
        <v>17</v>
      </c>
      <c r="F87" s="23" t="s">
        <v>804</v>
      </c>
      <c r="G87" s="25" t="s">
        <v>374</v>
      </c>
      <c r="H87" s="24" t="s">
        <v>224</v>
      </c>
      <c r="I87" s="25" t="s">
        <v>19</v>
      </c>
      <c r="J87" s="25"/>
      <c r="K87" s="23" t="str">
        <f>"120,0"</f>
        <v>120,0</v>
      </c>
      <c r="L87" s="24" t="str">
        <f>"81,2280"</f>
        <v>81,2280</v>
      </c>
      <c r="M87" s="23" t="s">
        <v>57</v>
      </c>
    </row>
    <row r="88" spans="1:13" ht="12.75">
      <c r="A88" s="23" t="s">
        <v>805</v>
      </c>
      <c r="B88" s="23" t="s">
        <v>806</v>
      </c>
      <c r="C88" s="23" t="s">
        <v>807</v>
      </c>
      <c r="D88" s="23" t="str">
        <f>"0,6806"</f>
        <v>0,6806</v>
      </c>
      <c r="E88" s="23" t="s">
        <v>17</v>
      </c>
      <c r="F88" s="23" t="s">
        <v>213</v>
      </c>
      <c r="G88" s="24" t="s">
        <v>149</v>
      </c>
      <c r="H88" s="24" t="s">
        <v>203</v>
      </c>
      <c r="I88" s="25"/>
      <c r="J88" s="25"/>
      <c r="K88" s="23" t="str">
        <f>"105,0"</f>
        <v>105,0</v>
      </c>
      <c r="L88" s="24" t="str">
        <f>"71,4630"</f>
        <v>71,4630</v>
      </c>
      <c r="M88" s="23" t="s">
        <v>57</v>
      </c>
    </row>
    <row r="89" spans="1:13" ht="12.75">
      <c r="A89" s="23" t="s">
        <v>808</v>
      </c>
      <c r="B89" s="23" t="s">
        <v>809</v>
      </c>
      <c r="C89" s="23" t="s">
        <v>803</v>
      </c>
      <c r="D89" s="23" t="str">
        <f>"0,6769"</f>
        <v>0,6769</v>
      </c>
      <c r="E89" s="23" t="s">
        <v>33</v>
      </c>
      <c r="F89" s="23" t="s">
        <v>34</v>
      </c>
      <c r="G89" s="24" t="s">
        <v>149</v>
      </c>
      <c r="H89" s="25"/>
      <c r="I89" s="25"/>
      <c r="J89" s="25"/>
      <c r="K89" s="23" t="str">
        <f>"90,0"</f>
        <v>90,0</v>
      </c>
      <c r="L89" s="24" t="str">
        <f>"60,9210"</f>
        <v>60,9210</v>
      </c>
      <c r="M89" s="23" t="s">
        <v>57</v>
      </c>
    </row>
    <row r="90" spans="1:13" ht="12.75">
      <c r="A90" s="23" t="s">
        <v>810</v>
      </c>
      <c r="B90" s="23" t="s">
        <v>811</v>
      </c>
      <c r="C90" s="23" t="s">
        <v>812</v>
      </c>
      <c r="D90" s="23" t="str">
        <f>"0,6827"</f>
        <v>0,6827</v>
      </c>
      <c r="E90" s="23" t="s">
        <v>17</v>
      </c>
      <c r="F90" s="23" t="s">
        <v>813</v>
      </c>
      <c r="G90" s="25" t="s">
        <v>374</v>
      </c>
      <c r="H90" s="25" t="s">
        <v>19</v>
      </c>
      <c r="I90" s="25" t="s">
        <v>19</v>
      </c>
      <c r="J90" s="25"/>
      <c r="K90" s="23" t="str">
        <f>"0,0"</f>
        <v>0,0</v>
      </c>
      <c r="L90" s="24" t="str">
        <f>"0,0000"</f>
        <v>0,0000</v>
      </c>
      <c r="M90" s="23" t="s">
        <v>57</v>
      </c>
    </row>
    <row r="91" spans="1:13" ht="12.75">
      <c r="A91" s="23" t="s">
        <v>814</v>
      </c>
      <c r="B91" s="23" t="s">
        <v>815</v>
      </c>
      <c r="C91" s="23" t="s">
        <v>816</v>
      </c>
      <c r="D91" s="23" t="str">
        <f>"0,6939"</f>
        <v>0,6939</v>
      </c>
      <c r="E91" s="23" t="s">
        <v>33</v>
      </c>
      <c r="F91" s="23" t="s">
        <v>34</v>
      </c>
      <c r="G91" s="24" t="s">
        <v>73</v>
      </c>
      <c r="H91" s="24" t="s">
        <v>19</v>
      </c>
      <c r="I91" s="25" t="s">
        <v>102</v>
      </c>
      <c r="J91" s="25"/>
      <c r="K91" s="23" t="str">
        <f>"130,0"</f>
        <v>130,0</v>
      </c>
      <c r="L91" s="24" t="str">
        <f>"91,1091"</f>
        <v>91,1091</v>
      </c>
      <c r="M91" s="23" t="s">
        <v>817</v>
      </c>
    </row>
    <row r="92" spans="1:13" ht="12.75">
      <c r="A92" s="23" t="s">
        <v>819</v>
      </c>
      <c r="B92" s="23" t="s">
        <v>820</v>
      </c>
      <c r="C92" s="23" t="s">
        <v>80</v>
      </c>
      <c r="D92" s="23" t="str">
        <f>"0,6744"</f>
        <v>0,6744</v>
      </c>
      <c r="E92" s="23" t="s">
        <v>33</v>
      </c>
      <c r="F92" s="23" t="s">
        <v>34</v>
      </c>
      <c r="G92" s="24" t="s">
        <v>203</v>
      </c>
      <c r="H92" s="24" t="s">
        <v>75</v>
      </c>
      <c r="I92" s="24" t="s">
        <v>374</v>
      </c>
      <c r="J92" s="25"/>
      <c r="K92" s="23" t="str">
        <f>"115,0"</f>
        <v>115,0</v>
      </c>
      <c r="L92" s="24" t="str">
        <f>"77,5560"</f>
        <v>77,5560</v>
      </c>
      <c r="M92" s="23" t="s">
        <v>57</v>
      </c>
    </row>
    <row r="93" spans="1:13" ht="12.75">
      <c r="A93" s="12" t="s">
        <v>821</v>
      </c>
      <c r="B93" s="12" t="s">
        <v>822</v>
      </c>
      <c r="C93" s="12" t="s">
        <v>823</v>
      </c>
      <c r="D93" s="12" t="str">
        <f>"0,6871"</f>
        <v>0,6871</v>
      </c>
      <c r="E93" s="12" t="s">
        <v>17</v>
      </c>
      <c r="F93" s="12" t="s">
        <v>679</v>
      </c>
      <c r="G93" s="13" t="s">
        <v>76</v>
      </c>
      <c r="H93" s="13" t="s">
        <v>377</v>
      </c>
      <c r="I93" s="13" t="s">
        <v>149</v>
      </c>
      <c r="J93" s="14"/>
      <c r="K93" s="12" t="str">
        <f>"90,0"</f>
        <v>90,0</v>
      </c>
      <c r="L93" s="13" t="str">
        <f>"82,8643"</f>
        <v>82,8643</v>
      </c>
      <c r="M93" s="12" t="s">
        <v>824</v>
      </c>
    </row>
    <row r="95" spans="1:12" ht="15">
      <c r="A95" s="46" t="s">
        <v>128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3" ht="12.75">
      <c r="A96" s="9" t="s">
        <v>825</v>
      </c>
      <c r="B96" s="9" t="s">
        <v>826</v>
      </c>
      <c r="C96" s="9" t="s">
        <v>827</v>
      </c>
      <c r="D96" s="9" t="str">
        <f>"0,6515"</f>
        <v>0,6515</v>
      </c>
      <c r="E96" s="9" t="s">
        <v>33</v>
      </c>
      <c r="F96" s="9" t="s">
        <v>34</v>
      </c>
      <c r="G96" s="11" t="s">
        <v>102</v>
      </c>
      <c r="H96" s="10" t="s">
        <v>102</v>
      </c>
      <c r="I96" s="11" t="s">
        <v>83</v>
      </c>
      <c r="J96" s="11"/>
      <c r="K96" s="9" t="str">
        <f>"135,0"</f>
        <v>135,0</v>
      </c>
      <c r="L96" s="10" t="str">
        <f>"87,9525"</f>
        <v>87,9525</v>
      </c>
      <c r="M96" s="9" t="s">
        <v>57</v>
      </c>
    </row>
    <row r="97" spans="1:13" ht="12.75">
      <c r="A97" s="23" t="s">
        <v>828</v>
      </c>
      <c r="B97" s="23" t="s">
        <v>829</v>
      </c>
      <c r="C97" s="23" t="s">
        <v>830</v>
      </c>
      <c r="D97" s="23" t="str">
        <f>"0,6495"</f>
        <v>0,6495</v>
      </c>
      <c r="E97" s="23" t="s">
        <v>17</v>
      </c>
      <c r="F97" s="23" t="s">
        <v>327</v>
      </c>
      <c r="G97" s="24" t="s">
        <v>21</v>
      </c>
      <c r="H97" s="25" t="s">
        <v>53</v>
      </c>
      <c r="I97" s="25" t="s">
        <v>53</v>
      </c>
      <c r="J97" s="25"/>
      <c r="K97" s="23" t="str">
        <f>"150,0"</f>
        <v>150,0</v>
      </c>
      <c r="L97" s="24" t="str">
        <f>"97,4250"</f>
        <v>97,4250</v>
      </c>
      <c r="M97" s="23" t="s">
        <v>44</v>
      </c>
    </row>
    <row r="98" spans="1:13" ht="12.75">
      <c r="A98" s="23" t="s">
        <v>831</v>
      </c>
      <c r="B98" s="23" t="s">
        <v>832</v>
      </c>
      <c r="C98" s="23" t="s">
        <v>542</v>
      </c>
      <c r="D98" s="23" t="str">
        <f>"0,6421"</f>
        <v>0,6421</v>
      </c>
      <c r="E98" s="23" t="s">
        <v>17</v>
      </c>
      <c r="F98" s="23" t="s">
        <v>343</v>
      </c>
      <c r="G98" s="24" t="s">
        <v>20</v>
      </c>
      <c r="H98" s="24" t="s">
        <v>82</v>
      </c>
      <c r="I98" s="24" t="s">
        <v>115</v>
      </c>
      <c r="J98" s="25"/>
      <c r="K98" s="23" t="str">
        <f>"147,5"</f>
        <v>147,5</v>
      </c>
      <c r="L98" s="24" t="str">
        <f>"94,7097"</f>
        <v>94,7097</v>
      </c>
      <c r="M98" s="23" t="s">
        <v>44</v>
      </c>
    </row>
    <row r="99" spans="1:13" ht="12.75">
      <c r="A99" s="23" t="s">
        <v>833</v>
      </c>
      <c r="B99" s="23" t="s">
        <v>834</v>
      </c>
      <c r="C99" s="23" t="s">
        <v>835</v>
      </c>
      <c r="D99" s="23" t="str">
        <f>"0,6406"</f>
        <v>0,6406</v>
      </c>
      <c r="E99" s="23" t="s">
        <v>17</v>
      </c>
      <c r="F99" s="23" t="s">
        <v>836</v>
      </c>
      <c r="G99" s="24" t="s">
        <v>532</v>
      </c>
      <c r="H99" s="24" t="s">
        <v>115</v>
      </c>
      <c r="I99" s="25" t="s">
        <v>21</v>
      </c>
      <c r="J99" s="25"/>
      <c r="K99" s="23" t="str">
        <f>"147,5"</f>
        <v>147,5</v>
      </c>
      <c r="L99" s="24" t="str">
        <f>"94,4885"</f>
        <v>94,4885</v>
      </c>
      <c r="M99" s="23" t="s">
        <v>837</v>
      </c>
    </row>
    <row r="100" spans="1:13" ht="12.75">
      <c r="A100" s="23" t="s">
        <v>838</v>
      </c>
      <c r="B100" s="23" t="s">
        <v>839</v>
      </c>
      <c r="C100" s="23" t="s">
        <v>840</v>
      </c>
      <c r="D100" s="23" t="str">
        <f>"0,6384"</f>
        <v>0,6384</v>
      </c>
      <c r="E100" s="23" t="s">
        <v>33</v>
      </c>
      <c r="F100" s="23" t="s">
        <v>34</v>
      </c>
      <c r="G100" s="24" t="s">
        <v>20</v>
      </c>
      <c r="H100" s="25" t="s">
        <v>83</v>
      </c>
      <c r="I100" s="25" t="s">
        <v>83</v>
      </c>
      <c r="J100" s="25"/>
      <c r="K100" s="23" t="str">
        <f>"140,0"</f>
        <v>140,0</v>
      </c>
      <c r="L100" s="24" t="str">
        <f>"89,3760"</f>
        <v>89,3760</v>
      </c>
      <c r="M100" s="23" t="s">
        <v>44</v>
      </c>
    </row>
    <row r="101" spans="1:13" ht="12.75">
      <c r="A101" s="23" t="s">
        <v>842</v>
      </c>
      <c r="B101" s="23" t="s">
        <v>843</v>
      </c>
      <c r="C101" s="23" t="s">
        <v>548</v>
      </c>
      <c r="D101" s="23" t="str">
        <f>"0,6459"</f>
        <v>0,6459</v>
      </c>
      <c r="E101" s="23" t="s">
        <v>33</v>
      </c>
      <c r="F101" s="23" t="s">
        <v>34</v>
      </c>
      <c r="G101" s="24" t="s">
        <v>73</v>
      </c>
      <c r="H101" s="24" t="s">
        <v>102</v>
      </c>
      <c r="I101" s="24" t="s">
        <v>121</v>
      </c>
      <c r="J101" s="25"/>
      <c r="K101" s="23" t="str">
        <f>"137,5"</f>
        <v>137,5</v>
      </c>
      <c r="L101" s="24" t="str">
        <f>"88,8113"</f>
        <v>88,8113</v>
      </c>
      <c r="M101" s="23" t="s">
        <v>57</v>
      </c>
    </row>
    <row r="102" spans="1:13" ht="12.75">
      <c r="A102" s="23" t="s">
        <v>844</v>
      </c>
      <c r="B102" s="23" t="s">
        <v>845</v>
      </c>
      <c r="C102" s="23" t="s">
        <v>835</v>
      </c>
      <c r="D102" s="23" t="str">
        <f>"0,6406"</f>
        <v>0,6406</v>
      </c>
      <c r="E102" s="23" t="s">
        <v>33</v>
      </c>
      <c r="F102" s="23" t="s">
        <v>34</v>
      </c>
      <c r="G102" s="25" t="s">
        <v>19</v>
      </c>
      <c r="H102" s="24" t="s">
        <v>102</v>
      </c>
      <c r="I102" s="25" t="s">
        <v>121</v>
      </c>
      <c r="J102" s="25"/>
      <c r="K102" s="23" t="str">
        <f>"135,0"</f>
        <v>135,0</v>
      </c>
      <c r="L102" s="24" t="str">
        <f>"86,4810"</f>
        <v>86,4810</v>
      </c>
      <c r="M102" s="23" t="s">
        <v>846</v>
      </c>
    </row>
    <row r="103" spans="1:13" ht="12.75">
      <c r="A103" s="23" t="s">
        <v>847</v>
      </c>
      <c r="B103" s="23" t="s">
        <v>848</v>
      </c>
      <c r="C103" s="23" t="s">
        <v>830</v>
      </c>
      <c r="D103" s="23" t="str">
        <f>"0,6495"</f>
        <v>0,6495</v>
      </c>
      <c r="E103" s="23" t="s">
        <v>33</v>
      </c>
      <c r="F103" s="23" t="s">
        <v>34</v>
      </c>
      <c r="G103" s="24" t="s">
        <v>75</v>
      </c>
      <c r="H103" s="25" t="s">
        <v>427</v>
      </c>
      <c r="I103" s="24" t="s">
        <v>427</v>
      </c>
      <c r="J103" s="25"/>
      <c r="K103" s="23" t="str">
        <f>"122,5"</f>
        <v>122,5</v>
      </c>
      <c r="L103" s="24" t="str">
        <f>"79,5638"</f>
        <v>79,5638</v>
      </c>
      <c r="M103" s="23" t="s">
        <v>849</v>
      </c>
    </row>
    <row r="104" spans="1:13" ht="12.75">
      <c r="A104" s="23" t="s">
        <v>850</v>
      </c>
      <c r="B104" s="23" t="s">
        <v>851</v>
      </c>
      <c r="C104" s="23" t="s">
        <v>303</v>
      </c>
      <c r="D104" s="23" t="str">
        <f>"0,6528"</f>
        <v>0,6528</v>
      </c>
      <c r="E104" s="23" t="s">
        <v>17</v>
      </c>
      <c r="F104" s="23" t="s">
        <v>836</v>
      </c>
      <c r="G104" s="24" t="s">
        <v>22</v>
      </c>
      <c r="H104" s="24" t="s">
        <v>75</v>
      </c>
      <c r="I104" s="25" t="s">
        <v>208</v>
      </c>
      <c r="J104" s="25"/>
      <c r="K104" s="23" t="str">
        <f>"110,0"</f>
        <v>110,0</v>
      </c>
      <c r="L104" s="24" t="str">
        <f>"71,8080"</f>
        <v>71,8080</v>
      </c>
      <c r="M104" s="23" t="s">
        <v>44</v>
      </c>
    </row>
    <row r="105" spans="1:13" ht="12.75">
      <c r="A105" s="23" t="s">
        <v>852</v>
      </c>
      <c r="B105" s="23" t="s">
        <v>853</v>
      </c>
      <c r="C105" s="23" t="s">
        <v>854</v>
      </c>
      <c r="D105" s="23" t="str">
        <f>"0,6402"</f>
        <v>0,6402</v>
      </c>
      <c r="E105" s="23" t="s">
        <v>33</v>
      </c>
      <c r="F105" s="23" t="s">
        <v>34</v>
      </c>
      <c r="G105" s="24" t="s">
        <v>75</v>
      </c>
      <c r="H105" s="25" t="s">
        <v>224</v>
      </c>
      <c r="I105" s="25" t="s">
        <v>224</v>
      </c>
      <c r="J105" s="25"/>
      <c r="K105" s="23" t="str">
        <f>"110,0"</f>
        <v>110,0</v>
      </c>
      <c r="L105" s="24" t="str">
        <f>"70,4220"</f>
        <v>70,4220</v>
      </c>
      <c r="M105" s="23" t="s">
        <v>57</v>
      </c>
    </row>
    <row r="106" spans="1:13" ht="12.75">
      <c r="A106" s="23" t="s">
        <v>855</v>
      </c>
      <c r="B106" s="23" t="s">
        <v>856</v>
      </c>
      <c r="C106" s="23" t="s">
        <v>857</v>
      </c>
      <c r="D106" s="23" t="str">
        <f>"0,6471"</f>
        <v>0,6471</v>
      </c>
      <c r="E106" s="23" t="s">
        <v>17</v>
      </c>
      <c r="F106" s="23" t="s">
        <v>858</v>
      </c>
      <c r="G106" s="25" t="s">
        <v>102</v>
      </c>
      <c r="H106" s="25" t="s">
        <v>20</v>
      </c>
      <c r="I106" s="25" t="s">
        <v>20</v>
      </c>
      <c r="J106" s="25"/>
      <c r="K106" s="23" t="str">
        <f>"0,0"</f>
        <v>0,0</v>
      </c>
      <c r="L106" s="24" t="str">
        <f>"0,0000"</f>
        <v>0,0000</v>
      </c>
      <c r="M106" s="23" t="s">
        <v>859</v>
      </c>
    </row>
    <row r="107" spans="1:13" ht="12.75">
      <c r="A107" s="23" t="s">
        <v>860</v>
      </c>
      <c r="B107" s="23" t="s">
        <v>861</v>
      </c>
      <c r="C107" s="23" t="s">
        <v>219</v>
      </c>
      <c r="D107" s="23" t="str">
        <f>"0,6388"</f>
        <v>0,6388</v>
      </c>
      <c r="E107" s="23" t="s">
        <v>33</v>
      </c>
      <c r="F107" s="23" t="s">
        <v>34</v>
      </c>
      <c r="G107" s="25" t="s">
        <v>102</v>
      </c>
      <c r="H107" s="25" t="s">
        <v>102</v>
      </c>
      <c r="I107" s="25" t="s">
        <v>102</v>
      </c>
      <c r="J107" s="25"/>
      <c r="K107" s="23" t="str">
        <f>"0,0"</f>
        <v>0,0</v>
      </c>
      <c r="L107" s="24" t="str">
        <f>"0,0000"</f>
        <v>0,0000</v>
      </c>
      <c r="M107" s="23" t="s">
        <v>57</v>
      </c>
    </row>
    <row r="108" spans="1:13" ht="12.75">
      <c r="A108" s="12" t="s">
        <v>862</v>
      </c>
      <c r="B108" s="12" t="s">
        <v>863</v>
      </c>
      <c r="C108" s="12" t="s">
        <v>864</v>
      </c>
      <c r="D108" s="12" t="str">
        <f>"0,6428"</f>
        <v>0,6428</v>
      </c>
      <c r="E108" s="12" t="s">
        <v>33</v>
      </c>
      <c r="F108" s="12" t="s">
        <v>34</v>
      </c>
      <c r="G108" s="13" t="s">
        <v>73</v>
      </c>
      <c r="H108" s="13" t="s">
        <v>19</v>
      </c>
      <c r="I108" s="14" t="s">
        <v>102</v>
      </c>
      <c r="J108" s="14"/>
      <c r="K108" s="12" t="str">
        <f>"130,0"</f>
        <v>130,0</v>
      </c>
      <c r="L108" s="13" t="str">
        <f>"88,1600"</f>
        <v>88,1600</v>
      </c>
      <c r="M108" s="12" t="s">
        <v>817</v>
      </c>
    </row>
    <row r="110" spans="1:12" ht="15">
      <c r="A110" s="46" t="s">
        <v>85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3" ht="12.75">
      <c r="A111" s="9" t="s">
        <v>865</v>
      </c>
      <c r="B111" s="9" t="s">
        <v>866</v>
      </c>
      <c r="C111" s="9" t="s">
        <v>867</v>
      </c>
      <c r="D111" s="9" t="str">
        <f>"0,6305"</f>
        <v>0,6305</v>
      </c>
      <c r="E111" s="9" t="s">
        <v>33</v>
      </c>
      <c r="F111" s="9" t="s">
        <v>34</v>
      </c>
      <c r="G111" s="10" t="s">
        <v>73</v>
      </c>
      <c r="H111" s="11" t="s">
        <v>753</v>
      </c>
      <c r="I111" s="11" t="s">
        <v>753</v>
      </c>
      <c r="J111" s="11"/>
      <c r="K111" s="9" t="str">
        <f>"125,0"</f>
        <v>125,0</v>
      </c>
      <c r="L111" s="10" t="str">
        <f>"78,8125"</f>
        <v>78,8125</v>
      </c>
      <c r="M111" s="9" t="s">
        <v>44</v>
      </c>
    </row>
    <row r="112" spans="1:13" ht="12.75">
      <c r="A112" s="23" t="s">
        <v>868</v>
      </c>
      <c r="B112" s="23" t="s">
        <v>869</v>
      </c>
      <c r="C112" s="23" t="s">
        <v>870</v>
      </c>
      <c r="D112" s="23" t="str">
        <f>"0,6223"</f>
        <v>0,6223</v>
      </c>
      <c r="E112" s="23" t="s">
        <v>33</v>
      </c>
      <c r="F112" s="23" t="s">
        <v>33</v>
      </c>
      <c r="G112" s="25" t="s">
        <v>224</v>
      </c>
      <c r="H112" s="24" t="s">
        <v>224</v>
      </c>
      <c r="I112" s="25" t="s">
        <v>399</v>
      </c>
      <c r="J112" s="25"/>
      <c r="K112" s="23" t="str">
        <f>"120,0"</f>
        <v>120,0</v>
      </c>
      <c r="L112" s="24" t="str">
        <f>"74,6760"</f>
        <v>74,6760</v>
      </c>
      <c r="M112" s="23" t="s">
        <v>44</v>
      </c>
    </row>
    <row r="113" spans="1:13" ht="12.75">
      <c r="A113" s="23" t="s">
        <v>871</v>
      </c>
      <c r="B113" s="23" t="s">
        <v>872</v>
      </c>
      <c r="C113" s="23" t="s">
        <v>227</v>
      </c>
      <c r="D113" s="23" t="str">
        <f>"0,6096"</f>
        <v>0,6096</v>
      </c>
      <c r="E113" s="23" t="s">
        <v>17</v>
      </c>
      <c r="F113" s="23" t="s">
        <v>258</v>
      </c>
      <c r="G113" s="24" t="s">
        <v>236</v>
      </c>
      <c r="H113" s="24" t="s">
        <v>90</v>
      </c>
      <c r="I113" s="24" t="s">
        <v>38</v>
      </c>
      <c r="J113" s="25"/>
      <c r="K113" s="23" t="str">
        <f>"180,0"</f>
        <v>180,0</v>
      </c>
      <c r="L113" s="24" t="str">
        <f>"109,7280"</f>
        <v>109,7280</v>
      </c>
      <c r="M113" s="23" t="s">
        <v>873</v>
      </c>
    </row>
    <row r="114" spans="1:13" ht="12.75">
      <c r="A114" s="23" t="s">
        <v>874</v>
      </c>
      <c r="B114" s="23" t="s">
        <v>875</v>
      </c>
      <c r="C114" s="23" t="s">
        <v>876</v>
      </c>
      <c r="D114" s="23" t="str">
        <f>"0,6113"</f>
        <v>0,6113</v>
      </c>
      <c r="E114" s="23" t="s">
        <v>33</v>
      </c>
      <c r="F114" s="23" t="s">
        <v>34</v>
      </c>
      <c r="G114" s="25" t="s">
        <v>83</v>
      </c>
      <c r="H114" s="24" t="s">
        <v>53</v>
      </c>
      <c r="I114" s="25" t="s">
        <v>54</v>
      </c>
      <c r="J114" s="25"/>
      <c r="K114" s="23" t="str">
        <f>"160,0"</f>
        <v>160,0</v>
      </c>
      <c r="L114" s="24" t="str">
        <f>"97,8080"</f>
        <v>97,8080</v>
      </c>
      <c r="M114" s="23" t="s">
        <v>44</v>
      </c>
    </row>
    <row r="115" spans="1:13" ht="12.75">
      <c r="A115" s="23" t="s">
        <v>877</v>
      </c>
      <c r="B115" s="23" t="s">
        <v>878</v>
      </c>
      <c r="C115" s="23" t="s">
        <v>879</v>
      </c>
      <c r="D115" s="23" t="str">
        <f>"0,6139"</f>
        <v>0,6139</v>
      </c>
      <c r="E115" s="23" t="s">
        <v>33</v>
      </c>
      <c r="F115" s="23" t="s">
        <v>34</v>
      </c>
      <c r="G115" s="24" t="s">
        <v>102</v>
      </c>
      <c r="H115" s="24" t="s">
        <v>532</v>
      </c>
      <c r="I115" s="24" t="s">
        <v>21</v>
      </c>
      <c r="J115" s="25"/>
      <c r="K115" s="23" t="str">
        <f>"150,0"</f>
        <v>150,0</v>
      </c>
      <c r="L115" s="24" t="str">
        <f>"92,0850"</f>
        <v>92,0850</v>
      </c>
      <c r="M115" s="23" t="s">
        <v>44</v>
      </c>
    </row>
    <row r="116" spans="1:13" ht="12.75">
      <c r="A116" s="23" t="s">
        <v>880</v>
      </c>
      <c r="B116" s="23" t="s">
        <v>881</v>
      </c>
      <c r="C116" s="23" t="s">
        <v>882</v>
      </c>
      <c r="D116" s="23" t="str">
        <f>"0,6129"</f>
        <v>0,6129</v>
      </c>
      <c r="E116" s="23" t="s">
        <v>17</v>
      </c>
      <c r="F116" s="23" t="s">
        <v>96</v>
      </c>
      <c r="G116" s="25" t="s">
        <v>21</v>
      </c>
      <c r="H116" s="25" t="s">
        <v>21</v>
      </c>
      <c r="I116" s="24" t="s">
        <v>21</v>
      </c>
      <c r="J116" s="25"/>
      <c r="K116" s="23" t="str">
        <f>"150,0"</f>
        <v>150,0</v>
      </c>
      <c r="L116" s="24" t="str">
        <f>"91,9350"</f>
        <v>91,9350</v>
      </c>
      <c r="M116" s="23" t="s">
        <v>57</v>
      </c>
    </row>
    <row r="117" spans="1:13" ht="12.75">
      <c r="A117" s="23" t="s">
        <v>883</v>
      </c>
      <c r="B117" s="23" t="s">
        <v>884</v>
      </c>
      <c r="C117" s="23" t="s">
        <v>885</v>
      </c>
      <c r="D117" s="23" t="str">
        <f>"0,6108"</f>
        <v>0,6108</v>
      </c>
      <c r="E117" s="23" t="s">
        <v>17</v>
      </c>
      <c r="F117" s="23" t="s">
        <v>836</v>
      </c>
      <c r="G117" s="24" t="s">
        <v>82</v>
      </c>
      <c r="H117" s="25" t="s">
        <v>83</v>
      </c>
      <c r="I117" s="25" t="s">
        <v>83</v>
      </c>
      <c r="J117" s="25"/>
      <c r="K117" s="23" t="str">
        <f>"145,0"</f>
        <v>145,0</v>
      </c>
      <c r="L117" s="24" t="str">
        <f>"88,5660"</f>
        <v>88,5660</v>
      </c>
      <c r="M117" s="23" t="s">
        <v>44</v>
      </c>
    </row>
    <row r="118" spans="1:13" ht="12.75">
      <c r="A118" s="23" t="s">
        <v>886</v>
      </c>
      <c r="B118" s="23" t="s">
        <v>887</v>
      </c>
      <c r="C118" s="23" t="s">
        <v>888</v>
      </c>
      <c r="D118" s="23" t="str">
        <f>"0,6194"</f>
        <v>0,6194</v>
      </c>
      <c r="E118" s="23" t="s">
        <v>33</v>
      </c>
      <c r="F118" s="23" t="s">
        <v>34</v>
      </c>
      <c r="G118" s="25" t="s">
        <v>75</v>
      </c>
      <c r="H118" s="24" t="s">
        <v>224</v>
      </c>
      <c r="I118" s="24" t="s">
        <v>19</v>
      </c>
      <c r="J118" s="25"/>
      <c r="K118" s="23" t="str">
        <f>"130,0"</f>
        <v>130,0</v>
      </c>
      <c r="L118" s="24" t="str">
        <f>"80,5220"</f>
        <v>80,5220</v>
      </c>
      <c r="M118" s="23" t="s">
        <v>390</v>
      </c>
    </row>
    <row r="119" spans="1:13" ht="12.75">
      <c r="A119" s="23" t="s">
        <v>889</v>
      </c>
      <c r="B119" s="23" t="s">
        <v>890</v>
      </c>
      <c r="C119" s="23" t="s">
        <v>227</v>
      </c>
      <c r="D119" s="23" t="str">
        <f>"0,6096"</f>
        <v>0,6096</v>
      </c>
      <c r="E119" s="23" t="s">
        <v>17</v>
      </c>
      <c r="F119" s="23" t="s">
        <v>258</v>
      </c>
      <c r="G119" s="24" t="s">
        <v>236</v>
      </c>
      <c r="H119" s="24" t="s">
        <v>90</v>
      </c>
      <c r="I119" s="24" t="s">
        <v>38</v>
      </c>
      <c r="J119" s="25"/>
      <c r="K119" s="23" t="str">
        <f>"180,0"</f>
        <v>180,0</v>
      </c>
      <c r="L119" s="24" t="str">
        <f>"109,7280"</f>
        <v>109,7280</v>
      </c>
      <c r="M119" s="23" t="s">
        <v>873</v>
      </c>
    </row>
    <row r="120" spans="1:13" ht="12.75">
      <c r="A120" s="23" t="s">
        <v>892</v>
      </c>
      <c r="B120" s="23" t="s">
        <v>893</v>
      </c>
      <c r="C120" s="23" t="s">
        <v>894</v>
      </c>
      <c r="D120" s="23" t="str">
        <f>"0,6093"</f>
        <v>0,6093</v>
      </c>
      <c r="E120" s="23" t="s">
        <v>33</v>
      </c>
      <c r="F120" s="23" t="s">
        <v>34</v>
      </c>
      <c r="G120" s="25" t="s">
        <v>114</v>
      </c>
      <c r="H120" s="24" t="s">
        <v>114</v>
      </c>
      <c r="I120" s="24" t="s">
        <v>109</v>
      </c>
      <c r="J120" s="25"/>
      <c r="K120" s="23" t="str">
        <f>"167,5"</f>
        <v>167,5</v>
      </c>
      <c r="L120" s="24" t="str">
        <f>"104,0989"</f>
        <v>104,0989</v>
      </c>
      <c r="M120" s="23" t="s">
        <v>44</v>
      </c>
    </row>
    <row r="121" spans="1:13" ht="12.75">
      <c r="A121" s="12" t="s">
        <v>896</v>
      </c>
      <c r="B121" s="12" t="s">
        <v>897</v>
      </c>
      <c r="C121" s="12" t="s">
        <v>898</v>
      </c>
      <c r="D121" s="12" t="str">
        <f>"0,6131"</f>
        <v>0,6131</v>
      </c>
      <c r="E121" s="12" t="s">
        <v>33</v>
      </c>
      <c r="F121" s="12" t="s">
        <v>304</v>
      </c>
      <c r="G121" s="13" t="s">
        <v>82</v>
      </c>
      <c r="H121" s="13" t="s">
        <v>83</v>
      </c>
      <c r="I121" s="13" t="s">
        <v>114</v>
      </c>
      <c r="J121" s="14"/>
      <c r="K121" s="12" t="str">
        <f>"162,5"</f>
        <v>162,5</v>
      </c>
      <c r="L121" s="13" t="str">
        <f>"126,3293"</f>
        <v>126,3293</v>
      </c>
      <c r="M121" s="12" t="s">
        <v>44</v>
      </c>
    </row>
    <row r="123" spans="1:12" ht="15">
      <c r="A123" s="46" t="s">
        <v>29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3" ht="12.75">
      <c r="A124" s="9" t="s">
        <v>900</v>
      </c>
      <c r="B124" s="9" t="s">
        <v>901</v>
      </c>
      <c r="C124" s="9" t="s">
        <v>902</v>
      </c>
      <c r="D124" s="9" t="str">
        <f>"0,5895"</f>
        <v>0,5895</v>
      </c>
      <c r="E124" s="9" t="s">
        <v>33</v>
      </c>
      <c r="F124" s="9" t="s">
        <v>34</v>
      </c>
      <c r="G124" s="10" t="s">
        <v>26</v>
      </c>
      <c r="H124" s="10" t="s">
        <v>27</v>
      </c>
      <c r="I124" s="10" t="s">
        <v>127</v>
      </c>
      <c r="J124" s="11"/>
      <c r="K124" s="9" t="str">
        <f>"210,0"</f>
        <v>210,0</v>
      </c>
      <c r="L124" s="10" t="str">
        <f>"123,7950"</f>
        <v>123,7950</v>
      </c>
      <c r="M124" s="9" t="s">
        <v>44</v>
      </c>
    </row>
    <row r="125" spans="1:13" ht="12.75">
      <c r="A125" s="23" t="s">
        <v>903</v>
      </c>
      <c r="B125" s="23" t="s">
        <v>904</v>
      </c>
      <c r="C125" s="23" t="s">
        <v>905</v>
      </c>
      <c r="D125" s="23" t="str">
        <f>"0,5900"</f>
        <v>0,5900</v>
      </c>
      <c r="E125" s="23" t="s">
        <v>33</v>
      </c>
      <c r="F125" s="23" t="s">
        <v>34</v>
      </c>
      <c r="G125" s="24" t="s">
        <v>55</v>
      </c>
      <c r="H125" s="24" t="s">
        <v>25</v>
      </c>
      <c r="I125" s="24" t="s">
        <v>38</v>
      </c>
      <c r="J125" s="25"/>
      <c r="K125" s="23" t="str">
        <f>"180,0"</f>
        <v>180,0</v>
      </c>
      <c r="L125" s="24" t="str">
        <f>"106,2000"</f>
        <v>106,2000</v>
      </c>
      <c r="M125" s="23" t="s">
        <v>906</v>
      </c>
    </row>
    <row r="126" spans="1:13" ht="12.75">
      <c r="A126" s="23" t="s">
        <v>907</v>
      </c>
      <c r="B126" s="23" t="s">
        <v>908</v>
      </c>
      <c r="C126" s="23" t="s">
        <v>909</v>
      </c>
      <c r="D126" s="23" t="str">
        <f>"0,5890"</f>
        <v>0,5890</v>
      </c>
      <c r="E126" s="23" t="s">
        <v>33</v>
      </c>
      <c r="F126" s="23" t="s">
        <v>34</v>
      </c>
      <c r="G126" s="24" t="s">
        <v>55</v>
      </c>
      <c r="H126" s="25" t="s">
        <v>25</v>
      </c>
      <c r="I126" s="25"/>
      <c r="J126" s="25"/>
      <c r="K126" s="23" t="str">
        <f>"170,0"</f>
        <v>170,0</v>
      </c>
      <c r="L126" s="24" t="str">
        <f>"100,1300"</f>
        <v>100,1300</v>
      </c>
      <c r="M126" s="23" t="s">
        <v>910</v>
      </c>
    </row>
    <row r="127" spans="1:13" ht="12.75">
      <c r="A127" s="23" t="s">
        <v>911</v>
      </c>
      <c r="B127" s="23" t="s">
        <v>912</v>
      </c>
      <c r="C127" s="23" t="s">
        <v>913</v>
      </c>
      <c r="D127" s="23" t="str">
        <f>"0,5924"</f>
        <v>0,5924</v>
      </c>
      <c r="E127" s="23" t="s">
        <v>33</v>
      </c>
      <c r="F127" s="23" t="s">
        <v>34</v>
      </c>
      <c r="G127" s="25" t="s">
        <v>55</v>
      </c>
      <c r="H127" s="25"/>
      <c r="I127" s="25"/>
      <c r="J127" s="25"/>
      <c r="K127" s="23" t="str">
        <f>"0,0"</f>
        <v>0,0</v>
      </c>
      <c r="L127" s="24" t="str">
        <f>"0,0000"</f>
        <v>0,0000</v>
      </c>
      <c r="M127" s="23" t="s">
        <v>44</v>
      </c>
    </row>
    <row r="128" spans="1:13" ht="12.75">
      <c r="A128" s="23" t="s">
        <v>914</v>
      </c>
      <c r="B128" s="23" t="s">
        <v>915</v>
      </c>
      <c r="C128" s="23" t="s">
        <v>916</v>
      </c>
      <c r="D128" s="23" t="str">
        <f>"0,5902"</f>
        <v>0,5902</v>
      </c>
      <c r="E128" s="23" t="s">
        <v>17</v>
      </c>
      <c r="F128" s="23" t="s">
        <v>695</v>
      </c>
      <c r="G128" s="24" t="s">
        <v>109</v>
      </c>
      <c r="H128" s="24" t="s">
        <v>236</v>
      </c>
      <c r="I128" s="24" t="s">
        <v>25</v>
      </c>
      <c r="J128" s="25"/>
      <c r="K128" s="23" t="str">
        <f>"175,0"</f>
        <v>175,0</v>
      </c>
      <c r="L128" s="24" t="str">
        <f>"107,7263"</f>
        <v>107,7263</v>
      </c>
      <c r="M128" s="23" t="s">
        <v>917</v>
      </c>
    </row>
    <row r="129" spans="1:13" ht="12.75">
      <c r="A129" s="23" t="s">
        <v>918</v>
      </c>
      <c r="B129" s="23" t="s">
        <v>919</v>
      </c>
      <c r="C129" s="23" t="s">
        <v>920</v>
      </c>
      <c r="D129" s="23" t="str">
        <f>"0,5909"</f>
        <v>0,5909</v>
      </c>
      <c r="E129" s="23" t="s">
        <v>33</v>
      </c>
      <c r="F129" s="23" t="s">
        <v>34</v>
      </c>
      <c r="G129" s="24" t="s">
        <v>54</v>
      </c>
      <c r="H129" s="24" t="s">
        <v>55</v>
      </c>
      <c r="I129" s="25" t="s">
        <v>236</v>
      </c>
      <c r="J129" s="25"/>
      <c r="K129" s="23" t="str">
        <f>"170,0"</f>
        <v>170,0</v>
      </c>
      <c r="L129" s="24" t="str">
        <f>"105,9779"</f>
        <v>105,9779</v>
      </c>
      <c r="M129" s="23" t="s">
        <v>44</v>
      </c>
    </row>
    <row r="130" spans="1:13" ht="12.75">
      <c r="A130" s="12" t="s">
        <v>922</v>
      </c>
      <c r="B130" s="12" t="s">
        <v>923</v>
      </c>
      <c r="C130" s="12" t="s">
        <v>924</v>
      </c>
      <c r="D130" s="12" t="str">
        <f>"0,5907"</f>
        <v>0,5907</v>
      </c>
      <c r="E130" s="12" t="s">
        <v>33</v>
      </c>
      <c r="F130" s="12" t="s">
        <v>34</v>
      </c>
      <c r="G130" s="13" t="s">
        <v>114</v>
      </c>
      <c r="H130" s="14" t="s">
        <v>109</v>
      </c>
      <c r="I130" s="14" t="s">
        <v>109</v>
      </c>
      <c r="J130" s="14"/>
      <c r="K130" s="12" t="str">
        <f>"162,5"</f>
        <v>162,5</v>
      </c>
      <c r="L130" s="13" t="str">
        <f>"105,2997"</f>
        <v>105,2997</v>
      </c>
      <c r="M130" s="12" t="s">
        <v>44</v>
      </c>
    </row>
    <row r="132" spans="1:12" ht="15">
      <c r="A132" s="46" t="s">
        <v>45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3" ht="12.75">
      <c r="A133" s="9" t="s">
        <v>925</v>
      </c>
      <c r="B133" s="9" t="s">
        <v>926</v>
      </c>
      <c r="C133" s="9" t="s">
        <v>927</v>
      </c>
      <c r="D133" s="9" t="str">
        <f>"0,5785"</f>
        <v>0,5785</v>
      </c>
      <c r="E133" s="9" t="s">
        <v>17</v>
      </c>
      <c r="F133" s="9" t="s">
        <v>928</v>
      </c>
      <c r="G133" s="10" t="s">
        <v>25</v>
      </c>
      <c r="H133" s="10" t="s">
        <v>38</v>
      </c>
      <c r="I133" s="11" t="s">
        <v>39</v>
      </c>
      <c r="J133" s="11"/>
      <c r="K133" s="9" t="str">
        <f>"180,0"</f>
        <v>180,0</v>
      </c>
      <c r="L133" s="10" t="str">
        <f>"104,1300"</f>
        <v>104,1300</v>
      </c>
      <c r="M133" s="9" t="s">
        <v>929</v>
      </c>
    </row>
    <row r="134" spans="1:13" ht="12.75">
      <c r="A134" s="23" t="s">
        <v>930</v>
      </c>
      <c r="B134" s="23" t="s">
        <v>931</v>
      </c>
      <c r="C134" s="23" t="s">
        <v>932</v>
      </c>
      <c r="D134" s="23" t="str">
        <f>"0,5727"</f>
        <v>0,5727</v>
      </c>
      <c r="E134" s="23" t="s">
        <v>33</v>
      </c>
      <c r="F134" s="23" t="s">
        <v>34</v>
      </c>
      <c r="G134" s="24" t="s">
        <v>54</v>
      </c>
      <c r="H134" s="25" t="s">
        <v>55</v>
      </c>
      <c r="I134" s="25" t="s">
        <v>55</v>
      </c>
      <c r="J134" s="25"/>
      <c r="K134" s="23" t="str">
        <f>"165,0"</f>
        <v>165,0</v>
      </c>
      <c r="L134" s="24" t="str">
        <f>"94,4955"</f>
        <v>94,4955</v>
      </c>
      <c r="M134" s="23" t="s">
        <v>44</v>
      </c>
    </row>
    <row r="135" spans="1:13" ht="12.75">
      <c r="A135" s="12" t="s">
        <v>933</v>
      </c>
      <c r="B135" s="12" t="s">
        <v>934</v>
      </c>
      <c r="C135" s="12" t="s">
        <v>935</v>
      </c>
      <c r="D135" s="12" t="str">
        <f>"0,5716"</f>
        <v>0,5716</v>
      </c>
      <c r="E135" s="12" t="s">
        <v>33</v>
      </c>
      <c r="F135" s="12" t="s">
        <v>34</v>
      </c>
      <c r="G135" s="13" t="s">
        <v>55</v>
      </c>
      <c r="H135" s="13" t="s">
        <v>25</v>
      </c>
      <c r="I135" s="14" t="s">
        <v>38</v>
      </c>
      <c r="J135" s="14"/>
      <c r="K135" s="12" t="str">
        <f>"175,0"</f>
        <v>175,0</v>
      </c>
      <c r="L135" s="13" t="str">
        <f>"118,4355"</f>
        <v>118,4355</v>
      </c>
      <c r="M135" s="12" t="s">
        <v>57</v>
      </c>
    </row>
    <row r="137" spans="1:12" ht="15">
      <c r="A137" s="46" t="s">
        <v>591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3" ht="12.75">
      <c r="A138" s="9" t="s">
        <v>938</v>
      </c>
      <c r="B138" s="9" t="s">
        <v>939</v>
      </c>
      <c r="C138" s="9" t="s">
        <v>940</v>
      </c>
      <c r="D138" s="9" t="str">
        <f>"0,5684"</f>
        <v>0,5684</v>
      </c>
      <c r="E138" s="9" t="s">
        <v>33</v>
      </c>
      <c r="F138" s="9" t="s">
        <v>34</v>
      </c>
      <c r="G138" s="10" t="s">
        <v>116</v>
      </c>
      <c r="H138" s="11" t="s">
        <v>214</v>
      </c>
      <c r="I138" s="11" t="s">
        <v>214</v>
      </c>
      <c r="J138" s="11"/>
      <c r="K138" s="9" t="str">
        <f>"195,0"</f>
        <v>195,0</v>
      </c>
      <c r="L138" s="10" t="str">
        <f>"110,8380"</f>
        <v>110,8380</v>
      </c>
      <c r="M138" s="9" t="s">
        <v>941</v>
      </c>
    </row>
    <row r="139" spans="1:13" ht="12.75">
      <c r="A139" s="23" t="s">
        <v>937</v>
      </c>
      <c r="B139" s="23" t="s">
        <v>942</v>
      </c>
      <c r="C139" s="23" t="s">
        <v>940</v>
      </c>
      <c r="D139" s="23" t="str">
        <f>"0,5684"</f>
        <v>0,5684</v>
      </c>
      <c r="E139" s="23" t="s">
        <v>33</v>
      </c>
      <c r="F139" s="23" t="s">
        <v>34</v>
      </c>
      <c r="G139" s="24" t="s">
        <v>116</v>
      </c>
      <c r="H139" s="25" t="s">
        <v>214</v>
      </c>
      <c r="I139" s="25" t="s">
        <v>214</v>
      </c>
      <c r="J139" s="25"/>
      <c r="K139" s="23" t="str">
        <f>"195,0"</f>
        <v>195,0</v>
      </c>
      <c r="L139" s="24" t="str">
        <f>"110,8380"</f>
        <v>110,8380</v>
      </c>
      <c r="M139" s="23" t="s">
        <v>941</v>
      </c>
    </row>
    <row r="140" spans="1:13" ht="12.75">
      <c r="A140" s="23" t="s">
        <v>943</v>
      </c>
      <c r="B140" s="23" t="s">
        <v>944</v>
      </c>
      <c r="C140" s="23" t="s">
        <v>945</v>
      </c>
      <c r="D140" s="23" t="str">
        <f>"0,5655"</f>
        <v>0,5655</v>
      </c>
      <c r="E140" s="23" t="s">
        <v>33</v>
      </c>
      <c r="F140" s="23" t="s">
        <v>34</v>
      </c>
      <c r="G140" s="24" t="s">
        <v>83</v>
      </c>
      <c r="H140" s="24" t="s">
        <v>54</v>
      </c>
      <c r="I140" s="24" t="s">
        <v>236</v>
      </c>
      <c r="J140" s="25"/>
      <c r="K140" s="23" t="str">
        <f>"172,5"</f>
        <v>172,5</v>
      </c>
      <c r="L140" s="24" t="str">
        <f>"100,5728"</f>
        <v>100,5728</v>
      </c>
      <c r="M140" s="23" t="s">
        <v>44</v>
      </c>
    </row>
    <row r="141" spans="1:13" ht="12.75">
      <c r="A141" s="23" t="s">
        <v>946</v>
      </c>
      <c r="B141" s="23" t="s">
        <v>947</v>
      </c>
      <c r="C141" s="23" t="s">
        <v>948</v>
      </c>
      <c r="D141" s="23" t="str">
        <f>"0,5613"</f>
        <v>0,5613</v>
      </c>
      <c r="E141" s="23" t="s">
        <v>33</v>
      </c>
      <c r="F141" s="23" t="s">
        <v>34</v>
      </c>
      <c r="G141" s="24" t="s">
        <v>25</v>
      </c>
      <c r="H141" s="24" t="s">
        <v>39</v>
      </c>
      <c r="I141" s="25" t="s">
        <v>26</v>
      </c>
      <c r="J141" s="25"/>
      <c r="K141" s="23" t="str">
        <f>"185,0"</f>
        <v>185,0</v>
      </c>
      <c r="L141" s="24" t="str">
        <f>"119,1050"</f>
        <v>119,1050</v>
      </c>
      <c r="M141" s="23" t="s">
        <v>44</v>
      </c>
    </row>
    <row r="142" spans="1:14" ht="12.75">
      <c r="A142" s="51" t="s">
        <v>949</v>
      </c>
      <c r="B142" s="51" t="s">
        <v>950</v>
      </c>
      <c r="C142" s="51" t="s">
        <v>940</v>
      </c>
      <c r="D142" s="51" t="str">
        <f>"0,5684"</f>
        <v>0,5684</v>
      </c>
      <c r="E142" s="51" t="s">
        <v>951</v>
      </c>
      <c r="F142" s="51" t="s">
        <v>952</v>
      </c>
      <c r="G142" s="52" t="s">
        <v>114</v>
      </c>
      <c r="H142" s="52" t="s">
        <v>109</v>
      </c>
      <c r="I142" s="52" t="s">
        <v>55</v>
      </c>
      <c r="J142" s="53"/>
      <c r="K142" s="51" t="str">
        <f>"170,0"</f>
        <v>170,0</v>
      </c>
      <c r="L142" s="52" t="str">
        <f>"131,9939"</f>
        <v>131,9939</v>
      </c>
      <c r="M142" s="51" t="s">
        <v>953</v>
      </c>
      <c r="N142" s="50" t="s">
        <v>1333</v>
      </c>
    </row>
    <row r="143" spans="1:13" ht="12.75">
      <c r="A143" s="12" t="s">
        <v>954</v>
      </c>
      <c r="B143" s="12" t="s">
        <v>950</v>
      </c>
      <c r="C143" s="12" t="s">
        <v>940</v>
      </c>
      <c r="D143" s="12" t="str">
        <f>"0,5684"</f>
        <v>0,5684</v>
      </c>
      <c r="E143" s="12" t="s">
        <v>951</v>
      </c>
      <c r="F143" s="12" t="s">
        <v>952</v>
      </c>
      <c r="G143" s="14" t="s">
        <v>114</v>
      </c>
      <c r="H143" s="14"/>
      <c r="I143" s="14"/>
      <c r="J143" s="14"/>
      <c r="K143" s="12" t="str">
        <f>"0,0"</f>
        <v>0,0</v>
      </c>
      <c r="L143" s="13" t="str">
        <f>"0,0000"</f>
        <v>0,0000</v>
      </c>
      <c r="M143" s="12" t="s">
        <v>953</v>
      </c>
    </row>
    <row r="145" spans="1:12" ht="15">
      <c r="A145" s="46" t="s">
        <v>955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3" ht="12.75">
      <c r="A146" s="6" t="s">
        <v>957</v>
      </c>
      <c r="B146" s="6" t="s">
        <v>958</v>
      </c>
      <c r="C146" s="6" t="s">
        <v>959</v>
      </c>
      <c r="D146" s="6" t="str">
        <f>"0,5579"</f>
        <v>0,5579</v>
      </c>
      <c r="E146" s="6" t="s">
        <v>33</v>
      </c>
      <c r="F146" s="6" t="s">
        <v>34</v>
      </c>
      <c r="G146" s="7" t="s">
        <v>27</v>
      </c>
      <c r="H146" s="7" t="s">
        <v>127</v>
      </c>
      <c r="I146" s="7" t="s">
        <v>101</v>
      </c>
      <c r="J146" s="8"/>
      <c r="K146" s="6" t="str">
        <f>"220,0"</f>
        <v>220,0</v>
      </c>
      <c r="L146" s="7" t="str">
        <f>"122,7380"</f>
        <v>122,7380</v>
      </c>
      <c r="M146" s="6" t="s">
        <v>57</v>
      </c>
    </row>
    <row r="148" ht="15">
      <c r="E148" s="15" t="s">
        <v>59</v>
      </c>
    </row>
    <row r="149" ht="15">
      <c r="E149" s="15" t="s">
        <v>60</v>
      </c>
    </row>
    <row r="150" ht="15">
      <c r="E150" s="15"/>
    </row>
    <row r="152" spans="1:2" ht="18">
      <c r="A152" s="16" t="s">
        <v>64</v>
      </c>
      <c r="B152" s="16"/>
    </row>
    <row r="153" spans="1:2" ht="15">
      <c r="A153" s="17" t="s">
        <v>272</v>
      </c>
      <c r="B153" s="17"/>
    </row>
    <row r="154" spans="1:2" ht="14.25">
      <c r="A154" s="19"/>
      <c r="B154" s="20" t="s">
        <v>74</v>
      </c>
    </row>
    <row r="155" spans="1:5" ht="15">
      <c r="A155" s="21" t="s">
        <v>67</v>
      </c>
      <c r="B155" s="21" t="s">
        <v>68</v>
      </c>
      <c r="C155" s="21" t="s">
        <v>69</v>
      </c>
      <c r="D155" s="21" t="s">
        <v>70</v>
      </c>
      <c r="E155" s="21" t="s">
        <v>71</v>
      </c>
    </row>
    <row r="156" spans="1:5" ht="12.75">
      <c r="A156" s="18" t="s">
        <v>665</v>
      </c>
      <c r="B156" s="5" t="s">
        <v>74</v>
      </c>
      <c r="C156" s="5" t="s">
        <v>166</v>
      </c>
      <c r="D156" s="5" t="s">
        <v>638</v>
      </c>
      <c r="E156" s="22" t="s">
        <v>960</v>
      </c>
    </row>
    <row r="157" spans="1:5" ht="12.75">
      <c r="A157" s="18" t="s">
        <v>635</v>
      </c>
      <c r="B157" s="5" t="s">
        <v>74</v>
      </c>
      <c r="C157" s="5" t="s">
        <v>274</v>
      </c>
      <c r="D157" s="5" t="s">
        <v>168</v>
      </c>
      <c r="E157" s="22" t="s">
        <v>961</v>
      </c>
    </row>
    <row r="158" spans="1:5" ht="12.75">
      <c r="A158" s="18" t="s">
        <v>684</v>
      </c>
      <c r="B158" s="5" t="s">
        <v>74</v>
      </c>
      <c r="C158" s="5" t="s">
        <v>168</v>
      </c>
      <c r="D158" s="5" t="s">
        <v>273</v>
      </c>
      <c r="E158" s="22" t="s">
        <v>962</v>
      </c>
    </row>
    <row r="161" spans="1:2" ht="15">
      <c r="A161" s="17" t="s">
        <v>65</v>
      </c>
      <c r="B161" s="17"/>
    </row>
    <row r="162" spans="1:2" ht="14.25">
      <c r="A162" s="19"/>
      <c r="B162" s="20" t="s">
        <v>66</v>
      </c>
    </row>
    <row r="163" spans="1:5" ht="15">
      <c r="A163" s="21" t="s">
        <v>67</v>
      </c>
      <c r="B163" s="21" t="s">
        <v>68</v>
      </c>
      <c r="C163" s="21" t="s">
        <v>69</v>
      </c>
      <c r="D163" s="21" t="s">
        <v>70</v>
      </c>
      <c r="E163" s="21" t="s">
        <v>71</v>
      </c>
    </row>
    <row r="164" spans="1:5" ht="12.75">
      <c r="A164" s="18" t="s">
        <v>936</v>
      </c>
      <c r="B164" s="5" t="s">
        <v>72</v>
      </c>
      <c r="C164" s="5" t="s">
        <v>20</v>
      </c>
      <c r="D164" s="5" t="s">
        <v>116</v>
      </c>
      <c r="E164" s="22" t="s">
        <v>963</v>
      </c>
    </row>
    <row r="166" spans="1:2" ht="14.25">
      <c r="A166" s="19"/>
      <c r="B166" s="20" t="s">
        <v>74</v>
      </c>
    </row>
    <row r="167" spans="1:5" ht="15">
      <c r="A167" s="21" t="s">
        <v>67</v>
      </c>
      <c r="B167" s="21" t="s">
        <v>68</v>
      </c>
      <c r="C167" s="21" t="s">
        <v>69</v>
      </c>
      <c r="D167" s="21" t="s">
        <v>70</v>
      </c>
      <c r="E167" s="21" t="s">
        <v>71</v>
      </c>
    </row>
    <row r="168" spans="1:5" ht="12.75">
      <c r="A168" s="18" t="s">
        <v>899</v>
      </c>
      <c r="B168" s="5" t="s">
        <v>74</v>
      </c>
      <c r="C168" s="5" t="s">
        <v>75</v>
      </c>
      <c r="D168" s="5" t="s">
        <v>127</v>
      </c>
      <c r="E168" s="22" t="s">
        <v>964</v>
      </c>
    </row>
    <row r="169" spans="1:5" ht="12.75">
      <c r="A169" s="18" t="s">
        <v>956</v>
      </c>
      <c r="B169" s="5" t="s">
        <v>74</v>
      </c>
      <c r="C169" s="5" t="s">
        <v>298</v>
      </c>
      <c r="D169" s="5" t="s">
        <v>101</v>
      </c>
      <c r="E169" s="22" t="s">
        <v>965</v>
      </c>
    </row>
    <row r="170" spans="1:5" ht="12.75">
      <c r="A170" s="18" t="s">
        <v>936</v>
      </c>
      <c r="B170" s="5" t="s">
        <v>74</v>
      </c>
      <c r="C170" s="5" t="s">
        <v>20</v>
      </c>
      <c r="D170" s="5" t="s">
        <v>116</v>
      </c>
      <c r="E170" s="22" t="s">
        <v>963</v>
      </c>
    </row>
    <row r="172" spans="1:2" ht="14.25">
      <c r="A172" s="19"/>
      <c r="B172" s="20" t="s">
        <v>160</v>
      </c>
    </row>
    <row r="173" spans="1:5" ht="15">
      <c r="A173" s="21" t="s">
        <v>67</v>
      </c>
      <c r="B173" s="21" t="s">
        <v>68</v>
      </c>
      <c r="C173" s="21" t="s">
        <v>69</v>
      </c>
      <c r="D173" s="21" t="s">
        <v>70</v>
      </c>
      <c r="E173" s="21" t="s">
        <v>71</v>
      </c>
    </row>
    <row r="174" spans="1:5" ht="12.75">
      <c r="A174" s="18" t="s">
        <v>841</v>
      </c>
      <c r="B174" s="5" t="s">
        <v>278</v>
      </c>
      <c r="C174" s="5" t="s">
        <v>20</v>
      </c>
      <c r="D174" s="5" t="s">
        <v>55</v>
      </c>
      <c r="E174" s="22" t="s">
        <v>966</v>
      </c>
    </row>
    <row r="175" spans="1:5" ht="12.75">
      <c r="A175" s="18" t="s">
        <v>763</v>
      </c>
      <c r="B175" s="5" t="s">
        <v>278</v>
      </c>
      <c r="C175" s="5" t="s">
        <v>273</v>
      </c>
      <c r="D175" s="5" t="s">
        <v>73</v>
      </c>
      <c r="E175" s="22" t="s">
        <v>967</v>
      </c>
    </row>
    <row r="176" spans="1:5" ht="12.75">
      <c r="A176" s="18" t="s">
        <v>895</v>
      </c>
      <c r="B176" s="5" t="s">
        <v>968</v>
      </c>
      <c r="C176" s="5" t="s">
        <v>22</v>
      </c>
      <c r="D176" s="5" t="s">
        <v>114</v>
      </c>
      <c r="E176" s="22" t="s">
        <v>969</v>
      </c>
    </row>
  </sheetData>
  <sheetProtection/>
  <mergeCells count="29">
    <mergeCell ref="A145:L145"/>
    <mergeCell ref="A56:L56"/>
    <mergeCell ref="A66:L66"/>
    <mergeCell ref="A76:L76"/>
    <mergeCell ref="A95:L95"/>
    <mergeCell ref="A110:L110"/>
    <mergeCell ref="A123:L123"/>
    <mergeCell ref="A37:L37"/>
    <mergeCell ref="A44:L44"/>
    <mergeCell ref="A48:L48"/>
    <mergeCell ref="A52:L52"/>
    <mergeCell ref="A132:L132"/>
    <mergeCell ref="A137:L137"/>
    <mergeCell ref="M3:M4"/>
    <mergeCell ref="A5:L5"/>
    <mergeCell ref="A9:L9"/>
    <mergeCell ref="A12:L12"/>
    <mergeCell ref="A16:L16"/>
    <mergeCell ref="A27:L2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16.75390625" style="5" bestFit="1" customWidth="1"/>
    <col min="7" max="9" width="5.625" style="4" bestFit="1" customWidth="1"/>
    <col min="10" max="10" width="4.875" style="4" bestFit="1" customWidth="1"/>
    <col min="11" max="11" width="11.875" style="5" customWidth="1"/>
    <col min="12" max="12" width="8.625" style="4" bestFit="1" customWidth="1"/>
    <col min="13" max="13" width="15.375" style="5" bestFit="1" customWidth="1"/>
    <col min="14" max="14" width="16.875" style="4" customWidth="1"/>
    <col min="15" max="16384" width="9.125" style="4" customWidth="1"/>
  </cols>
  <sheetData>
    <row r="1" spans="1:13" s="3" customFormat="1" ht="28.5" customHeight="1">
      <c r="A1" s="32" t="s">
        <v>1124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2</v>
      </c>
      <c r="H3" s="42"/>
      <c r="I3" s="42"/>
      <c r="J3" s="42"/>
      <c r="K3" s="42" t="s">
        <v>279</v>
      </c>
      <c r="L3" s="42" t="s">
        <v>6</v>
      </c>
      <c r="M3" s="43" t="s">
        <v>5</v>
      </c>
    </row>
    <row r="4" spans="1:13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41"/>
      <c r="L4" s="41"/>
      <c r="M4" s="44"/>
    </row>
    <row r="5" spans="1:12" ht="15">
      <c r="A5" s="45" t="s">
        <v>162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4" ht="12.75">
      <c r="A6" s="47" t="s">
        <v>970</v>
      </c>
      <c r="B6" s="47" t="s">
        <v>971</v>
      </c>
      <c r="C6" s="47" t="s">
        <v>972</v>
      </c>
      <c r="D6" s="47" t="str">
        <f>"1,2466"</f>
        <v>1,2466</v>
      </c>
      <c r="E6" s="47" t="s">
        <v>33</v>
      </c>
      <c r="F6" s="47" t="s">
        <v>34</v>
      </c>
      <c r="G6" s="48" t="s">
        <v>488</v>
      </c>
      <c r="H6" s="49" t="s">
        <v>273</v>
      </c>
      <c r="I6" s="48" t="s">
        <v>384</v>
      </c>
      <c r="J6" s="49"/>
      <c r="K6" s="47" t="str">
        <f>"77,5"</f>
        <v>77,5</v>
      </c>
      <c r="L6" s="48" t="str">
        <f>"96,6115"</f>
        <v>96,6115</v>
      </c>
      <c r="M6" s="47" t="s">
        <v>973</v>
      </c>
      <c r="N6" s="50" t="s">
        <v>1333</v>
      </c>
    </row>
    <row r="8" spans="1:12" ht="15">
      <c r="A8" s="46" t="s">
        <v>170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4" ht="12.75">
      <c r="A9" s="47" t="s">
        <v>974</v>
      </c>
      <c r="B9" s="47" t="s">
        <v>975</v>
      </c>
      <c r="C9" s="47" t="s">
        <v>976</v>
      </c>
      <c r="D9" s="47" t="str">
        <f>"1,1783"</f>
        <v>1,1783</v>
      </c>
      <c r="E9" s="47" t="s">
        <v>33</v>
      </c>
      <c r="F9" s="47" t="s">
        <v>34</v>
      </c>
      <c r="G9" s="48" t="s">
        <v>75</v>
      </c>
      <c r="H9" s="48" t="s">
        <v>374</v>
      </c>
      <c r="I9" s="49" t="s">
        <v>224</v>
      </c>
      <c r="J9" s="49"/>
      <c r="K9" s="47" t="str">
        <f>"115,0"</f>
        <v>115,0</v>
      </c>
      <c r="L9" s="48" t="str">
        <f>"135,5045"</f>
        <v>135,5045</v>
      </c>
      <c r="M9" s="47" t="s">
        <v>973</v>
      </c>
      <c r="N9" s="50" t="s">
        <v>1333</v>
      </c>
    </row>
    <row r="11" spans="1:12" ht="15">
      <c r="A11" s="46" t="s">
        <v>177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4" ht="12.75">
      <c r="A12" s="57" t="s">
        <v>977</v>
      </c>
      <c r="B12" s="57" t="s">
        <v>978</v>
      </c>
      <c r="C12" s="57" t="s">
        <v>403</v>
      </c>
      <c r="D12" s="57" t="str">
        <f>"1,1447"</f>
        <v>1,1447</v>
      </c>
      <c r="E12" s="57" t="s">
        <v>33</v>
      </c>
      <c r="F12" s="57" t="s">
        <v>34</v>
      </c>
      <c r="G12" s="58" t="s">
        <v>23</v>
      </c>
      <c r="H12" s="59" t="s">
        <v>24</v>
      </c>
      <c r="I12" s="58" t="s">
        <v>24</v>
      </c>
      <c r="J12" s="59"/>
      <c r="K12" s="57" t="str">
        <f>"112,5"</f>
        <v>112,5</v>
      </c>
      <c r="L12" s="58" t="str">
        <f>"128,7788"</f>
        <v>128,7788</v>
      </c>
      <c r="M12" s="57" t="s">
        <v>44</v>
      </c>
      <c r="N12" s="50" t="s">
        <v>1333</v>
      </c>
    </row>
    <row r="13" spans="1:13" ht="12.75">
      <c r="A13" s="12" t="s">
        <v>977</v>
      </c>
      <c r="B13" s="12" t="s">
        <v>979</v>
      </c>
      <c r="C13" s="12" t="s">
        <v>403</v>
      </c>
      <c r="D13" s="12" t="str">
        <f>"1,1447"</f>
        <v>1,1447</v>
      </c>
      <c r="E13" s="12" t="s">
        <v>33</v>
      </c>
      <c r="F13" s="12" t="s">
        <v>34</v>
      </c>
      <c r="G13" s="13" t="s">
        <v>23</v>
      </c>
      <c r="H13" s="14" t="s">
        <v>24</v>
      </c>
      <c r="I13" s="13" t="s">
        <v>24</v>
      </c>
      <c r="J13" s="14"/>
      <c r="K13" s="12" t="str">
        <f>"112,5"</f>
        <v>112,5</v>
      </c>
      <c r="L13" s="13" t="str">
        <f>"128,7788"</f>
        <v>128,7788</v>
      </c>
      <c r="M13" s="12" t="s">
        <v>44</v>
      </c>
    </row>
    <row r="15" spans="1:12" ht="15">
      <c r="A15" s="46" t="s">
        <v>85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3" ht="12.75">
      <c r="A16" s="6" t="s">
        <v>980</v>
      </c>
      <c r="B16" s="6" t="s">
        <v>981</v>
      </c>
      <c r="C16" s="6" t="s">
        <v>982</v>
      </c>
      <c r="D16" s="6" t="str">
        <f>"0,6285"</f>
        <v>0,6285</v>
      </c>
      <c r="E16" s="6" t="s">
        <v>33</v>
      </c>
      <c r="F16" s="6" t="s">
        <v>34</v>
      </c>
      <c r="G16" s="7" t="s">
        <v>236</v>
      </c>
      <c r="H16" s="7" t="s">
        <v>90</v>
      </c>
      <c r="I16" s="8" t="s">
        <v>38</v>
      </c>
      <c r="J16" s="8"/>
      <c r="K16" s="6" t="str">
        <f>"177,5"</f>
        <v>177,5</v>
      </c>
      <c r="L16" s="7" t="str">
        <f>"111,5587"</f>
        <v>111,5587</v>
      </c>
      <c r="M16" s="6" t="s">
        <v>292</v>
      </c>
    </row>
    <row r="18" ht="15">
      <c r="E18" s="15" t="s">
        <v>59</v>
      </c>
    </row>
    <row r="19" ht="15">
      <c r="E19" s="15" t="s">
        <v>60</v>
      </c>
    </row>
    <row r="20" ht="15">
      <c r="E20" s="15"/>
    </row>
  </sheetData>
  <sheetProtection/>
  <mergeCells count="15">
    <mergeCell ref="A15:L15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C44">
      <selection activeCell="N72" sqref="N72"/>
    </sheetView>
  </sheetViews>
  <sheetFormatPr defaultColWidth="9.00390625" defaultRowHeight="12.75"/>
  <cols>
    <col min="1" max="1" width="31.25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6.125" style="5" bestFit="1" customWidth="1"/>
    <col min="7" max="9" width="5.625" style="4" bestFit="1" customWidth="1"/>
    <col min="10" max="10" width="4.875" style="4" bestFit="1" customWidth="1"/>
    <col min="11" max="11" width="12.125" style="5" customWidth="1"/>
    <col min="12" max="12" width="8.625" style="4" bestFit="1" customWidth="1"/>
    <col min="13" max="13" width="23.375" style="5" bestFit="1" customWidth="1"/>
    <col min="14" max="14" width="16.875" style="4" customWidth="1"/>
    <col min="15" max="16384" width="9.125" style="4" customWidth="1"/>
  </cols>
  <sheetData>
    <row r="1" spans="1:13" s="3" customFormat="1" ht="28.5" customHeight="1">
      <c r="A1" s="32" t="s">
        <v>1123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3</v>
      </c>
      <c r="H3" s="42"/>
      <c r="I3" s="42"/>
      <c r="J3" s="42"/>
      <c r="K3" s="42" t="s">
        <v>279</v>
      </c>
      <c r="L3" s="42" t="s">
        <v>6</v>
      </c>
      <c r="M3" s="43" t="s">
        <v>5</v>
      </c>
    </row>
    <row r="4" spans="1:13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41"/>
      <c r="L4" s="41"/>
      <c r="M4" s="44"/>
    </row>
    <row r="5" spans="1:12" ht="15">
      <c r="A5" s="45" t="s">
        <v>367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9" t="s">
        <v>984</v>
      </c>
      <c r="B6" s="9" t="s">
        <v>985</v>
      </c>
      <c r="C6" s="9" t="s">
        <v>986</v>
      </c>
      <c r="D6" s="9" t="str">
        <f>"1,3511"</f>
        <v>1,3511</v>
      </c>
      <c r="E6" s="9" t="s">
        <v>33</v>
      </c>
      <c r="F6" s="9" t="s">
        <v>34</v>
      </c>
      <c r="G6" s="10" t="s">
        <v>208</v>
      </c>
      <c r="H6" s="10" t="s">
        <v>427</v>
      </c>
      <c r="I6" s="10" t="s">
        <v>399</v>
      </c>
      <c r="J6" s="11"/>
      <c r="K6" s="9" t="str">
        <f>"127,5"</f>
        <v>127,5</v>
      </c>
      <c r="L6" s="10" t="str">
        <f>"172,2652"</f>
        <v>172,2652</v>
      </c>
      <c r="M6" s="9" t="s">
        <v>987</v>
      </c>
    </row>
    <row r="7" spans="1:13" ht="12.75">
      <c r="A7" s="23" t="s">
        <v>988</v>
      </c>
      <c r="B7" s="23" t="s">
        <v>989</v>
      </c>
      <c r="C7" s="23" t="s">
        <v>990</v>
      </c>
      <c r="D7" s="23" t="str">
        <f>"1,3387"</f>
        <v>1,3387</v>
      </c>
      <c r="E7" s="23" t="s">
        <v>33</v>
      </c>
      <c r="F7" s="23" t="s">
        <v>34</v>
      </c>
      <c r="G7" s="24" t="s">
        <v>389</v>
      </c>
      <c r="H7" s="24" t="s">
        <v>23</v>
      </c>
      <c r="I7" s="24" t="s">
        <v>24</v>
      </c>
      <c r="J7" s="25"/>
      <c r="K7" s="23" t="str">
        <f>"112,5"</f>
        <v>112,5</v>
      </c>
      <c r="L7" s="24" t="str">
        <f>"150,6038"</f>
        <v>150,6038</v>
      </c>
      <c r="M7" s="23" t="s">
        <v>991</v>
      </c>
    </row>
    <row r="8" spans="1:13" ht="12.75">
      <c r="A8" s="12" t="s">
        <v>992</v>
      </c>
      <c r="B8" s="12" t="s">
        <v>993</v>
      </c>
      <c r="C8" s="12" t="s">
        <v>994</v>
      </c>
      <c r="D8" s="12" t="str">
        <f>"1,3244"</f>
        <v>1,3244</v>
      </c>
      <c r="E8" s="12" t="s">
        <v>33</v>
      </c>
      <c r="F8" s="12" t="s">
        <v>18</v>
      </c>
      <c r="G8" s="13" t="s">
        <v>384</v>
      </c>
      <c r="H8" s="13" t="s">
        <v>76</v>
      </c>
      <c r="I8" s="14" t="s">
        <v>377</v>
      </c>
      <c r="J8" s="14"/>
      <c r="K8" s="12" t="str">
        <f>"82,5"</f>
        <v>82,5</v>
      </c>
      <c r="L8" s="13" t="str">
        <f>"109,2630"</f>
        <v>109,2630</v>
      </c>
      <c r="M8" s="12" t="s">
        <v>929</v>
      </c>
    </row>
    <row r="10" spans="1:12" ht="15">
      <c r="A10" s="46" t="s">
        <v>162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3" ht="12.75">
      <c r="A11" s="9" t="s">
        <v>995</v>
      </c>
      <c r="B11" s="9" t="s">
        <v>996</v>
      </c>
      <c r="C11" s="9" t="s">
        <v>997</v>
      </c>
      <c r="D11" s="9" t="str">
        <f>"1,2560"</f>
        <v>1,2560</v>
      </c>
      <c r="E11" s="9" t="s">
        <v>33</v>
      </c>
      <c r="F11" s="9" t="s">
        <v>34</v>
      </c>
      <c r="G11" s="11" t="s">
        <v>24</v>
      </c>
      <c r="H11" s="10" t="s">
        <v>24</v>
      </c>
      <c r="I11" s="10" t="s">
        <v>224</v>
      </c>
      <c r="J11" s="11"/>
      <c r="K11" s="9" t="str">
        <f>"120,0"</f>
        <v>120,0</v>
      </c>
      <c r="L11" s="10" t="str">
        <f>"150,7200"</f>
        <v>150,7200</v>
      </c>
      <c r="M11" s="9" t="s">
        <v>44</v>
      </c>
    </row>
    <row r="12" spans="1:13" ht="12.75">
      <c r="A12" s="12" t="s">
        <v>998</v>
      </c>
      <c r="B12" s="12" t="s">
        <v>999</v>
      </c>
      <c r="C12" s="12" t="s">
        <v>997</v>
      </c>
      <c r="D12" s="12" t="str">
        <f>"1,2560"</f>
        <v>1,2560</v>
      </c>
      <c r="E12" s="12" t="s">
        <v>33</v>
      </c>
      <c r="F12" s="12" t="s">
        <v>34</v>
      </c>
      <c r="G12" s="13" t="s">
        <v>309</v>
      </c>
      <c r="H12" s="13" t="s">
        <v>378</v>
      </c>
      <c r="I12" s="13" t="s">
        <v>389</v>
      </c>
      <c r="J12" s="14"/>
      <c r="K12" s="12" t="str">
        <f>"102,5"</f>
        <v>102,5</v>
      </c>
      <c r="L12" s="13" t="str">
        <f>"128,7400"</f>
        <v>128,7400</v>
      </c>
      <c r="M12" s="12" t="s">
        <v>1000</v>
      </c>
    </row>
    <row r="14" spans="1:12" ht="15">
      <c r="A14" s="46" t="s">
        <v>170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3" ht="12.75">
      <c r="A15" s="9" t="s">
        <v>1001</v>
      </c>
      <c r="B15" s="9" t="s">
        <v>633</v>
      </c>
      <c r="C15" s="9" t="s">
        <v>387</v>
      </c>
      <c r="D15" s="9" t="str">
        <f>"1,1916"</f>
        <v>1,1916</v>
      </c>
      <c r="E15" s="9" t="s">
        <v>33</v>
      </c>
      <c r="F15" s="9" t="s">
        <v>34</v>
      </c>
      <c r="G15" s="10" t="s">
        <v>187</v>
      </c>
      <c r="H15" s="10" t="s">
        <v>23</v>
      </c>
      <c r="I15" s="11" t="s">
        <v>24</v>
      </c>
      <c r="J15" s="11"/>
      <c r="K15" s="9" t="str">
        <f>"107,5"</f>
        <v>107,5</v>
      </c>
      <c r="L15" s="10" t="str">
        <f>"128,0970"</f>
        <v>128,0970</v>
      </c>
      <c r="M15" s="9" t="s">
        <v>634</v>
      </c>
    </row>
    <row r="16" spans="1:13" ht="12.75">
      <c r="A16" s="23" t="s">
        <v>457</v>
      </c>
      <c r="B16" s="23" t="s">
        <v>458</v>
      </c>
      <c r="C16" s="23" t="s">
        <v>459</v>
      </c>
      <c r="D16" s="23" t="str">
        <f>"1,2123"</f>
        <v>1,2123</v>
      </c>
      <c r="E16" s="23" t="s">
        <v>33</v>
      </c>
      <c r="F16" s="23" t="s">
        <v>34</v>
      </c>
      <c r="G16" s="24" t="s">
        <v>19</v>
      </c>
      <c r="H16" s="24" t="s">
        <v>121</v>
      </c>
      <c r="I16" s="25" t="s">
        <v>532</v>
      </c>
      <c r="J16" s="25"/>
      <c r="K16" s="23" t="str">
        <f>"137,5"</f>
        <v>137,5</v>
      </c>
      <c r="L16" s="24" t="str">
        <f>"166,6912"</f>
        <v>166,6912</v>
      </c>
      <c r="M16" s="23" t="s">
        <v>456</v>
      </c>
    </row>
    <row r="17" spans="1:13" ht="12.75">
      <c r="A17" s="12" t="s">
        <v>1002</v>
      </c>
      <c r="B17" s="12" t="s">
        <v>1003</v>
      </c>
      <c r="C17" s="12" t="s">
        <v>1004</v>
      </c>
      <c r="D17" s="12" t="str">
        <f>"1,2194"</f>
        <v>1,2194</v>
      </c>
      <c r="E17" s="12" t="s">
        <v>33</v>
      </c>
      <c r="F17" s="12" t="s">
        <v>34</v>
      </c>
      <c r="G17" s="14" t="s">
        <v>23</v>
      </c>
      <c r="H17" s="14" t="s">
        <v>23</v>
      </c>
      <c r="I17" s="14" t="s">
        <v>23</v>
      </c>
      <c r="J17" s="14"/>
      <c r="K17" s="12" t="str">
        <f>"0,0"</f>
        <v>0,0</v>
      </c>
      <c r="L17" s="13" t="str">
        <f>"0,0000"</f>
        <v>0,0000</v>
      </c>
      <c r="M17" s="12" t="s">
        <v>1005</v>
      </c>
    </row>
    <row r="19" spans="1:12" ht="15">
      <c r="A19" s="46" t="s">
        <v>177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3" ht="12.75">
      <c r="A20" s="9" t="s">
        <v>1006</v>
      </c>
      <c r="B20" s="9" t="s">
        <v>1007</v>
      </c>
      <c r="C20" s="9" t="s">
        <v>1008</v>
      </c>
      <c r="D20" s="9" t="str">
        <f>"1,1494"</f>
        <v>1,1494</v>
      </c>
      <c r="E20" s="9" t="s">
        <v>33</v>
      </c>
      <c r="F20" s="9" t="s">
        <v>34</v>
      </c>
      <c r="G20" s="10" t="s">
        <v>224</v>
      </c>
      <c r="H20" s="10" t="s">
        <v>73</v>
      </c>
      <c r="I20" s="10" t="s">
        <v>753</v>
      </c>
      <c r="J20" s="11"/>
      <c r="K20" s="9" t="str">
        <f>"132,5"</f>
        <v>132,5</v>
      </c>
      <c r="L20" s="10" t="str">
        <f>"152,2955"</f>
        <v>152,2955</v>
      </c>
      <c r="M20" s="9" t="s">
        <v>817</v>
      </c>
    </row>
    <row r="21" spans="1:13" ht="12.75">
      <c r="A21" s="23" t="s">
        <v>1009</v>
      </c>
      <c r="B21" s="23" t="s">
        <v>1010</v>
      </c>
      <c r="C21" s="23" t="s">
        <v>1011</v>
      </c>
      <c r="D21" s="23" t="str">
        <f>"1,1236"</f>
        <v>1,1236</v>
      </c>
      <c r="E21" s="23" t="s">
        <v>33</v>
      </c>
      <c r="F21" s="23" t="s">
        <v>34</v>
      </c>
      <c r="G21" s="24" t="s">
        <v>427</v>
      </c>
      <c r="H21" s="25" t="s">
        <v>399</v>
      </c>
      <c r="I21" s="25" t="s">
        <v>399</v>
      </c>
      <c r="J21" s="25"/>
      <c r="K21" s="23" t="str">
        <f>"122,5"</f>
        <v>122,5</v>
      </c>
      <c r="L21" s="24" t="str">
        <f>"137,6410"</f>
        <v>137,6410</v>
      </c>
      <c r="M21" s="23" t="s">
        <v>991</v>
      </c>
    </row>
    <row r="22" spans="1:13" ht="12.75">
      <c r="A22" s="12" t="s">
        <v>1012</v>
      </c>
      <c r="B22" s="12" t="s">
        <v>1013</v>
      </c>
      <c r="C22" s="12" t="s">
        <v>1014</v>
      </c>
      <c r="D22" s="12" t="str">
        <f>"1,1463"</f>
        <v>1,1463</v>
      </c>
      <c r="E22" s="12" t="s">
        <v>33</v>
      </c>
      <c r="F22" s="12" t="s">
        <v>34</v>
      </c>
      <c r="G22" s="13" t="s">
        <v>203</v>
      </c>
      <c r="H22" s="13" t="s">
        <v>75</v>
      </c>
      <c r="I22" s="13" t="s">
        <v>208</v>
      </c>
      <c r="J22" s="14"/>
      <c r="K22" s="12" t="str">
        <f>"117,5"</f>
        <v>117,5</v>
      </c>
      <c r="L22" s="13" t="str">
        <f>"134,6902"</f>
        <v>134,6902</v>
      </c>
      <c r="M22" s="12" t="s">
        <v>1015</v>
      </c>
    </row>
    <row r="24" spans="1:12" ht="15">
      <c r="A24" s="46" t="s">
        <v>189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3" ht="12.75">
      <c r="A25" s="9" t="s">
        <v>1016</v>
      </c>
      <c r="B25" s="9" t="s">
        <v>1017</v>
      </c>
      <c r="C25" s="9" t="s">
        <v>1018</v>
      </c>
      <c r="D25" s="9" t="str">
        <f>"1,0925"</f>
        <v>1,0925</v>
      </c>
      <c r="E25" s="9" t="s">
        <v>33</v>
      </c>
      <c r="F25" s="9" t="s">
        <v>34</v>
      </c>
      <c r="G25" s="10" t="s">
        <v>388</v>
      </c>
      <c r="H25" s="10" t="s">
        <v>203</v>
      </c>
      <c r="I25" s="10" t="s">
        <v>75</v>
      </c>
      <c r="J25" s="11"/>
      <c r="K25" s="9" t="str">
        <f>"110,0"</f>
        <v>110,0</v>
      </c>
      <c r="L25" s="10" t="str">
        <f>"120,1750"</f>
        <v>120,1750</v>
      </c>
      <c r="M25" s="9" t="s">
        <v>57</v>
      </c>
    </row>
    <row r="26" spans="1:13" ht="12.75">
      <c r="A26" s="12" t="s">
        <v>1019</v>
      </c>
      <c r="B26" s="12" t="s">
        <v>897</v>
      </c>
      <c r="C26" s="12" t="s">
        <v>1020</v>
      </c>
      <c r="D26" s="12" t="str">
        <f>"1,0306"</f>
        <v>1,0306</v>
      </c>
      <c r="E26" s="12" t="s">
        <v>33</v>
      </c>
      <c r="F26" s="12" t="s">
        <v>34</v>
      </c>
      <c r="G26" s="13" t="s">
        <v>22</v>
      </c>
      <c r="H26" s="13" t="s">
        <v>75</v>
      </c>
      <c r="I26" s="13" t="s">
        <v>374</v>
      </c>
      <c r="J26" s="14"/>
      <c r="K26" s="12" t="str">
        <f>"115,0"</f>
        <v>115,0</v>
      </c>
      <c r="L26" s="13" t="str">
        <f>"150,2821"</f>
        <v>150,2821</v>
      </c>
      <c r="M26" s="12" t="s">
        <v>1015</v>
      </c>
    </row>
    <row r="28" spans="1:12" ht="15">
      <c r="A28" s="46" t="s">
        <v>183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3" ht="12.75">
      <c r="A29" s="6" t="s">
        <v>1021</v>
      </c>
      <c r="B29" s="6" t="s">
        <v>1022</v>
      </c>
      <c r="C29" s="6" t="s">
        <v>1023</v>
      </c>
      <c r="D29" s="6" t="str">
        <f>"0,9655"</f>
        <v>0,9655</v>
      </c>
      <c r="E29" s="6" t="s">
        <v>17</v>
      </c>
      <c r="F29" s="6" t="s">
        <v>799</v>
      </c>
      <c r="G29" s="7" t="s">
        <v>394</v>
      </c>
      <c r="H29" s="7" t="s">
        <v>378</v>
      </c>
      <c r="I29" s="7" t="s">
        <v>389</v>
      </c>
      <c r="J29" s="8"/>
      <c r="K29" s="6" t="str">
        <f>"102,5"</f>
        <v>102,5</v>
      </c>
      <c r="L29" s="7" t="str">
        <f>"98,9637"</f>
        <v>98,9637</v>
      </c>
      <c r="M29" s="6" t="s">
        <v>1024</v>
      </c>
    </row>
    <row r="31" spans="1:12" ht="15">
      <c r="A31" s="46" t="s">
        <v>189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3" ht="12.75">
      <c r="A32" s="9" t="s">
        <v>1025</v>
      </c>
      <c r="B32" s="9" t="s">
        <v>1026</v>
      </c>
      <c r="C32" s="9" t="s">
        <v>1020</v>
      </c>
      <c r="D32" s="9" t="str">
        <f>"0,7794"</f>
        <v>0,7794</v>
      </c>
      <c r="E32" s="9" t="s">
        <v>33</v>
      </c>
      <c r="F32" s="9" t="s">
        <v>1027</v>
      </c>
      <c r="G32" s="10" t="s">
        <v>102</v>
      </c>
      <c r="H32" s="11" t="s">
        <v>82</v>
      </c>
      <c r="I32" s="11" t="s">
        <v>82</v>
      </c>
      <c r="J32" s="11"/>
      <c r="K32" s="9" t="str">
        <f>"135,0"</f>
        <v>135,0</v>
      </c>
      <c r="L32" s="10" t="str">
        <f>"105,2190"</f>
        <v>105,2190</v>
      </c>
      <c r="M32" s="9" t="s">
        <v>1028</v>
      </c>
    </row>
    <row r="33" spans="1:13" ht="12.75">
      <c r="A33" s="23" t="s">
        <v>1029</v>
      </c>
      <c r="B33" s="23" t="s">
        <v>1030</v>
      </c>
      <c r="C33" s="23" t="s">
        <v>1031</v>
      </c>
      <c r="D33" s="23" t="str">
        <f>"0,8341"</f>
        <v>0,8341</v>
      </c>
      <c r="E33" s="23" t="s">
        <v>33</v>
      </c>
      <c r="F33" s="23" t="s">
        <v>34</v>
      </c>
      <c r="G33" s="25" t="s">
        <v>22</v>
      </c>
      <c r="H33" s="25" t="s">
        <v>203</v>
      </c>
      <c r="I33" s="24" t="s">
        <v>203</v>
      </c>
      <c r="J33" s="25"/>
      <c r="K33" s="23" t="str">
        <f>"105,0"</f>
        <v>105,0</v>
      </c>
      <c r="L33" s="24" t="str">
        <f>"87,5805"</f>
        <v>87,5805</v>
      </c>
      <c r="M33" s="23" t="s">
        <v>1032</v>
      </c>
    </row>
    <row r="34" spans="1:13" ht="12.75">
      <c r="A34" s="23" t="s">
        <v>1033</v>
      </c>
      <c r="B34" s="23" t="s">
        <v>1034</v>
      </c>
      <c r="C34" s="23" t="s">
        <v>1035</v>
      </c>
      <c r="D34" s="23" t="str">
        <f>"0,7862"</f>
        <v>0,7862</v>
      </c>
      <c r="E34" s="23" t="s">
        <v>33</v>
      </c>
      <c r="F34" s="23" t="s">
        <v>34</v>
      </c>
      <c r="G34" s="24" t="s">
        <v>83</v>
      </c>
      <c r="H34" s="25" t="s">
        <v>114</v>
      </c>
      <c r="I34" s="25" t="s">
        <v>114</v>
      </c>
      <c r="J34" s="25"/>
      <c r="K34" s="23" t="str">
        <f>"155,0"</f>
        <v>155,0</v>
      </c>
      <c r="L34" s="24" t="str">
        <f>"121,8610"</f>
        <v>121,8610</v>
      </c>
      <c r="M34" s="23" t="s">
        <v>650</v>
      </c>
    </row>
    <row r="35" spans="1:13" ht="12.75">
      <c r="A35" s="23" t="s">
        <v>1036</v>
      </c>
      <c r="B35" s="23" t="s">
        <v>739</v>
      </c>
      <c r="C35" s="23" t="s">
        <v>736</v>
      </c>
      <c r="D35" s="23" t="str">
        <f>"0,7729"</f>
        <v>0,7729</v>
      </c>
      <c r="E35" s="23" t="s">
        <v>33</v>
      </c>
      <c r="F35" s="23" t="s">
        <v>34</v>
      </c>
      <c r="G35" s="24" t="s">
        <v>224</v>
      </c>
      <c r="H35" s="24" t="s">
        <v>102</v>
      </c>
      <c r="I35" s="24" t="s">
        <v>121</v>
      </c>
      <c r="J35" s="25"/>
      <c r="K35" s="23" t="str">
        <f>"137,5"</f>
        <v>137,5</v>
      </c>
      <c r="L35" s="24" t="str">
        <f>"106,2737"</f>
        <v>106,2737</v>
      </c>
      <c r="M35" s="23" t="s">
        <v>44</v>
      </c>
    </row>
    <row r="36" spans="1:13" ht="12.75">
      <c r="A36" s="12" t="s">
        <v>416</v>
      </c>
      <c r="B36" s="12" t="s">
        <v>418</v>
      </c>
      <c r="C36" s="12" t="s">
        <v>419</v>
      </c>
      <c r="D36" s="12" t="str">
        <f>"0,7756"</f>
        <v>0,7756</v>
      </c>
      <c r="E36" s="12" t="s">
        <v>33</v>
      </c>
      <c r="F36" s="12" t="s">
        <v>34</v>
      </c>
      <c r="G36" s="13" t="s">
        <v>224</v>
      </c>
      <c r="H36" s="13" t="s">
        <v>19</v>
      </c>
      <c r="I36" s="14"/>
      <c r="J36" s="14"/>
      <c r="K36" s="12" t="str">
        <f>"130,0"</f>
        <v>130,0</v>
      </c>
      <c r="L36" s="13" t="str">
        <f>"117,4646"</f>
        <v>117,4646</v>
      </c>
      <c r="M36" s="12" t="s">
        <v>420</v>
      </c>
    </row>
    <row r="38" spans="1:12" ht="15">
      <c r="A38" s="46" t="s">
        <v>183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3" ht="12.75">
      <c r="A39" s="9" t="s">
        <v>1037</v>
      </c>
      <c r="B39" s="9" t="s">
        <v>517</v>
      </c>
      <c r="C39" s="9" t="s">
        <v>518</v>
      </c>
      <c r="D39" s="9" t="str">
        <f>"0,7612"</f>
        <v>0,7612</v>
      </c>
      <c r="E39" s="9" t="s">
        <v>33</v>
      </c>
      <c r="F39" s="9" t="s">
        <v>18</v>
      </c>
      <c r="G39" s="10" t="s">
        <v>20</v>
      </c>
      <c r="H39" s="10" t="s">
        <v>21</v>
      </c>
      <c r="I39" s="11"/>
      <c r="J39" s="11"/>
      <c r="K39" s="9" t="str">
        <f>"150,0"</f>
        <v>150,0</v>
      </c>
      <c r="L39" s="10" t="str">
        <f>"114,1800"</f>
        <v>114,1800</v>
      </c>
      <c r="M39" s="9" t="s">
        <v>28</v>
      </c>
    </row>
    <row r="40" spans="1:13" ht="12.75">
      <c r="A40" s="23" t="s">
        <v>1038</v>
      </c>
      <c r="B40" s="23" t="s">
        <v>1039</v>
      </c>
      <c r="C40" s="23" t="s">
        <v>756</v>
      </c>
      <c r="D40" s="23" t="str">
        <f>"0,7300"</f>
        <v>0,7300</v>
      </c>
      <c r="E40" s="23" t="s">
        <v>33</v>
      </c>
      <c r="F40" s="23" t="s">
        <v>1027</v>
      </c>
      <c r="G40" s="24" t="s">
        <v>21</v>
      </c>
      <c r="H40" s="24" t="s">
        <v>53</v>
      </c>
      <c r="I40" s="24" t="s">
        <v>54</v>
      </c>
      <c r="J40" s="25"/>
      <c r="K40" s="23" t="str">
        <f>"165,0"</f>
        <v>165,0</v>
      </c>
      <c r="L40" s="24" t="str">
        <f>"120,4500"</f>
        <v>120,4500</v>
      </c>
      <c r="M40" s="23" t="s">
        <v>57</v>
      </c>
    </row>
    <row r="41" spans="1:13" ht="12.75">
      <c r="A41" s="12" t="s">
        <v>1040</v>
      </c>
      <c r="B41" s="12" t="s">
        <v>1041</v>
      </c>
      <c r="C41" s="12" t="s">
        <v>1023</v>
      </c>
      <c r="D41" s="12" t="str">
        <f>"0,7249"</f>
        <v>0,7249</v>
      </c>
      <c r="E41" s="12" t="s">
        <v>17</v>
      </c>
      <c r="F41" s="12" t="s">
        <v>799</v>
      </c>
      <c r="G41" s="13" t="s">
        <v>26</v>
      </c>
      <c r="H41" s="14" t="s">
        <v>52</v>
      </c>
      <c r="I41" s="14" t="s">
        <v>52</v>
      </c>
      <c r="J41" s="14"/>
      <c r="K41" s="12" t="str">
        <f>"190,0"</f>
        <v>190,0</v>
      </c>
      <c r="L41" s="13" t="str">
        <f>"137,7310"</f>
        <v>137,7310</v>
      </c>
      <c r="M41" s="12" t="s">
        <v>44</v>
      </c>
    </row>
    <row r="43" spans="1:12" ht="15">
      <c r="A43" s="46" t="s">
        <v>13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3" ht="12.75">
      <c r="A44" s="9" t="s">
        <v>1042</v>
      </c>
      <c r="B44" s="9" t="s">
        <v>523</v>
      </c>
      <c r="C44" s="9" t="s">
        <v>524</v>
      </c>
      <c r="D44" s="9" t="str">
        <f>"0,6981"</f>
        <v>0,6981</v>
      </c>
      <c r="E44" s="9" t="s">
        <v>33</v>
      </c>
      <c r="F44" s="9" t="s">
        <v>34</v>
      </c>
      <c r="G44" s="10" t="s">
        <v>22</v>
      </c>
      <c r="H44" s="11"/>
      <c r="I44" s="11"/>
      <c r="J44" s="11"/>
      <c r="K44" s="9" t="str">
        <f>"100,0"</f>
        <v>100,0</v>
      </c>
      <c r="L44" s="10" t="str">
        <f>"69,8100"</f>
        <v>69,8100</v>
      </c>
      <c r="M44" s="9" t="s">
        <v>28</v>
      </c>
    </row>
    <row r="45" spans="1:13" ht="12.75">
      <c r="A45" s="23" t="s">
        <v>1044</v>
      </c>
      <c r="B45" s="23" t="s">
        <v>1045</v>
      </c>
      <c r="C45" s="23" t="s">
        <v>80</v>
      </c>
      <c r="D45" s="23" t="str">
        <f>"0,6744"</f>
        <v>0,6744</v>
      </c>
      <c r="E45" s="23" t="s">
        <v>33</v>
      </c>
      <c r="F45" s="23" t="s">
        <v>1027</v>
      </c>
      <c r="G45" s="24" t="s">
        <v>103</v>
      </c>
      <c r="H45" s="24" t="s">
        <v>98</v>
      </c>
      <c r="I45" s="24" t="s">
        <v>37</v>
      </c>
      <c r="J45" s="25"/>
      <c r="K45" s="23" t="str">
        <f>"260,0"</f>
        <v>260,0</v>
      </c>
      <c r="L45" s="24" t="str">
        <f>"175,3440"</f>
        <v>175,3440</v>
      </c>
      <c r="M45" s="23" t="s">
        <v>1046</v>
      </c>
    </row>
    <row r="46" spans="1:13" ht="12.75">
      <c r="A46" s="23" t="s">
        <v>1047</v>
      </c>
      <c r="B46" s="23" t="s">
        <v>1048</v>
      </c>
      <c r="C46" s="23" t="s">
        <v>807</v>
      </c>
      <c r="D46" s="23" t="str">
        <f>"0,6806"</f>
        <v>0,6806</v>
      </c>
      <c r="E46" s="23" t="s">
        <v>17</v>
      </c>
      <c r="F46" s="23" t="s">
        <v>327</v>
      </c>
      <c r="G46" s="24" t="s">
        <v>56</v>
      </c>
      <c r="H46" s="24" t="s">
        <v>35</v>
      </c>
      <c r="I46" s="25" t="s">
        <v>97</v>
      </c>
      <c r="J46" s="25"/>
      <c r="K46" s="23" t="str">
        <f>"245,0"</f>
        <v>245,0</v>
      </c>
      <c r="L46" s="24" t="str">
        <f>"166,7470"</f>
        <v>166,7470</v>
      </c>
      <c r="M46" s="23" t="s">
        <v>44</v>
      </c>
    </row>
    <row r="47" spans="1:13" ht="12.75">
      <c r="A47" s="23" t="s">
        <v>1049</v>
      </c>
      <c r="B47" s="23" t="s">
        <v>777</v>
      </c>
      <c r="C47" s="23" t="s">
        <v>778</v>
      </c>
      <c r="D47" s="23" t="str">
        <f>"0,6854"</f>
        <v>0,6854</v>
      </c>
      <c r="E47" s="23" t="s">
        <v>17</v>
      </c>
      <c r="F47" s="23" t="s">
        <v>779</v>
      </c>
      <c r="G47" s="24" t="s">
        <v>27</v>
      </c>
      <c r="H47" s="24" t="s">
        <v>127</v>
      </c>
      <c r="I47" s="25" t="s">
        <v>81</v>
      </c>
      <c r="J47" s="25"/>
      <c r="K47" s="23" t="str">
        <f>"210,0"</f>
        <v>210,0</v>
      </c>
      <c r="L47" s="24" t="str">
        <f>"143,9340"</f>
        <v>143,9340</v>
      </c>
      <c r="M47" s="23" t="s">
        <v>44</v>
      </c>
    </row>
    <row r="48" spans="1:13" ht="12.75">
      <c r="A48" s="23" t="s">
        <v>1050</v>
      </c>
      <c r="B48" s="23" t="s">
        <v>1051</v>
      </c>
      <c r="C48" s="23" t="s">
        <v>1052</v>
      </c>
      <c r="D48" s="23" t="str">
        <f>"0,6838"</f>
        <v>0,6838</v>
      </c>
      <c r="E48" s="23" t="s">
        <v>17</v>
      </c>
      <c r="F48" s="23" t="s">
        <v>1053</v>
      </c>
      <c r="G48" s="24" t="s">
        <v>574</v>
      </c>
      <c r="H48" s="24" t="s">
        <v>1054</v>
      </c>
      <c r="I48" s="25" t="s">
        <v>214</v>
      </c>
      <c r="J48" s="25"/>
      <c r="K48" s="23" t="str">
        <f>"197,5"</f>
        <v>197,5</v>
      </c>
      <c r="L48" s="24" t="str">
        <f>"135,0505"</f>
        <v>135,0505</v>
      </c>
      <c r="M48" s="23" t="s">
        <v>800</v>
      </c>
    </row>
    <row r="49" spans="1:13" ht="12.75">
      <c r="A49" s="23" t="s">
        <v>1055</v>
      </c>
      <c r="B49" s="23" t="s">
        <v>1056</v>
      </c>
      <c r="C49" s="23" t="s">
        <v>1052</v>
      </c>
      <c r="D49" s="23" t="str">
        <f>"0,6838"</f>
        <v>0,6838</v>
      </c>
      <c r="E49" s="23" t="s">
        <v>33</v>
      </c>
      <c r="F49" s="23" t="s">
        <v>1057</v>
      </c>
      <c r="G49" s="25" t="s">
        <v>39</v>
      </c>
      <c r="H49" s="24" t="s">
        <v>574</v>
      </c>
      <c r="I49" s="25" t="s">
        <v>27</v>
      </c>
      <c r="J49" s="25"/>
      <c r="K49" s="23" t="str">
        <f>"192,5"</f>
        <v>192,5</v>
      </c>
      <c r="L49" s="24" t="str">
        <f>"131,6315"</f>
        <v>131,6315</v>
      </c>
      <c r="M49" s="23" t="s">
        <v>57</v>
      </c>
    </row>
    <row r="50" spans="1:13" ht="12.75">
      <c r="A50" s="23" t="s">
        <v>1058</v>
      </c>
      <c r="B50" s="23" t="s">
        <v>798</v>
      </c>
      <c r="C50" s="23" t="s">
        <v>796</v>
      </c>
      <c r="D50" s="23" t="str">
        <f>"0,6764"</f>
        <v>0,6764</v>
      </c>
      <c r="E50" s="23" t="s">
        <v>17</v>
      </c>
      <c r="F50" s="23" t="s">
        <v>799</v>
      </c>
      <c r="G50" s="24" t="s">
        <v>38</v>
      </c>
      <c r="H50" s="24" t="s">
        <v>574</v>
      </c>
      <c r="I50" s="25" t="s">
        <v>27</v>
      </c>
      <c r="J50" s="25"/>
      <c r="K50" s="23" t="str">
        <f>"192,5"</f>
        <v>192,5</v>
      </c>
      <c r="L50" s="24" t="str">
        <f>"130,2070"</f>
        <v>130,2070</v>
      </c>
      <c r="M50" s="23" t="s">
        <v>800</v>
      </c>
    </row>
    <row r="51" spans="1:13" ht="12.75">
      <c r="A51" s="23" t="s">
        <v>1059</v>
      </c>
      <c r="B51" s="23" t="s">
        <v>1060</v>
      </c>
      <c r="C51" s="23" t="s">
        <v>1061</v>
      </c>
      <c r="D51" s="23" t="str">
        <f>"0,6739"</f>
        <v>0,6739</v>
      </c>
      <c r="E51" s="23" t="s">
        <v>33</v>
      </c>
      <c r="F51" s="23" t="s">
        <v>34</v>
      </c>
      <c r="G51" s="24" t="s">
        <v>54</v>
      </c>
      <c r="H51" s="24" t="s">
        <v>25</v>
      </c>
      <c r="I51" s="25" t="s">
        <v>38</v>
      </c>
      <c r="J51" s="25"/>
      <c r="K51" s="23" t="str">
        <f>"175,0"</f>
        <v>175,0</v>
      </c>
      <c r="L51" s="24" t="str">
        <f>"117,9325"</f>
        <v>117,9325</v>
      </c>
      <c r="M51" s="23" t="s">
        <v>1062</v>
      </c>
    </row>
    <row r="52" spans="1:13" ht="12.75">
      <c r="A52" s="23" t="s">
        <v>1063</v>
      </c>
      <c r="B52" s="23" t="s">
        <v>809</v>
      </c>
      <c r="C52" s="23" t="s">
        <v>803</v>
      </c>
      <c r="D52" s="23" t="str">
        <f>"0,6769"</f>
        <v>0,6769</v>
      </c>
      <c r="E52" s="23" t="s">
        <v>33</v>
      </c>
      <c r="F52" s="23" t="s">
        <v>34</v>
      </c>
      <c r="G52" s="24" t="s">
        <v>102</v>
      </c>
      <c r="H52" s="24" t="s">
        <v>82</v>
      </c>
      <c r="I52" s="25"/>
      <c r="J52" s="25"/>
      <c r="K52" s="23" t="str">
        <f>"145,0"</f>
        <v>145,0</v>
      </c>
      <c r="L52" s="24" t="str">
        <f>"98,1505"</f>
        <v>98,1505</v>
      </c>
      <c r="M52" s="23" t="s">
        <v>57</v>
      </c>
    </row>
    <row r="53" spans="1:13" ht="12.75">
      <c r="A53" s="23" t="s">
        <v>1064</v>
      </c>
      <c r="B53" s="23" t="s">
        <v>820</v>
      </c>
      <c r="C53" s="23" t="s">
        <v>80</v>
      </c>
      <c r="D53" s="23" t="str">
        <f>"0,6744"</f>
        <v>0,6744</v>
      </c>
      <c r="E53" s="23" t="s">
        <v>33</v>
      </c>
      <c r="F53" s="23" t="s">
        <v>34</v>
      </c>
      <c r="G53" s="24" t="s">
        <v>82</v>
      </c>
      <c r="H53" s="24" t="s">
        <v>83</v>
      </c>
      <c r="I53" s="24" t="s">
        <v>109</v>
      </c>
      <c r="J53" s="25"/>
      <c r="K53" s="23" t="str">
        <f>"167,5"</f>
        <v>167,5</v>
      </c>
      <c r="L53" s="24" t="str">
        <f>"112,9620"</f>
        <v>112,9620</v>
      </c>
      <c r="M53" s="23" t="s">
        <v>57</v>
      </c>
    </row>
    <row r="54" spans="1:13" ht="12.75">
      <c r="A54" s="12" t="s">
        <v>1065</v>
      </c>
      <c r="B54" s="12" t="s">
        <v>1066</v>
      </c>
      <c r="C54" s="12" t="s">
        <v>1067</v>
      </c>
      <c r="D54" s="12" t="str">
        <f>"0,6729"</f>
        <v>0,6729</v>
      </c>
      <c r="E54" s="12" t="s">
        <v>33</v>
      </c>
      <c r="F54" s="12" t="s">
        <v>34</v>
      </c>
      <c r="G54" s="13" t="s">
        <v>38</v>
      </c>
      <c r="H54" s="13" t="s">
        <v>26</v>
      </c>
      <c r="I54" s="14" t="s">
        <v>27</v>
      </c>
      <c r="J54" s="14"/>
      <c r="K54" s="12" t="str">
        <f>"190,0"</f>
        <v>190,0</v>
      </c>
      <c r="L54" s="13" t="str">
        <f>"136,5449"</f>
        <v>136,5449</v>
      </c>
      <c r="M54" s="12" t="s">
        <v>973</v>
      </c>
    </row>
    <row r="56" spans="1:12" ht="15">
      <c r="A56" s="46" t="s">
        <v>128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3" ht="12.75">
      <c r="A57" s="9" t="s">
        <v>1068</v>
      </c>
      <c r="B57" s="9" t="s">
        <v>1069</v>
      </c>
      <c r="C57" s="9" t="s">
        <v>131</v>
      </c>
      <c r="D57" s="9" t="str">
        <f>"0,6451"</f>
        <v>0,6451</v>
      </c>
      <c r="E57" s="9" t="s">
        <v>33</v>
      </c>
      <c r="F57" s="9" t="s">
        <v>1070</v>
      </c>
      <c r="G57" s="10" t="s">
        <v>116</v>
      </c>
      <c r="H57" s="10" t="s">
        <v>228</v>
      </c>
      <c r="I57" s="11" t="s">
        <v>101</v>
      </c>
      <c r="J57" s="11"/>
      <c r="K57" s="9" t="str">
        <f>"205,0"</f>
        <v>205,0</v>
      </c>
      <c r="L57" s="10" t="str">
        <f>"132,2455"</f>
        <v>132,2455</v>
      </c>
      <c r="M57" s="9" t="s">
        <v>57</v>
      </c>
    </row>
    <row r="58" spans="1:13" ht="12.75">
      <c r="A58" s="23" t="s">
        <v>1072</v>
      </c>
      <c r="B58" s="23" t="s">
        <v>1073</v>
      </c>
      <c r="C58" s="23" t="s">
        <v>1074</v>
      </c>
      <c r="D58" s="23" t="str">
        <f>"0,6417"</f>
        <v>0,6417</v>
      </c>
      <c r="E58" s="23" t="s">
        <v>33</v>
      </c>
      <c r="F58" s="23" t="s">
        <v>34</v>
      </c>
      <c r="G58" s="24" t="s">
        <v>42</v>
      </c>
      <c r="H58" s="24" t="s">
        <v>1075</v>
      </c>
      <c r="I58" s="24" t="s">
        <v>147</v>
      </c>
      <c r="J58" s="25"/>
      <c r="K58" s="23" t="str">
        <f>"315,0"</f>
        <v>315,0</v>
      </c>
      <c r="L58" s="24" t="str">
        <f>"202,1355"</f>
        <v>202,1355</v>
      </c>
      <c r="M58" s="23" t="s">
        <v>44</v>
      </c>
    </row>
    <row r="59" spans="1:13" ht="12.75">
      <c r="A59" s="23" t="s">
        <v>1076</v>
      </c>
      <c r="B59" s="23" t="s">
        <v>1077</v>
      </c>
      <c r="C59" s="23" t="s">
        <v>542</v>
      </c>
      <c r="D59" s="23" t="str">
        <f>"0,6421"</f>
        <v>0,6421</v>
      </c>
      <c r="E59" s="23" t="s">
        <v>17</v>
      </c>
      <c r="F59" s="23" t="s">
        <v>1078</v>
      </c>
      <c r="G59" s="24" t="s">
        <v>101</v>
      </c>
      <c r="H59" s="24" t="s">
        <v>56</v>
      </c>
      <c r="I59" s="24" t="s">
        <v>91</v>
      </c>
      <c r="J59" s="25"/>
      <c r="K59" s="23" t="str">
        <f>"235,0"</f>
        <v>235,0</v>
      </c>
      <c r="L59" s="24" t="str">
        <f>"150,8935"</f>
        <v>150,8935</v>
      </c>
      <c r="M59" s="23" t="s">
        <v>44</v>
      </c>
    </row>
    <row r="60" spans="1:13" ht="12.75">
      <c r="A60" s="12" t="s">
        <v>1079</v>
      </c>
      <c r="B60" s="12" t="s">
        <v>1080</v>
      </c>
      <c r="C60" s="12" t="s">
        <v>212</v>
      </c>
      <c r="D60" s="12" t="str">
        <f>"0,6511"</f>
        <v>0,6511</v>
      </c>
      <c r="E60" s="12" t="s">
        <v>33</v>
      </c>
      <c r="F60" s="12" t="s">
        <v>34</v>
      </c>
      <c r="G60" s="13" t="s">
        <v>228</v>
      </c>
      <c r="H60" s="13" t="s">
        <v>56</v>
      </c>
      <c r="I60" s="14"/>
      <c r="J60" s="14"/>
      <c r="K60" s="12" t="str">
        <f>"230,0"</f>
        <v>230,0</v>
      </c>
      <c r="L60" s="13" t="str">
        <f>"149,7530"</f>
        <v>149,7530</v>
      </c>
      <c r="M60" s="12" t="s">
        <v>57</v>
      </c>
    </row>
    <row r="62" spans="1:12" ht="15">
      <c r="A62" s="46" t="s">
        <v>85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3" ht="12.75">
      <c r="A63" s="9" t="s">
        <v>1082</v>
      </c>
      <c r="B63" s="9" t="s">
        <v>1083</v>
      </c>
      <c r="C63" s="9" t="s">
        <v>1084</v>
      </c>
      <c r="D63" s="9" t="str">
        <f>"0,6166"</f>
        <v>0,6166</v>
      </c>
      <c r="E63" s="9" t="s">
        <v>33</v>
      </c>
      <c r="F63" s="9" t="s">
        <v>34</v>
      </c>
      <c r="G63" s="11" t="s">
        <v>27</v>
      </c>
      <c r="H63" s="10" t="s">
        <v>127</v>
      </c>
      <c r="I63" s="10" t="s">
        <v>101</v>
      </c>
      <c r="J63" s="11"/>
      <c r="K63" s="9" t="str">
        <f>"220,0"</f>
        <v>220,0</v>
      </c>
      <c r="L63" s="10" t="str">
        <f>"135,6520"</f>
        <v>135,6520</v>
      </c>
      <c r="M63" s="9" t="s">
        <v>817</v>
      </c>
    </row>
    <row r="64" spans="1:13" ht="12.75">
      <c r="A64" s="23" t="s">
        <v>1085</v>
      </c>
      <c r="B64" s="23" t="s">
        <v>1007</v>
      </c>
      <c r="C64" s="23" t="s">
        <v>888</v>
      </c>
      <c r="D64" s="23" t="str">
        <f>"0,6194"</f>
        <v>0,6194</v>
      </c>
      <c r="E64" s="23" t="s">
        <v>17</v>
      </c>
      <c r="F64" s="23" t="s">
        <v>1078</v>
      </c>
      <c r="G64" s="24" t="s">
        <v>103</v>
      </c>
      <c r="H64" s="24" t="s">
        <v>36</v>
      </c>
      <c r="I64" s="25" t="s">
        <v>37</v>
      </c>
      <c r="J64" s="25"/>
      <c r="K64" s="23" t="str">
        <f>"250,0"</f>
        <v>250,0</v>
      </c>
      <c r="L64" s="24" t="str">
        <f>"154,8500"</f>
        <v>154,8500</v>
      </c>
      <c r="M64" s="23" t="s">
        <v>44</v>
      </c>
    </row>
    <row r="65" spans="1:13" ht="12.75">
      <c r="A65" s="23" t="s">
        <v>1086</v>
      </c>
      <c r="B65" s="23" t="s">
        <v>1087</v>
      </c>
      <c r="C65" s="23" t="s">
        <v>239</v>
      </c>
      <c r="D65" s="23" t="str">
        <f>"0,6150"</f>
        <v>0,6150</v>
      </c>
      <c r="E65" s="23" t="s">
        <v>33</v>
      </c>
      <c r="F65" s="23" t="s">
        <v>34</v>
      </c>
      <c r="G65" s="24" t="s">
        <v>56</v>
      </c>
      <c r="H65" s="24" t="s">
        <v>103</v>
      </c>
      <c r="I65" s="25" t="s">
        <v>36</v>
      </c>
      <c r="J65" s="25"/>
      <c r="K65" s="23" t="str">
        <f>"240,0"</f>
        <v>240,0</v>
      </c>
      <c r="L65" s="24" t="str">
        <f>"147,6000"</f>
        <v>147,6000</v>
      </c>
      <c r="M65" s="23" t="s">
        <v>44</v>
      </c>
    </row>
    <row r="66" spans="1:13" ht="12.75">
      <c r="A66" s="23" t="s">
        <v>1088</v>
      </c>
      <c r="B66" s="23" t="s">
        <v>1089</v>
      </c>
      <c r="C66" s="23" t="s">
        <v>894</v>
      </c>
      <c r="D66" s="23" t="str">
        <f>"0,6093"</f>
        <v>0,6093</v>
      </c>
      <c r="E66" s="23" t="s">
        <v>33</v>
      </c>
      <c r="F66" s="23" t="s">
        <v>34</v>
      </c>
      <c r="G66" s="24" t="s">
        <v>89</v>
      </c>
      <c r="H66" s="24" t="s">
        <v>103</v>
      </c>
      <c r="I66" s="25" t="s">
        <v>36</v>
      </c>
      <c r="J66" s="25"/>
      <c r="K66" s="23" t="str">
        <f>"240,0"</f>
        <v>240,0</v>
      </c>
      <c r="L66" s="24" t="str">
        <f>"146,2320"</f>
        <v>146,2320</v>
      </c>
      <c r="M66" s="23" t="s">
        <v>991</v>
      </c>
    </row>
    <row r="67" spans="1:13" ht="12.75">
      <c r="A67" s="12" t="s">
        <v>1090</v>
      </c>
      <c r="B67" s="12" t="s">
        <v>1091</v>
      </c>
      <c r="C67" s="12" t="s">
        <v>1092</v>
      </c>
      <c r="D67" s="12" t="str">
        <f>"0,6136"</f>
        <v>0,6136</v>
      </c>
      <c r="E67" s="12" t="s">
        <v>33</v>
      </c>
      <c r="F67" s="12" t="s">
        <v>34</v>
      </c>
      <c r="G67" s="13" t="s">
        <v>127</v>
      </c>
      <c r="H67" s="13" t="s">
        <v>101</v>
      </c>
      <c r="I67" s="13" t="s">
        <v>56</v>
      </c>
      <c r="J67" s="14"/>
      <c r="K67" s="12" t="str">
        <f>"230,0"</f>
        <v>230,0</v>
      </c>
      <c r="L67" s="13" t="str">
        <f>"141,1280"</f>
        <v>141,1280</v>
      </c>
      <c r="M67" s="12" t="s">
        <v>44</v>
      </c>
    </row>
    <row r="69" spans="1:12" ht="15">
      <c r="A69" s="46" t="s">
        <v>29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3" ht="12.75">
      <c r="A70" s="9" t="s">
        <v>1093</v>
      </c>
      <c r="B70" s="9" t="s">
        <v>1094</v>
      </c>
      <c r="C70" s="9" t="s">
        <v>1095</v>
      </c>
      <c r="D70" s="9" t="str">
        <f>"0,6019"</f>
        <v>0,6019</v>
      </c>
      <c r="E70" s="9" t="s">
        <v>17</v>
      </c>
      <c r="F70" s="9" t="s">
        <v>799</v>
      </c>
      <c r="G70" s="10" t="s">
        <v>38</v>
      </c>
      <c r="H70" s="10" t="s">
        <v>52</v>
      </c>
      <c r="I70" s="10" t="s">
        <v>1096</v>
      </c>
      <c r="J70" s="11"/>
      <c r="K70" s="9" t="str">
        <f>"247,5"</f>
        <v>247,5</v>
      </c>
      <c r="L70" s="10" t="str">
        <f>"148,9702"</f>
        <v>148,9702</v>
      </c>
      <c r="M70" s="9" t="s">
        <v>44</v>
      </c>
    </row>
    <row r="71" spans="1:13" ht="12.75">
      <c r="A71" s="23" t="s">
        <v>1097</v>
      </c>
      <c r="B71" s="23" t="s">
        <v>566</v>
      </c>
      <c r="C71" s="23" t="s">
        <v>567</v>
      </c>
      <c r="D71" s="23" t="str">
        <f>"0,5898"</f>
        <v>0,5898</v>
      </c>
      <c r="E71" s="23" t="s">
        <v>33</v>
      </c>
      <c r="F71" s="23" t="s">
        <v>18</v>
      </c>
      <c r="G71" s="24" t="s">
        <v>21</v>
      </c>
      <c r="H71" s="25"/>
      <c r="I71" s="25"/>
      <c r="J71" s="25"/>
      <c r="K71" s="23" t="str">
        <f>"150,0"</f>
        <v>150,0</v>
      </c>
      <c r="L71" s="24" t="str">
        <f>"88,4700"</f>
        <v>88,4700</v>
      </c>
      <c r="M71" s="23" t="s">
        <v>28</v>
      </c>
    </row>
    <row r="72" spans="1:14" ht="12.75">
      <c r="A72" s="54" t="s">
        <v>1098</v>
      </c>
      <c r="B72" s="54" t="s">
        <v>1099</v>
      </c>
      <c r="C72" s="54" t="s">
        <v>32</v>
      </c>
      <c r="D72" s="54" t="str">
        <f>"0,5919"</f>
        <v>0,5919</v>
      </c>
      <c r="E72" s="54" t="s">
        <v>33</v>
      </c>
      <c r="F72" s="54" t="s">
        <v>1100</v>
      </c>
      <c r="G72" s="55" t="s">
        <v>36</v>
      </c>
      <c r="H72" s="55" t="s">
        <v>37</v>
      </c>
      <c r="I72" s="56" t="s">
        <v>138</v>
      </c>
      <c r="J72" s="56"/>
      <c r="K72" s="54" t="str">
        <f>"260,0"</f>
        <v>260,0</v>
      </c>
      <c r="L72" s="55" t="str">
        <f>"153,8940"</f>
        <v>153,8940</v>
      </c>
      <c r="M72" s="54" t="s">
        <v>1101</v>
      </c>
      <c r="N72" s="50" t="s">
        <v>1333</v>
      </c>
    </row>
    <row r="74" spans="1:12" ht="15">
      <c r="A74" s="46" t="s">
        <v>955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3" ht="12.75">
      <c r="A75" s="6" t="s">
        <v>1103</v>
      </c>
      <c r="B75" s="6" t="s">
        <v>1104</v>
      </c>
      <c r="C75" s="6" t="s">
        <v>1105</v>
      </c>
      <c r="D75" s="6" t="str">
        <f>"0,5567"</f>
        <v>0,5567</v>
      </c>
      <c r="E75" s="6" t="s">
        <v>33</v>
      </c>
      <c r="F75" s="6" t="s">
        <v>34</v>
      </c>
      <c r="G75" s="7" t="s">
        <v>41</v>
      </c>
      <c r="H75" s="7" t="s">
        <v>42</v>
      </c>
      <c r="I75" s="7" t="s">
        <v>43</v>
      </c>
      <c r="J75" s="8"/>
      <c r="K75" s="6" t="str">
        <f>"300,0"</f>
        <v>300,0</v>
      </c>
      <c r="L75" s="7" t="str">
        <f>"167,0100"</f>
        <v>167,0100</v>
      </c>
      <c r="M75" s="6" t="s">
        <v>1106</v>
      </c>
    </row>
    <row r="77" ht="15">
      <c r="E77" s="15" t="s">
        <v>59</v>
      </c>
    </row>
    <row r="78" ht="15">
      <c r="E78" s="15" t="s">
        <v>60</v>
      </c>
    </row>
    <row r="79" ht="15">
      <c r="E79" s="15"/>
    </row>
    <row r="81" spans="1:2" ht="18">
      <c r="A81" s="16" t="s">
        <v>64</v>
      </c>
      <c r="B81" s="16"/>
    </row>
    <row r="82" spans="1:2" ht="15">
      <c r="A82" s="17" t="s">
        <v>272</v>
      </c>
      <c r="B82" s="17"/>
    </row>
    <row r="83" spans="1:2" ht="14.25">
      <c r="A83" s="19"/>
      <c r="B83" s="20" t="s">
        <v>74</v>
      </c>
    </row>
    <row r="84" spans="1:5" ht="15">
      <c r="A84" s="21" t="s">
        <v>67</v>
      </c>
      <c r="B84" s="21" t="s">
        <v>68</v>
      </c>
      <c r="C84" s="21" t="s">
        <v>69</v>
      </c>
      <c r="D84" s="21" t="s">
        <v>70</v>
      </c>
      <c r="E84" s="21" t="s">
        <v>71</v>
      </c>
    </row>
    <row r="85" spans="1:5" ht="12.75">
      <c r="A85" s="18" t="s">
        <v>983</v>
      </c>
      <c r="B85" s="5" t="s">
        <v>74</v>
      </c>
      <c r="C85" s="5" t="s">
        <v>443</v>
      </c>
      <c r="D85" s="5" t="s">
        <v>399</v>
      </c>
      <c r="E85" s="22" t="s">
        <v>1107</v>
      </c>
    </row>
    <row r="87" spans="1:2" ht="15">
      <c r="A87" s="17" t="s">
        <v>65</v>
      </c>
      <c r="B87" s="17"/>
    </row>
    <row r="88" spans="1:2" ht="14.25">
      <c r="A88" s="19"/>
      <c r="B88" s="20" t="s">
        <v>66</v>
      </c>
    </row>
    <row r="89" spans="1:5" ht="15">
      <c r="A89" s="21" t="s">
        <v>67</v>
      </c>
      <c r="B89" s="21" t="s">
        <v>68</v>
      </c>
      <c r="C89" s="21" t="s">
        <v>69</v>
      </c>
      <c r="D89" s="21" t="s">
        <v>70</v>
      </c>
      <c r="E89" s="21" t="s">
        <v>71</v>
      </c>
    </row>
    <row r="90" spans="1:5" ht="12.75">
      <c r="A90" s="18" t="s">
        <v>1081</v>
      </c>
      <c r="B90" s="5" t="s">
        <v>72</v>
      </c>
      <c r="C90" s="5" t="s">
        <v>22</v>
      </c>
      <c r="D90" s="5" t="s">
        <v>101</v>
      </c>
      <c r="E90" s="22" t="s">
        <v>1108</v>
      </c>
    </row>
    <row r="92" spans="1:2" ht="14.25">
      <c r="A92" s="19"/>
      <c r="B92" s="20" t="s">
        <v>74</v>
      </c>
    </row>
    <row r="93" spans="1:5" ht="15">
      <c r="A93" s="21" t="s">
        <v>67</v>
      </c>
      <c r="B93" s="21" t="s">
        <v>68</v>
      </c>
      <c r="C93" s="21" t="s">
        <v>69</v>
      </c>
      <c r="D93" s="21" t="s">
        <v>70</v>
      </c>
      <c r="E93" s="21" t="s">
        <v>71</v>
      </c>
    </row>
    <row r="94" spans="1:5" ht="12.75">
      <c r="A94" s="18" t="s">
        <v>1071</v>
      </c>
      <c r="B94" s="5" t="s">
        <v>74</v>
      </c>
      <c r="C94" s="5" t="s">
        <v>149</v>
      </c>
      <c r="D94" s="5" t="s">
        <v>147</v>
      </c>
      <c r="E94" s="22" t="s">
        <v>1109</v>
      </c>
    </row>
    <row r="95" spans="1:5" ht="12.75">
      <c r="A95" s="18" t="s">
        <v>1043</v>
      </c>
      <c r="B95" s="5" t="s">
        <v>74</v>
      </c>
      <c r="C95" s="5" t="s">
        <v>76</v>
      </c>
      <c r="D95" s="5" t="s">
        <v>37</v>
      </c>
      <c r="E95" s="22" t="s">
        <v>1110</v>
      </c>
    </row>
    <row r="96" spans="1:5" ht="12.75">
      <c r="A96" s="18" t="s">
        <v>1102</v>
      </c>
      <c r="B96" s="5" t="s">
        <v>74</v>
      </c>
      <c r="C96" s="5" t="s">
        <v>298</v>
      </c>
      <c r="D96" s="5" t="s">
        <v>43</v>
      </c>
      <c r="E96" s="22" t="s">
        <v>1111</v>
      </c>
    </row>
  </sheetData>
  <sheetProtection/>
  <mergeCells count="24">
    <mergeCell ref="A69:L69"/>
    <mergeCell ref="A74:L74"/>
    <mergeCell ref="A19:L19"/>
    <mergeCell ref="A24:L24"/>
    <mergeCell ref="A28:L28"/>
    <mergeCell ref="A31:L31"/>
    <mergeCell ref="A38:L38"/>
    <mergeCell ref="A43:L43"/>
    <mergeCell ref="M3:M4"/>
    <mergeCell ref="A5:L5"/>
    <mergeCell ref="A10:L10"/>
    <mergeCell ref="A14:L14"/>
    <mergeCell ref="A56:L56"/>
    <mergeCell ref="A62:L6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2">
      <selection activeCell="K12" sqref="K12"/>
    </sheetView>
  </sheetViews>
  <sheetFormatPr defaultColWidth="9.00390625" defaultRowHeight="12.75"/>
  <cols>
    <col min="1" max="1" width="31.00390625" style="5" bestFit="1" customWidth="1"/>
    <col min="2" max="2" width="22.8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16.75390625" style="5" bestFit="1" customWidth="1"/>
    <col min="7" max="9" width="5.625" style="4" bestFit="1" customWidth="1"/>
    <col min="10" max="10" width="4.875" style="4" bestFit="1" customWidth="1"/>
    <col min="11" max="11" width="11.25390625" style="5" customWidth="1"/>
    <col min="12" max="12" width="8.625" style="4" bestFit="1" customWidth="1"/>
    <col min="13" max="13" width="15.375" style="5" bestFit="1" customWidth="1"/>
    <col min="14" max="14" width="16.625" style="4" customWidth="1"/>
    <col min="15" max="16384" width="9.125" style="4" customWidth="1"/>
  </cols>
  <sheetData>
    <row r="1" spans="1:13" s="3" customFormat="1" ht="28.5" customHeight="1">
      <c r="A1" s="32" t="s">
        <v>1122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3</v>
      </c>
      <c r="H3" s="42"/>
      <c r="I3" s="42"/>
      <c r="J3" s="42"/>
      <c r="K3" s="42" t="s">
        <v>279</v>
      </c>
      <c r="L3" s="42" t="s">
        <v>6</v>
      </c>
      <c r="M3" s="43" t="s">
        <v>5</v>
      </c>
    </row>
    <row r="4" spans="1:13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41"/>
      <c r="L4" s="41"/>
      <c r="M4" s="44"/>
    </row>
    <row r="5" spans="1:12" ht="15">
      <c r="A5" s="45" t="s">
        <v>162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4" ht="12.75">
      <c r="A6" s="47" t="s">
        <v>1112</v>
      </c>
      <c r="B6" s="47" t="s">
        <v>971</v>
      </c>
      <c r="C6" s="47" t="s">
        <v>972</v>
      </c>
      <c r="D6" s="47" t="str">
        <f>"1,2466"</f>
        <v>1,2466</v>
      </c>
      <c r="E6" s="47" t="s">
        <v>33</v>
      </c>
      <c r="F6" s="47" t="s">
        <v>34</v>
      </c>
      <c r="G6" s="48" t="s">
        <v>1113</v>
      </c>
      <c r="H6" s="49" t="s">
        <v>114</v>
      </c>
      <c r="I6" s="48" t="s">
        <v>114</v>
      </c>
      <c r="J6" s="49"/>
      <c r="K6" s="47" t="str">
        <f>"162,5"</f>
        <v>162,5</v>
      </c>
      <c r="L6" s="48" t="str">
        <f>"202,5725"</f>
        <v>202,5725</v>
      </c>
      <c r="M6" s="47" t="s">
        <v>973</v>
      </c>
      <c r="N6" s="50" t="s">
        <v>1333</v>
      </c>
    </row>
    <row r="8" spans="1:12" ht="15">
      <c r="A8" s="46" t="s">
        <v>85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4" ht="12.75">
      <c r="A9" s="47" t="s">
        <v>1114</v>
      </c>
      <c r="B9" s="47" t="s">
        <v>1115</v>
      </c>
      <c r="C9" s="47" t="s">
        <v>1116</v>
      </c>
      <c r="D9" s="47" t="str">
        <f>"0,6126"</f>
        <v>0,6126</v>
      </c>
      <c r="E9" s="47" t="s">
        <v>33</v>
      </c>
      <c r="F9" s="47" t="s">
        <v>34</v>
      </c>
      <c r="G9" s="48" t="s">
        <v>138</v>
      </c>
      <c r="H9" s="48" t="s">
        <v>41</v>
      </c>
      <c r="I9" s="49" t="s">
        <v>43</v>
      </c>
      <c r="J9" s="49"/>
      <c r="K9" s="47" t="str">
        <f>"285,0"</f>
        <v>285,0</v>
      </c>
      <c r="L9" s="48" t="str">
        <f>"174,5910"</f>
        <v>174,5910</v>
      </c>
      <c r="M9" s="47" t="s">
        <v>1117</v>
      </c>
      <c r="N9" s="50" t="s">
        <v>1333</v>
      </c>
    </row>
    <row r="11" ht="15">
      <c r="E11" s="15" t="s">
        <v>59</v>
      </c>
    </row>
    <row r="12" ht="15">
      <c r="E12" s="15" t="s">
        <v>60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0" sqref="E10:E13"/>
    </sheetView>
  </sheetViews>
  <sheetFormatPr defaultColWidth="9.00390625" defaultRowHeight="12.75"/>
  <cols>
    <col min="1" max="1" width="26.00390625" style="5" bestFit="1" customWidth="1"/>
    <col min="2" max="2" width="22.8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16.75390625" style="5" bestFit="1" customWidth="1"/>
    <col min="7" max="9" width="5.625" style="4" bestFit="1" customWidth="1"/>
    <col min="10" max="10" width="4.875" style="4" bestFit="1" customWidth="1"/>
    <col min="11" max="11" width="11.625" style="5" customWidth="1"/>
    <col min="12" max="12" width="7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32" t="s">
        <v>1121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3</v>
      </c>
      <c r="H3" s="42"/>
      <c r="I3" s="42"/>
      <c r="J3" s="42"/>
      <c r="K3" s="42" t="s">
        <v>279</v>
      </c>
      <c r="L3" s="42" t="s">
        <v>6</v>
      </c>
      <c r="M3" s="43" t="s">
        <v>5</v>
      </c>
    </row>
    <row r="4" spans="1:13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41"/>
      <c r="L4" s="41"/>
      <c r="M4" s="44"/>
    </row>
    <row r="5" spans="1:12" ht="15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6" t="s">
        <v>1118</v>
      </c>
      <c r="B6" s="6" t="s">
        <v>1119</v>
      </c>
      <c r="C6" s="6" t="s">
        <v>1120</v>
      </c>
      <c r="D6" s="6" t="str">
        <f>"0,5880"</f>
        <v>0,5880</v>
      </c>
      <c r="E6" s="6" t="s">
        <v>33</v>
      </c>
      <c r="F6" s="6" t="s">
        <v>34</v>
      </c>
      <c r="G6" s="7" t="s">
        <v>20</v>
      </c>
      <c r="H6" s="7" t="s">
        <v>83</v>
      </c>
      <c r="I6" s="7" t="s">
        <v>55</v>
      </c>
      <c r="J6" s="8"/>
      <c r="K6" s="6" t="str">
        <f>"170,0"</f>
        <v>170,0</v>
      </c>
      <c r="L6" s="7" t="str">
        <f>"99,9600"</f>
        <v>99,9600</v>
      </c>
      <c r="M6" s="6" t="s">
        <v>57</v>
      </c>
    </row>
    <row r="8" ht="15">
      <c r="E8" s="15" t="s">
        <v>59</v>
      </c>
    </row>
    <row r="9" ht="15">
      <c r="E9" s="15" t="s">
        <v>60</v>
      </c>
    </row>
    <row r="10" ht="15">
      <c r="E10" s="15"/>
    </row>
    <row r="11" ht="15">
      <c r="E11" s="15"/>
    </row>
    <row r="12" ht="15">
      <c r="E12" s="15"/>
    </row>
    <row r="13" ht="15">
      <c r="E13" s="15"/>
    </row>
    <row r="14" ht="15">
      <c r="E14" s="15"/>
    </row>
    <row r="16" spans="1:2" ht="18">
      <c r="A16" s="16"/>
      <c r="B16" s="16"/>
    </row>
    <row r="17" spans="1:2" ht="15">
      <c r="A17" s="17"/>
      <c r="B17" s="17"/>
    </row>
    <row r="18" spans="1:2" ht="14.25">
      <c r="A18" s="19"/>
      <c r="B18" s="20"/>
    </row>
    <row r="19" spans="1:5" ht="15">
      <c r="A19" s="1"/>
      <c r="B19" s="1"/>
      <c r="C19" s="1"/>
      <c r="D19" s="1"/>
      <c r="E19" s="1"/>
    </row>
    <row r="20" spans="1:5" ht="12.75">
      <c r="A20" s="18"/>
      <c r="E20" s="22"/>
    </row>
  </sheetData>
  <sheetProtection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6.00390625" style="5" bestFit="1" customWidth="1"/>
    <col min="2" max="2" width="28.3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0.37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2.875" style="5" bestFit="1" customWidth="1"/>
    <col min="22" max="16384" width="9.125" style="4" customWidth="1"/>
  </cols>
  <sheetData>
    <row r="1" spans="1:21" s="3" customFormat="1" ht="28.5" customHeight="1">
      <c r="A1" s="32" t="s">
        <v>1132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1</v>
      </c>
      <c r="H3" s="42"/>
      <c r="I3" s="42"/>
      <c r="J3" s="42"/>
      <c r="K3" s="42" t="s">
        <v>2</v>
      </c>
      <c r="L3" s="42"/>
      <c r="M3" s="42"/>
      <c r="N3" s="42"/>
      <c r="O3" s="42" t="s">
        <v>3</v>
      </c>
      <c r="P3" s="42"/>
      <c r="Q3" s="42"/>
      <c r="R3" s="42"/>
      <c r="S3" s="42" t="s">
        <v>4</v>
      </c>
      <c r="T3" s="42" t="s">
        <v>6</v>
      </c>
      <c r="U3" s="43" t="s">
        <v>5</v>
      </c>
    </row>
    <row r="4" spans="1:21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1"/>
      <c r="T4" s="41"/>
      <c r="U4" s="44"/>
    </row>
    <row r="5" spans="1:20" ht="15">
      <c r="A5" s="45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12.75">
      <c r="A6" s="6" t="s">
        <v>124</v>
      </c>
      <c r="B6" s="6" t="s">
        <v>125</v>
      </c>
      <c r="C6" s="6" t="s">
        <v>126</v>
      </c>
      <c r="D6" s="6" t="str">
        <f>"0,6785"</f>
        <v>0,6785</v>
      </c>
      <c r="E6" s="6" t="s">
        <v>33</v>
      </c>
      <c r="F6" s="6" t="s">
        <v>18</v>
      </c>
      <c r="G6" s="7" t="s">
        <v>27</v>
      </c>
      <c r="H6" s="7" t="s">
        <v>89</v>
      </c>
      <c r="I6" s="7" t="s">
        <v>103</v>
      </c>
      <c r="J6" s="8"/>
      <c r="K6" s="7" t="s">
        <v>20</v>
      </c>
      <c r="L6" s="7" t="s">
        <v>21</v>
      </c>
      <c r="M6" s="7" t="s">
        <v>83</v>
      </c>
      <c r="N6" s="8"/>
      <c r="O6" s="7" t="s">
        <v>116</v>
      </c>
      <c r="P6" s="7" t="s">
        <v>127</v>
      </c>
      <c r="Q6" s="7" t="s">
        <v>89</v>
      </c>
      <c r="R6" s="8"/>
      <c r="S6" s="6" t="str">
        <f>"620,0"</f>
        <v>620,0</v>
      </c>
      <c r="T6" s="7" t="str">
        <f>"420,6700"</f>
        <v>420,6700</v>
      </c>
      <c r="U6" s="6" t="s">
        <v>28</v>
      </c>
    </row>
    <row r="8" spans="1:20" ht="15">
      <c r="A8" s="46" t="s">
        <v>128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ht="12.75">
      <c r="A9" s="6" t="s">
        <v>129</v>
      </c>
      <c r="B9" s="6" t="s">
        <v>130</v>
      </c>
      <c r="C9" s="6" t="s">
        <v>131</v>
      </c>
      <c r="D9" s="6" t="str">
        <f>"0,6451"</f>
        <v>0,6451</v>
      </c>
      <c r="E9" s="6" t="s">
        <v>33</v>
      </c>
      <c r="F9" s="6" t="s">
        <v>18</v>
      </c>
      <c r="G9" s="7" t="s">
        <v>26</v>
      </c>
      <c r="H9" s="7" t="s">
        <v>127</v>
      </c>
      <c r="I9" s="7" t="s">
        <v>89</v>
      </c>
      <c r="J9" s="8"/>
      <c r="K9" s="7" t="s">
        <v>82</v>
      </c>
      <c r="L9" s="7" t="s">
        <v>83</v>
      </c>
      <c r="M9" s="7" t="s">
        <v>114</v>
      </c>
      <c r="N9" s="8"/>
      <c r="O9" s="7" t="s">
        <v>89</v>
      </c>
      <c r="P9" s="7" t="s">
        <v>103</v>
      </c>
      <c r="Q9" s="8" t="s">
        <v>36</v>
      </c>
      <c r="R9" s="8"/>
      <c r="S9" s="6" t="str">
        <f>"627,5"</f>
        <v>627,5</v>
      </c>
      <c r="T9" s="7" t="str">
        <f>"404,8002"</f>
        <v>404,8002</v>
      </c>
      <c r="U9" s="6" t="s">
        <v>28</v>
      </c>
    </row>
    <row r="11" spans="1:20" ht="15">
      <c r="A11" s="46" t="s">
        <v>29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1" ht="12.75">
      <c r="A12" s="6" t="s">
        <v>132</v>
      </c>
      <c r="B12" s="6" t="s">
        <v>133</v>
      </c>
      <c r="C12" s="6" t="s">
        <v>134</v>
      </c>
      <c r="D12" s="6" t="str">
        <f>"0,5945"</f>
        <v>0,5945</v>
      </c>
      <c r="E12" s="6" t="s">
        <v>17</v>
      </c>
      <c r="F12" s="6" t="s">
        <v>135</v>
      </c>
      <c r="G12" s="7" t="s">
        <v>136</v>
      </c>
      <c r="H12" s="7" t="s">
        <v>42</v>
      </c>
      <c r="I12" s="7" t="s">
        <v>137</v>
      </c>
      <c r="J12" s="8"/>
      <c r="K12" s="7" t="s">
        <v>52</v>
      </c>
      <c r="L12" s="7" t="s">
        <v>81</v>
      </c>
      <c r="M12" s="8" t="s">
        <v>56</v>
      </c>
      <c r="N12" s="8"/>
      <c r="O12" s="8" t="s">
        <v>138</v>
      </c>
      <c r="P12" s="7" t="s">
        <v>139</v>
      </c>
      <c r="Q12" s="7" t="s">
        <v>136</v>
      </c>
      <c r="R12" s="8"/>
      <c r="S12" s="6" t="str">
        <f>"805,0"</f>
        <v>805,0</v>
      </c>
      <c r="T12" s="7" t="str">
        <f>"478,5725"</f>
        <v>478,5725</v>
      </c>
      <c r="U12" s="6" t="s">
        <v>44</v>
      </c>
    </row>
    <row r="14" spans="1:20" ht="15">
      <c r="A14" s="46" t="s">
        <v>45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1" ht="12.75">
      <c r="A15" s="6" t="s">
        <v>140</v>
      </c>
      <c r="B15" s="6" t="s">
        <v>141</v>
      </c>
      <c r="C15" s="6" t="s">
        <v>142</v>
      </c>
      <c r="D15" s="6" t="str">
        <f>"0,5772"</f>
        <v>0,5772</v>
      </c>
      <c r="E15" s="6" t="s">
        <v>17</v>
      </c>
      <c r="F15" s="6" t="s">
        <v>143</v>
      </c>
      <c r="G15" s="7" t="s">
        <v>144</v>
      </c>
      <c r="H15" s="7" t="s">
        <v>145</v>
      </c>
      <c r="I15" s="7" t="s">
        <v>146</v>
      </c>
      <c r="J15" s="8"/>
      <c r="K15" s="7" t="s">
        <v>127</v>
      </c>
      <c r="L15" s="7" t="s">
        <v>89</v>
      </c>
      <c r="M15" s="7" t="s">
        <v>103</v>
      </c>
      <c r="N15" s="8"/>
      <c r="O15" s="7" t="s">
        <v>41</v>
      </c>
      <c r="P15" s="7" t="s">
        <v>43</v>
      </c>
      <c r="Q15" s="7" t="s">
        <v>147</v>
      </c>
      <c r="R15" s="8"/>
      <c r="S15" s="6" t="str">
        <f>"935,0"</f>
        <v>935,0</v>
      </c>
      <c r="T15" s="7" t="str">
        <f>"539,6820"</f>
        <v>539,6820</v>
      </c>
      <c r="U15" s="6" t="s">
        <v>148</v>
      </c>
    </row>
    <row r="17" ht="15">
      <c r="E17" s="15" t="s">
        <v>59</v>
      </c>
    </row>
    <row r="18" ht="15">
      <c r="E18" s="15" t="s">
        <v>60</v>
      </c>
    </row>
    <row r="19" ht="15">
      <c r="E19" s="15"/>
    </row>
  </sheetData>
  <sheetProtection/>
  <mergeCells count="17">
    <mergeCell ref="A14:T14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6.00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5.00390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3.25390625" style="5" bestFit="1" customWidth="1"/>
    <col min="22" max="16384" width="9.125" style="4" customWidth="1"/>
  </cols>
  <sheetData>
    <row r="1" spans="1:21" s="3" customFormat="1" ht="28.5" customHeight="1">
      <c r="A1" s="32" t="s">
        <v>1131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s="3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s="1" customFormat="1" ht="12.75" customHeight="1">
      <c r="A3" s="38" t="s">
        <v>0</v>
      </c>
      <c r="B3" s="40" t="s">
        <v>9</v>
      </c>
      <c r="C3" s="40" t="s">
        <v>11</v>
      </c>
      <c r="D3" s="42" t="s">
        <v>12</v>
      </c>
      <c r="E3" s="42" t="s">
        <v>7</v>
      </c>
      <c r="F3" s="42" t="s">
        <v>10</v>
      </c>
      <c r="G3" s="42" t="s">
        <v>1</v>
      </c>
      <c r="H3" s="42"/>
      <c r="I3" s="42"/>
      <c r="J3" s="42"/>
      <c r="K3" s="42" t="s">
        <v>2</v>
      </c>
      <c r="L3" s="42"/>
      <c r="M3" s="42"/>
      <c r="N3" s="42"/>
      <c r="O3" s="42" t="s">
        <v>3</v>
      </c>
      <c r="P3" s="42"/>
      <c r="Q3" s="42"/>
      <c r="R3" s="42"/>
      <c r="S3" s="42" t="s">
        <v>4</v>
      </c>
      <c r="T3" s="42" t="s">
        <v>6</v>
      </c>
      <c r="U3" s="43" t="s">
        <v>5</v>
      </c>
    </row>
    <row r="4" spans="1:21" s="1" customFormat="1" ht="21" customHeight="1" thickBot="1">
      <c r="A4" s="39"/>
      <c r="B4" s="41"/>
      <c r="C4" s="41"/>
      <c r="D4" s="41"/>
      <c r="E4" s="41"/>
      <c r="F4" s="41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1"/>
      <c r="T4" s="41"/>
      <c r="U4" s="44"/>
    </row>
    <row r="5" spans="1:20" ht="15">
      <c r="A5" s="45" t="s">
        <v>29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12.75">
      <c r="A6" s="9" t="s">
        <v>150</v>
      </c>
      <c r="B6" s="9" t="s">
        <v>151</v>
      </c>
      <c r="C6" s="9" t="s">
        <v>152</v>
      </c>
      <c r="D6" s="9" t="str">
        <f>"0,6017"</f>
        <v>0,6017</v>
      </c>
      <c r="E6" s="9" t="s">
        <v>33</v>
      </c>
      <c r="F6" s="9" t="s">
        <v>34</v>
      </c>
      <c r="G6" s="10" t="s">
        <v>138</v>
      </c>
      <c r="H6" s="10" t="s">
        <v>41</v>
      </c>
      <c r="I6" s="11" t="s">
        <v>43</v>
      </c>
      <c r="J6" s="11"/>
      <c r="K6" s="10" t="s">
        <v>36</v>
      </c>
      <c r="L6" s="11" t="s">
        <v>37</v>
      </c>
      <c r="M6" s="11" t="s">
        <v>37</v>
      </c>
      <c r="N6" s="11"/>
      <c r="O6" s="10" t="s">
        <v>103</v>
      </c>
      <c r="P6" s="10" t="s">
        <v>36</v>
      </c>
      <c r="Q6" s="10" t="s">
        <v>98</v>
      </c>
      <c r="R6" s="11"/>
      <c r="S6" s="9" t="str">
        <f>"790,0"</f>
        <v>790,0</v>
      </c>
      <c r="T6" s="10" t="str">
        <f>"475,3430"</f>
        <v>475,3430</v>
      </c>
      <c r="U6" s="9" t="s">
        <v>57</v>
      </c>
    </row>
    <row r="7" spans="1:21" ht="12.75">
      <c r="A7" s="12" t="s">
        <v>150</v>
      </c>
      <c r="B7" s="12" t="s">
        <v>153</v>
      </c>
      <c r="C7" s="12" t="s">
        <v>152</v>
      </c>
      <c r="D7" s="12" t="str">
        <f>"0,6017"</f>
        <v>0,6017</v>
      </c>
      <c r="E7" s="12" t="s">
        <v>33</v>
      </c>
      <c r="F7" s="12" t="s">
        <v>34</v>
      </c>
      <c r="G7" s="13" t="s">
        <v>138</v>
      </c>
      <c r="H7" s="13" t="s">
        <v>41</v>
      </c>
      <c r="I7" s="14" t="s">
        <v>43</v>
      </c>
      <c r="J7" s="14"/>
      <c r="K7" s="13" t="s">
        <v>36</v>
      </c>
      <c r="L7" s="14" t="s">
        <v>37</v>
      </c>
      <c r="M7" s="14" t="s">
        <v>37</v>
      </c>
      <c r="N7" s="14"/>
      <c r="O7" s="13" t="s">
        <v>103</v>
      </c>
      <c r="P7" s="13" t="s">
        <v>36</v>
      </c>
      <c r="Q7" s="13" t="s">
        <v>98</v>
      </c>
      <c r="R7" s="14"/>
      <c r="S7" s="12" t="str">
        <f>"790,0"</f>
        <v>790,0</v>
      </c>
      <c r="T7" s="13" t="str">
        <f>"537,1376"</f>
        <v>537,1376</v>
      </c>
      <c r="U7" s="12" t="s">
        <v>57</v>
      </c>
    </row>
    <row r="9" spans="1:20" ht="15">
      <c r="A9" s="46" t="s">
        <v>45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1" ht="12.75">
      <c r="A10" s="6" t="s">
        <v>154</v>
      </c>
      <c r="B10" s="6" t="s">
        <v>155</v>
      </c>
      <c r="C10" s="6" t="s">
        <v>156</v>
      </c>
      <c r="D10" s="6" t="str">
        <f>"0,5882"</f>
        <v>0,5882</v>
      </c>
      <c r="E10" s="6" t="s">
        <v>157</v>
      </c>
      <c r="F10" s="6" t="s">
        <v>158</v>
      </c>
      <c r="G10" s="8" t="s">
        <v>27</v>
      </c>
      <c r="H10" s="8"/>
      <c r="I10" s="8"/>
      <c r="J10" s="8"/>
      <c r="K10" s="8" t="s">
        <v>22</v>
      </c>
      <c r="L10" s="8"/>
      <c r="M10" s="8"/>
      <c r="N10" s="8"/>
      <c r="O10" s="8" t="s">
        <v>27</v>
      </c>
      <c r="P10" s="8"/>
      <c r="Q10" s="8"/>
      <c r="R10" s="8"/>
      <c r="S10" s="6" t="str">
        <f>"0,0"</f>
        <v>0,0</v>
      </c>
      <c r="T10" s="7" t="str">
        <f>"0,0000"</f>
        <v>0,0000</v>
      </c>
      <c r="U10" s="6" t="s">
        <v>159</v>
      </c>
    </row>
    <row r="12" ht="15">
      <c r="E12" s="15" t="s">
        <v>59</v>
      </c>
    </row>
    <row r="13" ht="15">
      <c r="E13" s="15" t="s">
        <v>60</v>
      </c>
    </row>
  </sheetData>
  <sheetProtection/>
  <mergeCells count="15">
    <mergeCell ref="T3:T4"/>
    <mergeCell ref="U3:U4"/>
    <mergeCell ref="A5:T5"/>
    <mergeCell ref="A9:T9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Windows User</cp:lastModifiedBy>
  <cp:lastPrinted>2015-07-16T19:10:53Z</cp:lastPrinted>
  <dcterms:created xsi:type="dcterms:W3CDTF">2002-06-16T13:36:44Z</dcterms:created>
  <dcterms:modified xsi:type="dcterms:W3CDTF">2018-03-07T14:37:58Z</dcterms:modified>
  <cp:category/>
  <cp:version/>
  <cp:contentType/>
  <cp:contentStatus/>
</cp:coreProperties>
</file>