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5" windowWidth="11340" windowHeight="9690" firstSheet="16" activeTab="20"/>
  </bookViews>
  <sheets>
    <sheet name="WPU НЖ 1_2 вес д.к." sheetId="8" r:id="rId1"/>
    <sheet name="WPU НЖ 1 вес д.к." sheetId="7" r:id="rId2"/>
    <sheet name="WPU НЖ 1 вес" sheetId="5" r:id="rId3"/>
    <sheet name="WPU c ДК тяга без эк." sheetId="10" r:id="rId4"/>
    <sheet name="WPU c ДК тяга в одн сл. эк." sheetId="11" r:id="rId5"/>
    <sheet name="WPU c ДК жим классик." sheetId="12" r:id="rId6"/>
    <sheet name="WPU c ДК жим безэк." sheetId="13" r:id="rId7"/>
    <sheet name="WPU c ДК жим в одн сл. эк." sheetId="14" r:id="rId8"/>
    <sheet name="WPU c ДК жим в мн сл. эк." sheetId="15" r:id="rId9"/>
    <sheet name="WPU c ДК пл классик." sheetId="16" r:id="rId10"/>
    <sheet name="WPU c ДК пл безэк." sheetId="17" r:id="rId11"/>
    <sheet name="WPU c ДК пл в одн сл. эк." sheetId="18" r:id="rId12"/>
    <sheet name="WPU тяга без эк." sheetId="19" r:id="rId13"/>
    <sheet name="WPU тяга в мн сл. эк." sheetId="20" r:id="rId14"/>
    <sheet name="WPU жим классик." sheetId="22" r:id="rId15"/>
    <sheet name="WPU жим безэк." sheetId="23" r:id="rId16"/>
    <sheet name="WPU жим в одн сл. эк." sheetId="24" r:id="rId17"/>
    <sheet name="WPU жим в мн сл. эк." sheetId="21" r:id="rId18"/>
    <sheet name="WPU пл классик." sheetId="25" r:id="rId19"/>
    <sheet name="WPU пл безэк." sheetId="26" r:id="rId20"/>
    <sheet name="WPU пл в одн сл. эк." sheetId="27" r:id="rId21"/>
  </sheets>
  <definedNames>
    <definedName name="_xlnm._FilterDatabase" localSheetId="2" hidden="1">'WPU НЖ 1 вес'!$A$1:$J$3</definedName>
    <definedName name="_xlnm._FilterDatabase" localSheetId="18" hidden="1">'WPU пл классик.'!$A$1:$T$3</definedName>
  </definedNames>
  <calcPr calcId="145621" refMode="R1C1"/>
</workbook>
</file>

<file path=xl/calcChain.xml><?xml version="1.0" encoding="utf-8"?>
<calcChain xmlns="http://schemas.openxmlformats.org/spreadsheetml/2006/main">
  <c r="E6" i="8" l="1"/>
  <c r="J6" i="8"/>
  <c r="K6" i="8"/>
  <c r="E9" i="8"/>
  <c r="J9" i="8"/>
  <c r="K9" i="8"/>
  <c r="K19" i="5" l="1"/>
  <c r="J19" i="5"/>
  <c r="E19" i="5"/>
  <c r="U16" i="27"/>
  <c r="T16" i="27"/>
  <c r="E16" i="27"/>
  <c r="U13" i="27"/>
  <c r="T13" i="27"/>
  <c r="E13" i="27"/>
  <c r="U10" i="27"/>
  <c r="T10" i="27"/>
  <c r="E10" i="27"/>
  <c r="U7" i="27"/>
  <c r="T7" i="27"/>
  <c r="E7" i="27"/>
  <c r="U6" i="27"/>
  <c r="T6" i="27"/>
  <c r="E6" i="27"/>
  <c r="U34" i="26"/>
  <c r="T34" i="26"/>
  <c r="E34" i="26"/>
  <c r="U33" i="26"/>
  <c r="T33" i="26"/>
  <c r="E33" i="26"/>
  <c r="U30" i="26"/>
  <c r="T30" i="26"/>
  <c r="E30" i="26"/>
  <c r="U29" i="26"/>
  <c r="T29" i="26"/>
  <c r="E29" i="26"/>
  <c r="U28" i="26"/>
  <c r="T28" i="26"/>
  <c r="E28" i="26"/>
  <c r="U25" i="26"/>
  <c r="T25" i="26"/>
  <c r="E25" i="26"/>
  <c r="U24" i="26"/>
  <c r="T24" i="26"/>
  <c r="E24" i="26"/>
  <c r="U23" i="26"/>
  <c r="T23" i="26"/>
  <c r="E23" i="26"/>
  <c r="U22" i="26"/>
  <c r="T22" i="26"/>
  <c r="E22" i="26"/>
  <c r="U19" i="26"/>
  <c r="T19" i="26"/>
  <c r="E19" i="26"/>
  <c r="U18" i="26"/>
  <c r="T18" i="26"/>
  <c r="E18" i="26"/>
  <c r="U15" i="26"/>
  <c r="T15" i="26"/>
  <c r="E15" i="26"/>
  <c r="U12" i="26"/>
  <c r="T12" i="26"/>
  <c r="E12" i="26"/>
  <c r="U9" i="26"/>
  <c r="T9" i="26"/>
  <c r="E9" i="26"/>
  <c r="U6" i="26"/>
  <c r="T6" i="26"/>
  <c r="E6" i="26"/>
  <c r="U9" i="25"/>
  <c r="T9" i="25"/>
  <c r="E9" i="25"/>
  <c r="U6" i="25"/>
  <c r="T6" i="25"/>
  <c r="E6" i="25"/>
  <c r="M9" i="24"/>
  <c r="L9" i="24"/>
  <c r="E9" i="24"/>
  <c r="M6" i="24"/>
  <c r="L6" i="24"/>
  <c r="E6" i="24"/>
  <c r="M48" i="23"/>
  <c r="L48" i="23"/>
  <c r="E48" i="23"/>
  <c r="M47" i="23"/>
  <c r="L47" i="23"/>
  <c r="E47" i="23"/>
  <c r="M44" i="23"/>
  <c r="L44" i="23"/>
  <c r="E44" i="23"/>
  <c r="M43" i="23"/>
  <c r="L43" i="23"/>
  <c r="E43" i="23"/>
  <c r="M42" i="23"/>
  <c r="L42" i="23"/>
  <c r="E42" i="23"/>
  <c r="M39" i="23"/>
  <c r="L39" i="23"/>
  <c r="E39" i="23"/>
  <c r="M38" i="23"/>
  <c r="L38" i="23"/>
  <c r="E38" i="23"/>
  <c r="M37" i="23"/>
  <c r="L37" i="23"/>
  <c r="E37" i="23"/>
  <c r="M34" i="23"/>
  <c r="L34" i="23"/>
  <c r="E34" i="23"/>
  <c r="M33" i="23"/>
  <c r="L33" i="23"/>
  <c r="E33" i="23"/>
  <c r="M32" i="23"/>
  <c r="L32" i="23"/>
  <c r="E32" i="23"/>
  <c r="M31" i="23"/>
  <c r="L31" i="23"/>
  <c r="E31" i="23"/>
  <c r="M30" i="23"/>
  <c r="L30" i="23"/>
  <c r="E30" i="23"/>
  <c r="M29" i="23"/>
  <c r="L29" i="23"/>
  <c r="E29" i="23"/>
  <c r="M26" i="23"/>
  <c r="L26" i="23"/>
  <c r="E26" i="23"/>
  <c r="M25" i="23"/>
  <c r="L25" i="23"/>
  <c r="E25" i="23"/>
  <c r="M24" i="23"/>
  <c r="L24" i="23"/>
  <c r="E24" i="23"/>
  <c r="M21" i="23"/>
  <c r="L21" i="23"/>
  <c r="E21" i="23"/>
  <c r="M18" i="23"/>
  <c r="L18" i="23"/>
  <c r="E18" i="23"/>
  <c r="M15" i="23"/>
  <c r="L15" i="23"/>
  <c r="E15" i="23"/>
  <c r="M12" i="23"/>
  <c r="L12" i="23"/>
  <c r="E12" i="23"/>
  <c r="M9" i="23"/>
  <c r="L9" i="23"/>
  <c r="E9" i="23"/>
  <c r="M6" i="23"/>
  <c r="L6" i="23"/>
  <c r="E6" i="23"/>
  <c r="M27" i="22"/>
  <c r="L27" i="22"/>
  <c r="E27" i="22"/>
  <c r="M26" i="22"/>
  <c r="L26" i="22"/>
  <c r="E26" i="22"/>
  <c r="M23" i="22"/>
  <c r="L23" i="22"/>
  <c r="E23" i="22"/>
  <c r="M22" i="22"/>
  <c r="L22" i="22"/>
  <c r="E22" i="22"/>
  <c r="M21" i="22"/>
  <c r="L21" i="22"/>
  <c r="E21" i="22"/>
  <c r="M18" i="22"/>
  <c r="L18" i="22"/>
  <c r="E18" i="22"/>
  <c r="M17" i="22"/>
  <c r="L17" i="22"/>
  <c r="E17" i="22"/>
  <c r="M16" i="22"/>
  <c r="L16" i="22"/>
  <c r="E16" i="22"/>
  <c r="M15" i="22"/>
  <c r="L15" i="22"/>
  <c r="E15" i="22"/>
  <c r="M12" i="22"/>
  <c r="L12" i="22"/>
  <c r="E12" i="22"/>
  <c r="M9" i="22"/>
  <c r="L9" i="22"/>
  <c r="E9" i="22"/>
  <c r="M6" i="22"/>
  <c r="L6" i="22"/>
  <c r="E6" i="22"/>
  <c r="M6" i="21"/>
  <c r="L6" i="21"/>
  <c r="E6" i="21"/>
  <c r="M6" i="20"/>
  <c r="L6" i="20"/>
  <c r="E6" i="20"/>
  <c r="M20" i="19"/>
  <c r="L20" i="19"/>
  <c r="E20" i="19"/>
  <c r="M19" i="19"/>
  <c r="L19" i="19"/>
  <c r="E19" i="19"/>
  <c r="M18" i="19"/>
  <c r="L18" i="19"/>
  <c r="E18" i="19"/>
  <c r="M15" i="19"/>
  <c r="L15" i="19"/>
  <c r="E15" i="19"/>
  <c r="M12" i="19"/>
  <c r="L12" i="19"/>
  <c r="E12" i="19"/>
  <c r="M9" i="19"/>
  <c r="L9" i="19"/>
  <c r="E9" i="19"/>
  <c r="M6" i="19"/>
  <c r="L6" i="19"/>
  <c r="E6" i="19"/>
  <c r="U9" i="18"/>
  <c r="T9" i="18"/>
  <c r="E9" i="18"/>
  <c r="U6" i="18"/>
  <c r="T6" i="18"/>
  <c r="E6" i="18"/>
  <c r="U63" i="17"/>
  <c r="T63" i="17"/>
  <c r="E63" i="17"/>
  <c r="U60" i="17"/>
  <c r="T60" i="17"/>
  <c r="E60" i="17"/>
  <c r="U59" i="17"/>
  <c r="T59" i="17"/>
  <c r="E59" i="17"/>
  <c r="U58" i="17"/>
  <c r="T58" i="17"/>
  <c r="E58" i="17"/>
  <c r="U57" i="17"/>
  <c r="T57" i="17"/>
  <c r="E57" i="17"/>
  <c r="U56" i="17"/>
  <c r="T56" i="17"/>
  <c r="E56" i="17"/>
  <c r="U53" i="17"/>
  <c r="T53" i="17"/>
  <c r="E53" i="17"/>
  <c r="U52" i="17"/>
  <c r="T52" i="17"/>
  <c r="E52" i="17"/>
  <c r="U51" i="17"/>
  <c r="T51" i="17"/>
  <c r="E51" i="17"/>
  <c r="U48" i="17"/>
  <c r="T48" i="17"/>
  <c r="E48" i="17"/>
  <c r="U47" i="17"/>
  <c r="T47" i="17"/>
  <c r="E47" i="17"/>
  <c r="U46" i="17"/>
  <c r="T46" i="17"/>
  <c r="E46" i="17"/>
  <c r="U45" i="17"/>
  <c r="T45" i="17"/>
  <c r="E45" i="17"/>
  <c r="U44" i="17"/>
  <c r="T44" i="17"/>
  <c r="E44" i="17"/>
  <c r="U41" i="17"/>
  <c r="T41" i="17"/>
  <c r="E41" i="17"/>
  <c r="U40" i="17"/>
  <c r="T40" i="17"/>
  <c r="E40" i="17"/>
  <c r="U39" i="17"/>
  <c r="T39" i="17"/>
  <c r="E39" i="17"/>
  <c r="U36" i="17"/>
  <c r="T36" i="17"/>
  <c r="E36" i="17"/>
  <c r="U35" i="17"/>
  <c r="T35" i="17"/>
  <c r="E35" i="17"/>
  <c r="U34" i="17"/>
  <c r="T34" i="17"/>
  <c r="E34" i="17"/>
  <c r="U31" i="17"/>
  <c r="T31" i="17"/>
  <c r="E31" i="17"/>
  <c r="U30" i="17"/>
  <c r="T30" i="17"/>
  <c r="E30" i="17"/>
  <c r="U29" i="17"/>
  <c r="T29" i="17"/>
  <c r="E29" i="17"/>
  <c r="U28" i="17"/>
  <c r="T28" i="17"/>
  <c r="E28" i="17"/>
  <c r="U25" i="17"/>
  <c r="T25" i="17"/>
  <c r="E25" i="17"/>
  <c r="U22" i="17"/>
  <c r="T22" i="17"/>
  <c r="E22" i="17"/>
  <c r="U21" i="17"/>
  <c r="T21" i="17"/>
  <c r="E21" i="17"/>
  <c r="U18" i="17"/>
  <c r="T18" i="17"/>
  <c r="E18" i="17"/>
  <c r="U17" i="17"/>
  <c r="T17" i="17"/>
  <c r="E17" i="17"/>
  <c r="U16" i="17"/>
  <c r="T16" i="17"/>
  <c r="E16" i="17"/>
  <c r="U13" i="17"/>
  <c r="T13" i="17"/>
  <c r="E13" i="17"/>
  <c r="U12" i="17"/>
  <c r="T12" i="17"/>
  <c r="E12" i="17"/>
  <c r="U9" i="17"/>
  <c r="T9" i="17"/>
  <c r="E9" i="17"/>
  <c r="U6" i="17"/>
  <c r="T6" i="17"/>
  <c r="E6" i="17"/>
  <c r="U56" i="16"/>
  <c r="T56" i="16"/>
  <c r="E56" i="16"/>
  <c r="U55" i="16"/>
  <c r="T55" i="16"/>
  <c r="E55" i="16"/>
  <c r="U52" i="16"/>
  <c r="T52" i="16"/>
  <c r="E52" i="16"/>
  <c r="U51" i="16"/>
  <c r="T51" i="16"/>
  <c r="E51" i="16"/>
  <c r="U48" i="16"/>
  <c r="T48" i="16"/>
  <c r="E48" i="16"/>
  <c r="U47" i="16"/>
  <c r="T47" i="16"/>
  <c r="E47" i="16"/>
  <c r="U46" i="16"/>
  <c r="T46" i="16"/>
  <c r="E46" i="16"/>
  <c r="U45" i="16"/>
  <c r="T45" i="16"/>
  <c r="E45" i="16"/>
  <c r="U42" i="16"/>
  <c r="T42" i="16"/>
  <c r="E42" i="16"/>
  <c r="U39" i="16"/>
  <c r="T39" i="16"/>
  <c r="E39" i="16"/>
  <c r="U38" i="16"/>
  <c r="T38" i="16"/>
  <c r="E38" i="16"/>
  <c r="U37" i="16"/>
  <c r="T37" i="16"/>
  <c r="E37" i="16"/>
  <c r="U36" i="16"/>
  <c r="T36" i="16"/>
  <c r="E36" i="16"/>
  <c r="U35" i="16"/>
  <c r="T35" i="16"/>
  <c r="E35" i="16"/>
  <c r="U34" i="16"/>
  <c r="T34" i="16"/>
  <c r="E34" i="16"/>
  <c r="U33" i="16"/>
  <c r="T33" i="16"/>
  <c r="E33" i="16"/>
  <c r="U30" i="16"/>
  <c r="T30" i="16"/>
  <c r="E30" i="16"/>
  <c r="U29" i="16"/>
  <c r="T29" i="16"/>
  <c r="E29" i="16"/>
  <c r="U26" i="16"/>
  <c r="T26" i="16"/>
  <c r="E26" i="16"/>
  <c r="U23" i="16"/>
  <c r="T23" i="16"/>
  <c r="E23" i="16"/>
  <c r="U22" i="16"/>
  <c r="T22" i="16"/>
  <c r="E22" i="16"/>
  <c r="U19" i="16"/>
  <c r="T19" i="16"/>
  <c r="E19" i="16"/>
  <c r="U16" i="16"/>
  <c r="T16" i="16"/>
  <c r="E16" i="16"/>
  <c r="U15" i="16"/>
  <c r="T15" i="16"/>
  <c r="E15" i="16"/>
  <c r="U12" i="16"/>
  <c r="T12" i="16"/>
  <c r="E12" i="16"/>
  <c r="U11" i="16"/>
  <c r="T11" i="16"/>
  <c r="E11" i="16"/>
  <c r="U10" i="16"/>
  <c r="T10" i="16"/>
  <c r="E10" i="16"/>
  <c r="U9" i="16"/>
  <c r="T9" i="16"/>
  <c r="E9" i="16"/>
  <c r="U6" i="16"/>
  <c r="T6" i="16"/>
  <c r="E6" i="16"/>
  <c r="M6" i="15"/>
  <c r="L6" i="15"/>
  <c r="E6" i="15"/>
  <c r="M8" i="14"/>
  <c r="L8" i="14"/>
  <c r="E8" i="14"/>
  <c r="M7" i="14"/>
  <c r="L7" i="14"/>
  <c r="E7" i="14"/>
  <c r="M6" i="14"/>
  <c r="L6" i="14"/>
  <c r="E6" i="14"/>
  <c r="M94" i="13"/>
  <c r="L94" i="13"/>
  <c r="E94" i="13"/>
  <c r="M91" i="13"/>
  <c r="L91" i="13"/>
  <c r="E91" i="13"/>
  <c r="M90" i="13"/>
  <c r="L90" i="13"/>
  <c r="E90" i="13"/>
  <c r="M89" i="13"/>
  <c r="L89" i="13"/>
  <c r="E89" i="13"/>
  <c r="M86" i="13"/>
  <c r="L86" i="13"/>
  <c r="E86" i="13"/>
  <c r="M85" i="13"/>
  <c r="L85" i="13"/>
  <c r="E85" i="13"/>
  <c r="M84" i="13"/>
  <c r="L84" i="13"/>
  <c r="E84" i="13"/>
  <c r="M81" i="13"/>
  <c r="L81" i="13"/>
  <c r="E81" i="13"/>
  <c r="M80" i="13"/>
  <c r="L80" i="13"/>
  <c r="E80" i="13"/>
  <c r="M79" i="13"/>
  <c r="L79" i="13"/>
  <c r="E79" i="13"/>
  <c r="M78" i="13"/>
  <c r="L78" i="13"/>
  <c r="E78" i="13"/>
  <c r="M75" i="13"/>
  <c r="L75" i="13"/>
  <c r="E75" i="13"/>
  <c r="M74" i="13"/>
  <c r="L74" i="13"/>
  <c r="E74" i="13"/>
  <c r="M73" i="13"/>
  <c r="L73" i="13"/>
  <c r="E73" i="13"/>
  <c r="M72" i="13"/>
  <c r="L72" i="13"/>
  <c r="E72" i="13"/>
  <c r="M71" i="13"/>
  <c r="L71" i="13"/>
  <c r="E71" i="13"/>
  <c r="M70" i="13"/>
  <c r="L70" i="13"/>
  <c r="E70" i="13"/>
  <c r="M69" i="13"/>
  <c r="L69" i="13"/>
  <c r="E69" i="13"/>
  <c r="M68" i="13"/>
  <c r="L68" i="13"/>
  <c r="E68" i="13"/>
  <c r="M67" i="13"/>
  <c r="L67" i="13"/>
  <c r="E67" i="13"/>
  <c r="M64" i="13"/>
  <c r="L64" i="13"/>
  <c r="E64" i="13"/>
  <c r="M63" i="13"/>
  <c r="L63" i="13"/>
  <c r="E63" i="13"/>
  <c r="M62" i="13"/>
  <c r="L62" i="13"/>
  <c r="E62" i="13"/>
  <c r="M61" i="13"/>
  <c r="L61" i="13"/>
  <c r="E61" i="13"/>
  <c r="M60" i="13"/>
  <c r="L60" i="13"/>
  <c r="E60" i="13"/>
  <c r="M59" i="13"/>
  <c r="L59" i="13"/>
  <c r="E59" i="13"/>
  <c r="M58" i="13"/>
  <c r="L58" i="13"/>
  <c r="E58" i="13"/>
  <c r="M57" i="13"/>
  <c r="L57" i="13"/>
  <c r="E57" i="13"/>
  <c r="M56" i="13"/>
  <c r="L56" i="13"/>
  <c r="E56" i="13"/>
  <c r="M55" i="13"/>
  <c r="L55" i="13"/>
  <c r="E55" i="13"/>
  <c r="M54" i="13"/>
  <c r="L54" i="13"/>
  <c r="E54" i="13"/>
  <c r="M51" i="13"/>
  <c r="L51" i="13"/>
  <c r="E51" i="13"/>
  <c r="M50" i="13"/>
  <c r="L50" i="13"/>
  <c r="E50" i="13"/>
  <c r="M49" i="13"/>
  <c r="L49" i="13"/>
  <c r="E49" i="13"/>
  <c r="M48" i="13"/>
  <c r="L48" i="13"/>
  <c r="E48" i="13"/>
  <c r="M47" i="13"/>
  <c r="L47" i="13"/>
  <c r="E47" i="13"/>
  <c r="M46" i="13"/>
  <c r="L46" i="13"/>
  <c r="E46" i="13"/>
  <c r="M45" i="13"/>
  <c r="L45" i="13"/>
  <c r="E45" i="13"/>
  <c r="M44" i="13"/>
  <c r="L44" i="13"/>
  <c r="E44" i="13"/>
  <c r="M43" i="13"/>
  <c r="L43" i="13"/>
  <c r="E43" i="13"/>
  <c r="M42" i="13"/>
  <c r="L42" i="13"/>
  <c r="E42" i="13"/>
  <c r="M39" i="13"/>
  <c r="L39" i="13"/>
  <c r="E39" i="13"/>
  <c r="M38" i="13"/>
  <c r="L38" i="13"/>
  <c r="E38" i="13"/>
  <c r="M37" i="13"/>
  <c r="L37" i="13"/>
  <c r="E37" i="13"/>
  <c r="M36" i="13"/>
  <c r="L36" i="13"/>
  <c r="E36" i="13"/>
  <c r="M35" i="13"/>
  <c r="L35" i="13"/>
  <c r="E35" i="13"/>
  <c r="M34" i="13"/>
  <c r="L34" i="13"/>
  <c r="E34" i="13"/>
  <c r="M31" i="13"/>
  <c r="L31" i="13"/>
  <c r="E31" i="13"/>
  <c r="M30" i="13"/>
  <c r="L30" i="13"/>
  <c r="E30" i="13"/>
  <c r="M29" i="13"/>
  <c r="L29" i="13"/>
  <c r="E29" i="13"/>
  <c r="M28" i="13"/>
  <c r="L28" i="13"/>
  <c r="E28" i="13"/>
  <c r="M27" i="13"/>
  <c r="L27" i="13"/>
  <c r="E27" i="13"/>
  <c r="M24" i="13"/>
  <c r="L24" i="13"/>
  <c r="E24" i="13"/>
  <c r="M21" i="13"/>
  <c r="L21" i="13"/>
  <c r="E21" i="13"/>
  <c r="M20" i="13"/>
  <c r="L20" i="13"/>
  <c r="E20" i="13"/>
  <c r="M17" i="13"/>
  <c r="L17" i="13"/>
  <c r="E17" i="13"/>
  <c r="M14" i="13"/>
  <c r="L14" i="13"/>
  <c r="E14" i="13"/>
  <c r="M13" i="13"/>
  <c r="L13" i="13"/>
  <c r="E13" i="13"/>
  <c r="M12" i="13"/>
  <c r="L12" i="13"/>
  <c r="E12" i="13"/>
  <c r="M9" i="13"/>
  <c r="L9" i="13"/>
  <c r="E9" i="13"/>
  <c r="M6" i="13"/>
  <c r="L6" i="13"/>
  <c r="E6" i="13"/>
  <c r="M86" i="12"/>
  <c r="L86" i="12"/>
  <c r="E86" i="12"/>
  <c r="M83" i="12"/>
  <c r="L83" i="12"/>
  <c r="E83" i="12"/>
  <c r="M82" i="12"/>
  <c r="L82" i="12"/>
  <c r="E82" i="12"/>
  <c r="M79" i="12"/>
  <c r="L79" i="12"/>
  <c r="E79" i="12"/>
  <c r="M78" i="12"/>
  <c r="L78" i="12"/>
  <c r="E78" i="12"/>
  <c r="M77" i="12"/>
  <c r="L77" i="12"/>
  <c r="E77" i="12"/>
  <c r="M76" i="12"/>
  <c r="L76" i="12"/>
  <c r="E76" i="12"/>
  <c r="M75" i="12"/>
  <c r="L75" i="12"/>
  <c r="E75" i="12"/>
  <c r="M74" i="12"/>
  <c r="L74" i="12"/>
  <c r="E74" i="12"/>
  <c r="M73" i="12"/>
  <c r="L73" i="12"/>
  <c r="E73" i="12"/>
  <c r="M72" i="12"/>
  <c r="L72" i="12"/>
  <c r="E72" i="12"/>
  <c r="M69" i="12"/>
  <c r="L69" i="12"/>
  <c r="E69" i="12"/>
  <c r="M68" i="12"/>
  <c r="L68" i="12"/>
  <c r="E68" i="12"/>
  <c r="M67" i="12"/>
  <c r="L67" i="12"/>
  <c r="E67" i="12"/>
  <c r="M66" i="12"/>
  <c r="L66" i="12"/>
  <c r="E66" i="12"/>
  <c r="M65" i="12"/>
  <c r="L65" i="12"/>
  <c r="E65" i="12"/>
  <c r="M64" i="12"/>
  <c r="L64" i="12"/>
  <c r="E64" i="12"/>
  <c r="M61" i="12"/>
  <c r="L61" i="12"/>
  <c r="E61" i="12"/>
  <c r="M60" i="12"/>
  <c r="L60" i="12"/>
  <c r="E60" i="12"/>
  <c r="M59" i="12"/>
  <c r="L59" i="12"/>
  <c r="E59" i="12"/>
  <c r="M58" i="12"/>
  <c r="L58" i="12"/>
  <c r="E58" i="12"/>
  <c r="M57" i="12"/>
  <c r="L57" i="12"/>
  <c r="E57" i="12"/>
  <c r="M56" i="12"/>
  <c r="L56" i="12"/>
  <c r="E56" i="12"/>
  <c r="M55" i="12"/>
  <c r="L55" i="12"/>
  <c r="E55" i="12"/>
  <c r="M54" i="12"/>
  <c r="L54" i="12"/>
  <c r="E54" i="12"/>
  <c r="M53" i="12"/>
  <c r="L53" i="12"/>
  <c r="E53" i="12"/>
  <c r="M52" i="12"/>
  <c r="L52" i="12"/>
  <c r="E52" i="12"/>
  <c r="M51" i="12"/>
  <c r="L51" i="12"/>
  <c r="E51" i="12"/>
  <c r="M50" i="12"/>
  <c r="L50" i="12"/>
  <c r="E50" i="12"/>
  <c r="M49" i="12"/>
  <c r="L49" i="12"/>
  <c r="E49" i="12"/>
  <c r="M46" i="12"/>
  <c r="L46" i="12"/>
  <c r="E46" i="12"/>
  <c r="M45" i="12"/>
  <c r="L45" i="12"/>
  <c r="E45" i="12"/>
  <c r="M44" i="12"/>
  <c r="L44" i="12"/>
  <c r="E44" i="12"/>
  <c r="M43" i="12"/>
  <c r="L43" i="12"/>
  <c r="E43" i="12"/>
  <c r="M42" i="12"/>
  <c r="L42" i="12"/>
  <c r="E42" i="12"/>
  <c r="M41" i="12"/>
  <c r="L41" i="12"/>
  <c r="E41" i="12"/>
  <c r="M40" i="12"/>
  <c r="L40" i="12"/>
  <c r="E40" i="12"/>
  <c r="M37" i="12"/>
  <c r="L37" i="12"/>
  <c r="E37" i="12"/>
  <c r="M36" i="12"/>
  <c r="L36" i="12"/>
  <c r="E36" i="12"/>
  <c r="M35" i="12"/>
  <c r="L35" i="12"/>
  <c r="E35" i="12"/>
  <c r="M34" i="12"/>
  <c r="L34" i="12"/>
  <c r="E34" i="12"/>
  <c r="M33" i="12"/>
  <c r="L33" i="12"/>
  <c r="E33" i="12"/>
  <c r="M30" i="12"/>
  <c r="L30" i="12"/>
  <c r="E30" i="12"/>
  <c r="M29" i="12"/>
  <c r="L29" i="12"/>
  <c r="E29" i="12"/>
  <c r="M26" i="12"/>
  <c r="L26" i="12"/>
  <c r="E26" i="12"/>
  <c r="M23" i="12"/>
  <c r="L23" i="12"/>
  <c r="E23" i="12"/>
  <c r="M20" i="12"/>
  <c r="L20" i="12"/>
  <c r="E20" i="12"/>
  <c r="M17" i="12"/>
  <c r="L17" i="12"/>
  <c r="E17" i="12"/>
  <c r="M16" i="12"/>
  <c r="L16" i="12"/>
  <c r="E16" i="12"/>
  <c r="M15" i="12"/>
  <c r="L15" i="12"/>
  <c r="E15" i="12"/>
  <c r="M12" i="12"/>
  <c r="L12" i="12"/>
  <c r="E12" i="12"/>
  <c r="M11" i="12"/>
  <c r="L11" i="12"/>
  <c r="E11" i="12"/>
  <c r="M10" i="12"/>
  <c r="L10" i="12"/>
  <c r="E10" i="12"/>
  <c r="M7" i="12"/>
  <c r="L7" i="12"/>
  <c r="E7" i="12"/>
  <c r="M6" i="12"/>
  <c r="L6" i="12"/>
  <c r="E6" i="12"/>
  <c r="M13" i="11"/>
  <c r="L13" i="11"/>
  <c r="E13" i="11"/>
  <c r="M12" i="11"/>
  <c r="L12" i="11"/>
  <c r="E12" i="11"/>
  <c r="M9" i="11"/>
  <c r="L9" i="11"/>
  <c r="E9" i="11"/>
  <c r="M6" i="11"/>
  <c r="L6" i="11"/>
  <c r="E6" i="11"/>
  <c r="M88" i="10"/>
  <c r="L88" i="10"/>
  <c r="E88" i="10"/>
  <c r="M85" i="10"/>
  <c r="L85" i="10"/>
  <c r="E85" i="10"/>
  <c r="M84" i="10"/>
  <c r="L84" i="10"/>
  <c r="E84" i="10"/>
  <c r="M83" i="10"/>
  <c r="L83" i="10"/>
  <c r="E83" i="10"/>
  <c r="M82" i="10"/>
  <c r="L82" i="10"/>
  <c r="E82" i="10"/>
  <c r="M81" i="10"/>
  <c r="L81" i="10"/>
  <c r="E81" i="10"/>
  <c r="M80" i="10"/>
  <c r="L80" i="10"/>
  <c r="E80" i="10"/>
  <c r="M77" i="10"/>
  <c r="L77" i="10"/>
  <c r="E77" i="10"/>
  <c r="M76" i="10"/>
  <c r="L76" i="10"/>
  <c r="E76" i="10"/>
  <c r="M75" i="10"/>
  <c r="L75" i="10"/>
  <c r="E75" i="10"/>
  <c r="M74" i="10"/>
  <c r="L74" i="10"/>
  <c r="E74" i="10"/>
  <c r="M73" i="10"/>
  <c r="L73" i="10"/>
  <c r="E73" i="10"/>
  <c r="M70" i="10"/>
  <c r="L70" i="10"/>
  <c r="E70" i="10"/>
  <c r="M69" i="10"/>
  <c r="L69" i="10"/>
  <c r="E69" i="10"/>
  <c r="M68" i="10"/>
  <c r="L68" i="10"/>
  <c r="E68" i="10"/>
  <c r="M67" i="10"/>
  <c r="L67" i="10"/>
  <c r="E67" i="10"/>
  <c r="M64" i="10"/>
  <c r="L64" i="10"/>
  <c r="E64" i="10"/>
  <c r="M63" i="10"/>
  <c r="L63" i="10"/>
  <c r="E63" i="10"/>
  <c r="M62" i="10"/>
  <c r="L62" i="10"/>
  <c r="E62" i="10"/>
  <c r="M61" i="10"/>
  <c r="L61" i="10"/>
  <c r="E61" i="10"/>
  <c r="M60" i="10"/>
  <c r="L60" i="10"/>
  <c r="E60" i="10"/>
  <c r="M59" i="10"/>
  <c r="L59" i="10"/>
  <c r="E59" i="10"/>
  <c r="M58" i="10"/>
  <c r="L58" i="10"/>
  <c r="E58" i="10"/>
  <c r="M57" i="10"/>
  <c r="L57" i="10"/>
  <c r="E57" i="10"/>
  <c r="M56" i="10"/>
  <c r="L56" i="10"/>
  <c r="E56" i="10"/>
  <c r="M55" i="10"/>
  <c r="L55" i="10"/>
  <c r="E55" i="10"/>
  <c r="M54" i="10"/>
  <c r="L54" i="10"/>
  <c r="E54" i="10"/>
  <c r="M53" i="10"/>
  <c r="L53" i="10"/>
  <c r="E53" i="10"/>
  <c r="M50" i="10"/>
  <c r="L50" i="10"/>
  <c r="E50" i="10"/>
  <c r="M49" i="10"/>
  <c r="L49" i="10"/>
  <c r="E49" i="10"/>
  <c r="M48" i="10"/>
  <c r="L48" i="10"/>
  <c r="E48" i="10"/>
  <c r="M47" i="10"/>
  <c r="L47" i="10"/>
  <c r="E47" i="10"/>
  <c r="M46" i="10"/>
  <c r="L46" i="10"/>
  <c r="E46" i="10"/>
  <c r="M45" i="10"/>
  <c r="L45" i="10"/>
  <c r="E45" i="10"/>
  <c r="M44" i="10"/>
  <c r="L44" i="10"/>
  <c r="E44" i="10"/>
  <c r="M43" i="10"/>
  <c r="L43" i="10"/>
  <c r="E43" i="10"/>
  <c r="M40" i="10"/>
  <c r="L40" i="10"/>
  <c r="E40" i="10"/>
  <c r="M39" i="10"/>
  <c r="L39" i="10"/>
  <c r="E39" i="10"/>
  <c r="M38" i="10"/>
  <c r="L38" i="10"/>
  <c r="E38" i="10"/>
  <c r="M37" i="10"/>
  <c r="L37" i="10"/>
  <c r="E37" i="10"/>
  <c r="M34" i="10"/>
  <c r="L34" i="10"/>
  <c r="E34" i="10"/>
  <c r="M31" i="10"/>
  <c r="L31" i="10"/>
  <c r="E31" i="10"/>
  <c r="M28" i="10"/>
  <c r="L28" i="10"/>
  <c r="E28" i="10"/>
  <c r="M25" i="10"/>
  <c r="L25" i="10"/>
  <c r="E25" i="10"/>
  <c r="M22" i="10"/>
  <c r="L22" i="10"/>
  <c r="E22" i="10"/>
  <c r="M21" i="10"/>
  <c r="L21" i="10"/>
  <c r="E21" i="10"/>
  <c r="M20" i="10"/>
  <c r="L20" i="10"/>
  <c r="E20" i="10"/>
  <c r="M17" i="10"/>
  <c r="L17" i="10"/>
  <c r="E17" i="10"/>
  <c r="M16" i="10"/>
  <c r="L16" i="10"/>
  <c r="E16" i="10"/>
  <c r="M15" i="10"/>
  <c r="L15" i="10"/>
  <c r="E15" i="10"/>
  <c r="M14" i="10"/>
  <c r="L14" i="10"/>
  <c r="E14" i="10"/>
  <c r="M11" i="10"/>
  <c r="L11" i="10"/>
  <c r="E11" i="10"/>
  <c r="M10" i="10"/>
  <c r="L10" i="10"/>
  <c r="E10" i="10"/>
  <c r="M9" i="10"/>
  <c r="L9" i="10"/>
  <c r="E9" i="10"/>
  <c r="M6" i="10"/>
  <c r="L6" i="10"/>
  <c r="E6" i="10"/>
  <c r="K14" i="8"/>
  <c r="J14" i="8"/>
  <c r="E14" i="8"/>
  <c r="K13" i="8"/>
  <c r="J13" i="8"/>
  <c r="E13" i="8"/>
  <c r="K12" i="8"/>
  <c r="J12" i="8"/>
  <c r="E12" i="8"/>
  <c r="K29" i="7"/>
  <c r="J29" i="7"/>
  <c r="E29" i="7"/>
  <c r="K28" i="7"/>
  <c r="J28" i="7"/>
  <c r="E28" i="7"/>
  <c r="K25" i="7"/>
  <c r="J25" i="7"/>
  <c r="E25" i="7"/>
  <c r="K24" i="7"/>
  <c r="J24" i="7"/>
  <c r="E24" i="7"/>
  <c r="K23" i="7"/>
  <c r="J23" i="7"/>
  <c r="E23" i="7"/>
  <c r="K22" i="7"/>
  <c r="J22" i="7"/>
  <c r="E22" i="7"/>
  <c r="K19" i="7"/>
  <c r="J19" i="7"/>
  <c r="E19" i="7"/>
  <c r="K18" i="7"/>
  <c r="J18" i="7"/>
  <c r="E18" i="7"/>
  <c r="K17" i="7"/>
  <c r="J17" i="7"/>
  <c r="E17" i="7"/>
  <c r="K16" i="7"/>
  <c r="J16" i="7"/>
  <c r="E16" i="7"/>
  <c r="K13" i="7"/>
  <c r="J13" i="7"/>
  <c r="E13" i="7"/>
  <c r="K10" i="7"/>
  <c r="J10" i="7"/>
  <c r="E10" i="7"/>
  <c r="K9" i="7"/>
  <c r="J9" i="7"/>
  <c r="E9" i="7"/>
  <c r="K6" i="7"/>
  <c r="J6" i="7"/>
  <c r="E6" i="7"/>
  <c r="K28" i="5"/>
  <c r="J28" i="5"/>
  <c r="E28" i="5"/>
  <c r="K27" i="5"/>
  <c r="J27" i="5"/>
  <c r="E27" i="5"/>
  <c r="K24" i="5"/>
  <c r="J24" i="5"/>
  <c r="E24" i="5"/>
  <c r="K23" i="5"/>
  <c r="J23" i="5"/>
  <c r="E23" i="5"/>
  <c r="K20" i="5"/>
  <c r="J20" i="5"/>
  <c r="E20" i="5"/>
  <c r="K18" i="5"/>
  <c r="J18" i="5"/>
  <c r="E18" i="5"/>
  <c r="K17" i="5"/>
  <c r="J17" i="5"/>
  <c r="E17" i="5"/>
  <c r="K14" i="5"/>
  <c r="J14" i="5"/>
  <c r="E14" i="5"/>
  <c r="K13" i="5"/>
  <c r="J13" i="5"/>
  <c r="E13" i="5"/>
  <c r="K12" i="5"/>
  <c r="J12" i="5"/>
  <c r="E12" i="5"/>
  <c r="K9" i="5"/>
  <c r="J9" i="5"/>
  <c r="E9" i="5"/>
  <c r="K6" i="5"/>
  <c r="J6" i="5"/>
  <c r="E6" i="5"/>
</calcChain>
</file>

<file path=xl/sharedStrings.xml><?xml version="1.0" encoding="utf-8"?>
<sst xmlns="http://schemas.openxmlformats.org/spreadsheetml/2006/main" count="4754" uniqueCount="1448">
  <si>
    <t>ФИО</t>
  </si>
  <si>
    <t>Жим</t>
  </si>
  <si>
    <t>Тренер</t>
  </si>
  <si>
    <t>Очки</t>
  </si>
  <si>
    <t>Команда</t>
  </si>
  <si>
    <t>Возр груп
Год. р./Возраст</t>
  </si>
  <si>
    <t>Город/область</t>
  </si>
  <si>
    <t>Соб.
Вес</t>
  </si>
  <si>
    <t>Gloss</t>
  </si>
  <si>
    <t>ВЕСОВАЯ КАТЕГОРИЯ   67.5</t>
  </si>
  <si>
    <t>Заболотников Иван</t>
  </si>
  <si>
    <t>1. Заболотников Иван</t>
  </si>
  <si>
    <t>Открытая (17.06.1979)/38</t>
  </si>
  <si>
    <t>67,30</t>
  </si>
  <si>
    <t xml:space="preserve">Московская </t>
  </si>
  <si>
    <t xml:space="preserve">Королёв/Московская область </t>
  </si>
  <si>
    <t>67,5</t>
  </si>
  <si>
    <t>81,0</t>
  </si>
  <si>
    <t xml:space="preserve">Никулин Е. </t>
  </si>
  <si>
    <t>ВЕСОВАЯ КАТЕГОРИЯ   75</t>
  </si>
  <si>
    <t>1. Смирнов Алексей</t>
  </si>
  <si>
    <t>Юниоры 20 - 23 (26.08.1996)/21</t>
  </si>
  <si>
    <t>71,70</t>
  </si>
  <si>
    <t>72,5</t>
  </si>
  <si>
    <t>36,0</t>
  </si>
  <si>
    <t xml:space="preserve">Заболотников И.А. </t>
  </si>
  <si>
    <t>ВЕСОВАЯ КАТЕГОРИЯ   82.5</t>
  </si>
  <si>
    <t>Никитин Роман</t>
  </si>
  <si>
    <t>1. Никитин Роман</t>
  </si>
  <si>
    <t>Открытая (20.03.1993)/24</t>
  </si>
  <si>
    <t>79,20</t>
  </si>
  <si>
    <t xml:space="preserve">Луховицы/Московская область </t>
  </si>
  <si>
    <t>80,0</t>
  </si>
  <si>
    <t>77,0</t>
  </si>
  <si>
    <t xml:space="preserve">. </t>
  </si>
  <si>
    <t>Кузнецов Владимир</t>
  </si>
  <si>
    <t>2. Кузнецов Владимир</t>
  </si>
  <si>
    <t>Открытая (03.02.1994)/24</t>
  </si>
  <si>
    <t>80,90</t>
  </si>
  <si>
    <t xml:space="preserve">Костромская </t>
  </si>
  <si>
    <t xml:space="preserve">Кострома/Костромская область </t>
  </si>
  <si>
    <t>82,5</t>
  </si>
  <si>
    <t>54,0</t>
  </si>
  <si>
    <t>3. Огневой Николай</t>
  </si>
  <si>
    <t>Открытая (06.04.1981)/36</t>
  </si>
  <si>
    <t>76,90</t>
  </si>
  <si>
    <t xml:space="preserve">Архангельская </t>
  </si>
  <si>
    <t xml:space="preserve">Шенкурск/Архангельская область </t>
  </si>
  <si>
    <t>77,5</t>
  </si>
  <si>
    <t>45,0</t>
  </si>
  <si>
    <t>ВЕСОВАЯ КАТЕГОРИЯ   90</t>
  </si>
  <si>
    <t>1. Костев Николай</t>
  </si>
  <si>
    <t>Открытая (17.12.1959)/58</t>
  </si>
  <si>
    <t>85,50</t>
  </si>
  <si>
    <t xml:space="preserve">Сергиев Посад/Московская область </t>
  </si>
  <si>
    <t>87,5</t>
  </si>
  <si>
    <t>42,0</t>
  </si>
  <si>
    <t>2. Савостьянов Алексей</t>
  </si>
  <si>
    <t>Открытая (21.02.1994)/24</t>
  </si>
  <si>
    <t>86,20</t>
  </si>
  <si>
    <t xml:space="preserve">Томилино/Московская область </t>
  </si>
  <si>
    <t>37,0</t>
  </si>
  <si>
    <t xml:space="preserve"> </t>
  </si>
  <si>
    <t>Открытая (25.01.1986)/32</t>
  </si>
  <si>
    <t>85,40</t>
  </si>
  <si>
    <t xml:space="preserve">Москва </t>
  </si>
  <si>
    <t xml:space="preserve">Москва/ </t>
  </si>
  <si>
    <t>89,00</t>
  </si>
  <si>
    <t>90,0</t>
  </si>
  <si>
    <t>Мастера 50 - 59 (17.12.1959)/58</t>
  </si>
  <si>
    <t>ВЕСОВАЯ КАТЕГОРИЯ   100</t>
  </si>
  <si>
    <t>1. Клюев Игорь</t>
  </si>
  <si>
    <t>Открытая (04.04.1989)/28</t>
  </si>
  <si>
    <t>91,10</t>
  </si>
  <si>
    <t>92,5</t>
  </si>
  <si>
    <t>38,0</t>
  </si>
  <si>
    <t>1. Иванов Алексей</t>
  </si>
  <si>
    <t>Мастера 40 - 49 (13.03.1975)/42</t>
  </si>
  <si>
    <t>95,00</t>
  </si>
  <si>
    <t>95,0</t>
  </si>
  <si>
    <t>21,0</t>
  </si>
  <si>
    <t>ВЕСОВАЯ КАТЕГОРИЯ   110</t>
  </si>
  <si>
    <t>109,00</t>
  </si>
  <si>
    <t>110,0</t>
  </si>
  <si>
    <t>ВЕСОВАЯ КАТЕГОРИЯ   125</t>
  </si>
  <si>
    <t>1. Трунилин Сергей</t>
  </si>
  <si>
    <t>Открытая (02.02.1981)/37</t>
  </si>
  <si>
    <t>117,30</t>
  </si>
  <si>
    <t>117,5</t>
  </si>
  <si>
    <t>26,0</t>
  </si>
  <si>
    <t>1. Муратов Максим</t>
  </si>
  <si>
    <t>Мастера 40 - 49 (24.06.1975)/42</t>
  </si>
  <si>
    <t>114,45</t>
  </si>
  <si>
    <t xml:space="preserve">Мытищи/Московская область </t>
  </si>
  <si>
    <t>115,0</t>
  </si>
  <si>
    <t>30,0</t>
  </si>
  <si>
    <t>Главный судья:</t>
  </si>
  <si>
    <t>Главный секретарь:</t>
  </si>
  <si>
    <t>Старший судья: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</si>
  <si>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</si>
  <si>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</si>
  <si>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</si>
  <si>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</si>
  <si>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</si>
  <si>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</si>
  <si>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Gloss </t>
  </si>
  <si>
    <t>75,0</t>
  </si>
  <si>
    <t xml:space="preserve">Открытая </t>
  </si>
  <si>
    <t>5467,5</t>
  </si>
  <si>
    <t>4102,5386</t>
  </si>
  <si>
    <t>6160,0</t>
  </si>
  <si>
    <t>4080,0760</t>
  </si>
  <si>
    <t>4455,0</t>
  </si>
  <si>
    <t>2908,6694</t>
  </si>
  <si>
    <t>100,0</t>
  </si>
  <si>
    <t>Результат</t>
  </si>
  <si>
    <t>1. Каравайчик Алексей</t>
  </si>
  <si>
    <t>Открытая (19.09.1984)/33</t>
  </si>
  <si>
    <t>60,70</t>
  </si>
  <si>
    <t>62,5</t>
  </si>
  <si>
    <t>13,0</t>
  </si>
  <si>
    <t>1. Балугин Николай</t>
  </si>
  <si>
    <t>Открытая (24.07.1987)/30</t>
  </si>
  <si>
    <t>72,80</t>
  </si>
  <si>
    <t>28,0</t>
  </si>
  <si>
    <t xml:space="preserve">Корнишин В.В. </t>
  </si>
  <si>
    <t>2. Кутилов Петр</t>
  </si>
  <si>
    <t>Открытая (07.06.1986)/31</t>
  </si>
  <si>
    <t>73,20</t>
  </si>
  <si>
    <t>17,0</t>
  </si>
  <si>
    <t>1. Кондрашев Сергей</t>
  </si>
  <si>
    <t>Мастера 50 - 59 (16.09.1963)/54</t>
  </si>
  <si>
    <t>78,80</t>
  </si>
  <si>
    <t xml:space="preserve">Одинцово/Московская область </t>
  </si>
  <si>
    <t>18,0</t>
  </si>
  <si>
    <t>1. Каргаев Александр</t>
  </si>
  <si>
    <t>Юниоры 20 - 23 (20.03.1997)/20</t>
  </si>
  <si>
    <t>88,90</t>
  </si>
  <si>
    <t>29,0</t>
  </si>
  <si>
    <t xml:space="preserve">Сорокин С.В. </t>
  </si>
  <si>
    <t>Мазур Евгений</t>
  </si>
  <si>
    <t>1. Мазур Евгений</t>
  </si>
  <si>
    <t>Открытая (30.11.1990)/27</t>
  </si>
  <si>
    <t>86,40</t>
  </si>
  <si>
    <t>33,0</t>
  </si>
  <si>
    <t xml:space="preserve">Апальков А.Г. </t>
  </si>
  <si>
    <t>2. Шелестов Александр</t>
  </si>
  <si>
    <t>Открытая (03.02.1993)/25</t>
  </si>
  <si>
    <t>88,40</t>
  </si>
  <si>
    <t>1. Дымов Олег</t>
  </si>
  <si>
    <t>Мастера 40 - 49 (02.05.1970)/47</t>
  </si>
  <si>
    <t>87,50</t>
  </si>
  <si>
    <t xml:space="preserve">Фрязино/Московская область </t>
  </si>
  <si>
    <t>31,0</t>
  </si>
  <si>
    <t>Сорокин Егор</t>
  </si>
  <si>
    <t>1. Сорокин Егор</t>
  </si>
  <si>
    <t>Юниоры 20 - 23 (22.08.1994)/23</t>
  </si>
  <si>
    <t>92,50</t>
  </si>
  <si>
    <t>32,0</t>
  </si>
  <si>
    <t xml:space="preserve">Лобачёв Д. </t>
  </si>
  <si>
    <t>Открытая (22.08.1994)/23</t>
  </si>
  <si>
    <t>2. Наумов Андрей</t>
  </si>
  <si>
    <t>Открытая (07.10.1981)/36</t>
  </si>
  <si>
    <t>97,80</t>
  </si>
  <si>
    <t>99,00</t>
  </si>
  <si>
    <t>1. Никишин Сергей</t>
  </si>
  <si>
    <t>Мастера 40 - 49 (05.07.1971)/46</t>
  </si>
  <si>
    <t>98,50</t>
  </si>
  <si>
    <t>20,0</t>
  </si>
  <si>
    <t xml:space="preserve">Чидингов П.Д. </t>
  </si>
  <si>
    <t>99,30</t>
  </si>
  <si>
    <t>Жегулин Андрей</t>
  </si>
  <si>
    <t>1. Жегулин Андрей</t>
  </si>
  <si>
    <t>Открытая (26.06.1980)/37</t>
  </si>
  <si>
    <t>101,40</t>
  </si>
  <si>
    <t>102,5</t>
  </si>
  <si>
    <t>2. Сафин Максим</t>
  </si>
  <si>
    <t>Открытая (24.06.1983)/34</t>
  </si>
  <si>
    <t>106,20</t>
  </si>
  <si>
    <t>107,5</t>
  </si>
  <si>
    <t>24,0</t>
  </si>
  <si>
    <t xml:space="preserve">Байрамов Р.Д. </t>
  </si>
  <si>
    <t>ВЕСОВАЯ КАТЕГОРИЯ   140</t>
  </si>
  <si>
    <t>130,0</t>
  </si>
  <si>
    <t>2960,0</t>
  </si>
  <si>
    <t>1784,7319</t>
  </si>
  <si>
    <t>3382,5</t>
  </si>
  <si>
    <t>1955,2542</t>
  </si>
  <si>
    <t>2887,5</t>
  </si>
  <si>
    <t>1808,5856</t>
  </si>
  <si>
    <t>ВЕСОВАЯ КАТЕГОРИЯ   52</t>
  </si>
  <si>
    <t>1. Гусева Мария</t>
  </si>
  <si>
    <t>Открытая (04.09.1989)/28</t>
  </si>
  <si>
    <t>49,00</t>
  </si>
  <si>
    <t>25,0</t>
  </si>
  <si>
    <t xml:space="preserve">Подвижной Д. </t>
  </si>
  <si>
    <t>ВЕСОВАЯ КАТЕГОРИЯ   60</t>
  </si>
  <si>
    <t>1. Носуля Анастасия</t>
  </si>
  <si>
    <t>Девушки 13 - 19 (07.08.2000)/17</t>
  </si>
  <si>
    <t>60,00</t>
  </si>
  <si>
    <t>22,0</t>
  </si>
  <si>
    <t xml:space="preserve">Грамоткин С.А. </t>
  </si>
  <si>
    <t>1. Стахов Максим</t>
  </si>
  <si>
    <t>Юноши 13 - 19 (13.03.2003)/14</t>
  </si>
  <si>
    <t>61,50</t>
  </si>
  <si>
    <t xml:space="preserve">Троицк/Московская область </t>
  </si>
  <si>
    <t>32,5</t>
  </si>
  <si>
    <t>41,0</t>
  </si>
  <si>
    <t xml:space="preserve">Рябцев А. </t>
  </si>
  <si>
    <t>2. Кириллов Кирилл</t>
  </si>
  <si>
    <t>Юноши 13 - 19 (08.09.2001)/16</t>
  </si>
  <si>
    <t>62,50</t>
  </si>
  <si>
    <t xml:space="preserve">Прагин Р.О. </t>
  </si>
  <si>
    <t>3. Ходкин Дмитрий</t>
  </si>
  <si>
    <t>Юноши 13 - 19 (20.12.2002)/15</t>
  </si>
  <si>
    <t>63,30</t>
  </si>
  <si>
    <t xml:space="preserve">Константинов С. </t>
  </si>
  <si>
    <t>Мегаполис 2018
WPU с ДК Народный жим 1/2 веса
Москва 24 - 25 февраля 2018 г.</t>
  </si>
  <si>
    <t>Мегаполис 2018
WPU с ДК Народный жим 1 вес
Москва 24 - 25 февраля 2018 г.</t>
  </si>
  <si>
    <t>вес</t>
  </si>
  <si>
    <t>повторы</t>
  </si>
  <si>
    <t>Мегаполис 2018
WPU Народный жим 1 вес
Москва 24 - 25 февраля 2018 г.</t>
  </si>
  <si>
    <t>Мегаполис 2018
WPU Жим лежа Классический
Москва 24 - 25 февраля 2018 г.</t>
  </si>
  <si>
    <t>Wilks</t>
  </si>
  <si>
    <t>Рек</t>
  </si>
  <si>
    <t>ВЕСОВАЯ КАТЕГОРИЯ   56</t>
  </si>
  <si>
    <t>1. Пэлэдуцэ Лучиан</t>
  </si>
  <si>
    <t>Юноши 14 - 15 (16.08.2004)/13</t>
  </si>
  <si>
    <t>51,70</t>
  </si>
  <si>
    <t xml:space="preserve">Домодедово/Московская область </t>
  </si>
  <si>
    <t>50,0</t>
  </si>
  <si>
    <t>52,5</t>
  </si>
  <si>
    <t xml:space="preserve">Петров А.В. </t>
  </si>
  <si>
    <t>1. Русу Даниел</t>
  </si>
  <si>
    <t>Юноши 14 - 15 (03.09.2003)/14</t>
  </si>
  <si>
    <t>65,60</t>
  </si>
  <si>
    <t>60,0</t>
  </si>
  <si>
    <t>65,0</t>
  </si>
  <si>
    <t>1. Баймешев Эдуард</t>
  </si>
  <si>
    <t>Открытая (26.08.1991)/26</t>
  </si>
  <si>
    <t>87,70</t>
  </si>
  <si>
    <t>170,0</t>
  </si>
  <si>
    <t>175,0</t>
  </si>
  <si>
    <t>182,5</t>
  </si>
  <si>
    <t xml:space="preserve">Машкевич В.Л. </t>
  </si>
  <si>
    <t>1. Лазарев Денис</t>
  </si>
  <si>
    <t>Юноши 14 - 15 (02.09.2003)/14</t>
  </si>
  <si>
    <t>90,70</t>
  </si>
  <si>
    <t>70,0</t>
  </si>
  <si>
    <t xml:space="preserve">Лазарев А. </t>
  </si>
  <si>
    <t>1. Боев Виталий</t>
  </si>
  <si>
    <t>Открытая (27.06.1984)/33</t>
  </si>
  <si>
    <t>98,40</t>
  </si>
  <si>
    <t xml:space="preserve">Орловская </t>
  </si>
  <si>
    <t xml:space="preserve">Орёл/Орловская область </t>
  </si>
  <si>
    <t>185,0</t>
  </si>
  <si>
    <t>2. Ююкин Максим</t>
  </si>
  <si>
    <t>Открытая (09.05.1982)/35</t>
  </si>
  <si>
    <t>99,40</t>
  </si>
  <si>
    <t xml:space="preserve">Дмитров/Московская область </t>
  </si>
  <si>
    <t xml:space="preserve">Ананин А. </t>
  </si>
  <si>
    <t>3. Зангиров Владимир</t>
  </si>
  <si>
    <t>Открытая (11.08.1984)/33</t>
  </si>
  <si>
    <t>92,00</t>
  </si>
  <si>
    <t>150,0</t>
  </si>
  <si>
    <t>157,5</t>
  </si>
  <si>
    <t>1. Цымбаленко Владимир</t>
  </si>
  <si>
    <t>Открытая (13.07.1986)/31</t>
  </si>
  <si>
    <t>107,50</t>
  </si>
  <si>
    <t>165,0</t>
  </si>
  <si>
    <t>190,0</t>
  </si>
  <si>
    <t>1. Прокудин Дмитрий</t>
  </si>
  <si>
    <t>Ветераны 40 - 44 (09.04.1974)/43</t>
  </si>
  <si>
    <t>107,80</t>
  </si>
  <si>
    <t>1. Филин Вячеслав</t>
  </si>
  <si>
    <t>Ветераны 55 - 59 (12.11.1961)/56</t>
  </si>
  <si>
    <t>107,00</t>
  </si>
  <si>
    <t xml:space="preserve">Тульская </t>
  </si>
  <si>
    <t xml:space="preserve">Тула/Тульская область </t>
  </si>
  <si>
    <t>195,0</t>
  </si>
  <si>
    <t>200,0</t>
  </si>
  <si>
    <t xml:space="preserve">Соломин В.Б. </t>
  </si>
  <si>
    <t>1. Дикарев Владислав</t>
  </si>
  <si>
    <t>Юниоры 20 - 23 (19.04.1996)/21</t>
  </si>
  <si>
    <t>119,40</t>
  </si>
  <si>
    <t xml:space="preserve">Щёлково/Московская область </t>
  </si>
  <si>
    <t xml:space="preserve">Карпов А.М. </t>
  </si>
  <si>
    <t>1. Трухачев Игорь</t>
  </si>
  <si>
    <t>Открытая (31.10.1988)/29</t>
  </si>
  <si>
    <t>120,00</t>
  </si>
  <si>
    <t>172,5</t>
  </si>
  <si>
    <t xml:space="preserve">Wilks </t>
  </si>
  <si>
    <t>Боев Виталий</t>
  </si>
  <si>
    <t>113,3310</t>
  </si>
  <si>
    <t>Мегаполис 2018
WPU c ДК Становая тяга Безэкипировочная
Москва 24 - 25 февраля 2018 г.</t>
  </si>
  <si>
    <t>Тяга</t>
  </si>
  <si>
    <t>ВЕСОВАЯ КАТЕГОРИЯ   48</t>
  </si>
  <si>
    <t>1. Волкова Елена</t>
  </si>
  <si>
    <t>Открытая (11.06.1985)/32</t>
  </si>
  <si>
    <t>48,00</t>
  </si>
  <si>
    <t xml:space="preserve">Беляев А. </t>
  </si>
  <si>
    <t>1. Андреева Елизавета</t>
  </si>
  <si>
    <t>Открытая (31.07.1989)/28</t>
  </si>
  <si>
    <t>51,10</t>
  </si>
  <si>
    <t>125,0</t>
  </si>
  <si>
    <t>2. Велиал Ника</t>
  </si>
  <si>
    <t>Открытая (25.11.1992)/25</t>
  </si>
  <si>
    <t>51,60</t>
  </si>
  <si>
    <t>112,5</t>
  </si>
  <si>
    <t xml:space="preserve">Зубков П. </t>
  </si>
  <si>
    <t>1. Разумовская Наталия</t>
  </si>
  <si>
    <t>Ветераны 40 - 44 (04.10.1977)/40</t>
  </si>
  <si>
    <t>51,00</t>
  </si>
  <si>
    <t>105,0</t>
  </si>
  <si>
    <t xml:space="preserve">Любятинский М. </t>
  </si>
  <si>
    <t>1. Демина Лариса</t>
  </si>
  <si>
    <t>Девушки 16 - 19 (27.07.2001)/16</t>
  </si>
  <si>
    <t>54,80</t>
  </si>
  <si>
    <t>97,5</t>
  </si>
  <si>
    <t xml:space="preserve">Афонасьев Н. </t>
  </si>
  <si>
    <t>1. Галустян Надежда</t>
  </si>
  <si>
    <t>Открытая (10.10.1988)/29</t>
  </si>
  <si>
    <t xml:space="preserve">Люберцы/Московская область </t>
  </si>
  <si>
    <t>120,0</t>
  </si>
  <si>
    <t>138,0</t>
  </si>
  <si>
    <t xml:space="preserve">Воробьев М. </t>
  </si>
  <si>
    <t>2. Парфенова Светлана</t>
  </si>
  <si>
    <t>Открытая (13.05.1984)/33</t>
  </si>
  <si>
    <t>55,00</t>
  </si>
  <si>
    <t>127,5</t>
  </si>
  <si>
    <t>1. Смолова Татьяна</t>
  </si>
  <si>
    <t>Ветераны 60 - 64 (31.03.1954)/63</t>
  </si>
  <si>
    <t>54,90</t>
  </si>
  <si>
    <t>40,0</t>
  </si>
  <si>
    <t xml:space="preserve">Мирошкин Е.Г. </t>
  </si>
  <si>
    <t>1. Ковалкина Мария</t>
  </si>
  <si>
    <t>Открытая (13.12.1999)/18</t>
  </si>
  <si>
    <t>58,30</t>
  </si>
  <si>
    <t xml:space="preserve">Бурлаков Д.Б. </t>
  </si>
  <si>
    <t>2. Дмитриева Екатерина</t>
  </si>
  <si>
    <t>Открытая (27.01.1989)/29</t>
  </si>
  <si>
    <t>58,10</t>
  </si>
  <si>
    <t xml:space="preserve">Сумин А.В. </t>
  </si>
  <si>
    <t>3. Самсонова Оксана</t>
  </si>
  <si>
    <t>Открытая (09.02.1992)/26</t>
  </si>
  <si>
    <t>59,80</t>
  </si>
  <si>
    <t>1. Мальцева Анжелика</t>
  </si>
  <si>
    <t>Открытая (23.03.1983)/34</t>
  </si>
  <si>
    <t>66,50</t>
  </si>
  <si>
    <t xml:space="preserve">Железнодорожный/Московская область </t>
  </si>
  <si>
    <t>122,5</t>
  </si>
  <si>
    <t xml:space="preserve">Черепков А.А. </t>
  </si>
  <si>
    <t>1. Васильева Екатерина</t>
  </si>
  <si>
    <t>Ветераны 40 - 44 (07.09.1976)/41</t>
  </si>
  <si>
    <t>72,60</t>
  </si>
  <si>
    <t>135,0</t>
  </si>
  <si>
    <t>140,0</t>
  </si>
  <si>
    <t>142,5</t>
  </si>
  <si>
    <t>1. Русецкая Анна</t>
  </si>
  <si>
    <t>Открытая (01.04.1976)/41</t>
  </si>
  <si>
    <t>80,60</t>
  </si>
  <si>
    <t xml:space="preserve">Фадеева А.И. </t>
  </si>
  <si>
    <t>ВЕСОВАЯ КАТЕГОРИЯ   90+</t>
  </si>
  <si>
    <t>1. Орешкина Наталья</t>
  </si>
  <si>
    <t>Открытая (19.03.1978)/39</t>
  </si>
  <si>
    <t>106,30</t>
  </si>
  <si>
    <t>1. Ходкин Дмитрий</t>
  </si>
  <si>
    <t>Юноши 14 - 15 (20.12.2002)/15</t>
  </si>
  <si>
    <t>1. Бурмистров Иван</t>
  </si>
  <si>
    <t>Юноши 16 - 19 (10.09.2001)/16</t>
  </si>
  <si>
    <t xml:space="preserve">Истра/Московская область </t>
  </si>
  <si>
    <t xml:space="preserve">Лазарев В. </t>
  </si>
  <si>
    <t>1. Ризванов Ирек</t>
  </si>
  <si>
    <t>Открытая (08.01.1992)/26</t>
  </si>
  <si>
    <t>66,70</t>
  </si>
  <si>
    <t xml:space="preserve">Татарстан </t>
  </si>
  <si>
    <t xml:space="preserve">Казань/Татарстан </t>
  </si>
  <si>
    <t xml:space="preserve">Неклюдов К. </t>
  </si>
  <si>
    <t>2. Бахаев Беслан</t>
  </si>
  <si>
    <t>Открытая (10.01.1988)/30</t>
  </si>
  <si>
    <t>67,50</t>
  </si>
  <si>
    <t xml:space="preserve">Реутов/Московская область </t>
  </si>
  <si>
    <t>180,0</t>
  </si>
  <si>
    <t>197,5</t>
  </si>
  <si>
    <t>1. Якимчук Николай</t>
  </si>
  <si>
    <t>Юноши 16 - 19 (09.02.1999)/19</t>
  </si>
  <si>
    <t>68,50</t>
  </si>
  <si>
    <t xml:space="preserve">Раменское/Московская область </t>
  </si>
  <si>
    <t>210,0</t>
  </si>
  <si>
    <t>1. Кофи Каблан</t>
  </si>
  <si>
    <t>Юниоры 20 - 23 (15.03.1994)/23</t>
  </si>
  <si>
    <t>74,10</t>
  </si>
  <si>
    <t xml:space="preserve">Санкт-Петербург </t>
  </si>
  <si>
    <t xml:space="preserve">Санкт-Петербург/ </t>
  </si>
  <si>
    <t>240,0</t>
  </si>
  <si>
    <t>260,0</t>
  </si>
  <si>
    <t xml:space="preserve">Мурзаханов К.А. </t>
  </si>
  <si>
    <t>2. Липчанский Эдуард</t>
  </si>
  <si>
    <t>Юниоры 20 - 23 (15.01.1997)/21</t>
  </si>
  <si>
    <t>69,50</t>
  </si>
  <si>
    <t>160,0</t>
  </si>
  <si>
    <t>1. Аркадьев Дмитрий</t>
  </si>
  <si>
    <t>Открытая (25.01.1983)/35</t>
  </si>
  <si>
    <t>73,50</t>
  </si>
  <si>
    <t>270,0</t>
  </si>
  <si>
    <t>275,0</t>
  </si>
  <si>
    <t xml:space="preserve">Черткова А. </t>
  </si>
  <si>
    <t>2. Якушев Александр</t>
  </si>
  <si>
    <t>Открытая (26.10.1982)/35</t>
  </si>
  <si>
    <t>72,10</t>
  </si>
  <si>
    <t xml:space="preserve">Владимирская </t>
  </si>
  <si>
    <t xml:space="preserve">Владимир/Владимирская область </t>
  </si>
  <si>
    <t>205,0</t>
  </si>
  <si>
    <t>215,0</t>
  </si>
  <si>
    <t xml:space="preserve">Баерик А.В. </t>
  </si>
  <si>
    <t>1. Павлушин Олег</t>
  </si>
  <si>
    <t>Ветераны 40 - 44 (07.03.1974)/43</t>
  </si>
  <si>
    <t xml:space="preserve">Нахабино/Московская область </t>
  </si>
  <si>
    <t xml:space="preserve">Янков Д.А. </t>
  </si>
  <si>
    <t>1. Щемелев Владимир</t>
  </si>
  <si>
    <t>Ветераны 55 - 59 (02.04.1961)/56</t>
  </si>
  <si>
    <t>74,50</t>
  </si>
  <si>
    <t>202,5</t>
  </si>
  <si>
    <t>1. Ветров Николай</t>
  </si>
  <si>
    <t>Ветераны 70 - 74 (12.09.1945)/72</t>
  </si>
  <si>
    <t>74,20</t>
  </si>
  <si>
    <t>155,0</t>
  </si>
  <si>
    <t xml:space="preserve">Санников В.М. </t>
  </si>
  <si>
    <t>1. Ясыченко Роман</t>
  </si>
  <si>
    <t>Юноши 16 - 19 (08.12.1998)/19</t>
  </si>
  <si>
    <t>81,40</t>
  </si>
  <si>
    <t xml:space="preserve">Бронницы/Московская область </t>
  </si>
  <si>
    <t>217,5</t>
  </si>
  <si>
    <t xml:space="preserve">Матевосян Д. </t>
  </si>
  <si>
    <t>1. Козлов Андрей</t>
  </si>
  <si>
    <t>Юниоры 20 - 23 (04.09.1996)/21</t>
  </si>
  <si>
    <t>79,50</t>
  </si>
  <si>
    <t xml:space="preserve">Химки/Московская область </t>
  </si>
  <si>
    <t>222,5</t>
  </si>
  <si>
    <t>1. Шапилов Дмитрий</t>
  </si>
  <si>
    <t>Открытая (06.08.1975)/42</t>
  </si>
  <si>
    <t>79,30</t>
  </si>
  <si>
    <t>220,0</t>
  </si>
  <si>
    <t>2. Алиев Эльнур</t>
  </si>
  <si>
    <t>Открытая (09.03.1982)/35</t>
  </si>
  <si>
    <t>80,80</t>
  </si>
  <si>
    <t xml:space="preserve">Лазарев В.В. </t>
  </si>
  <si>
    <t>3. Алешин Олег</t>
  </si>
  <si>
    <t>Открытая (15.09.1985)/32</t>
  </si>
  <si>
    <t>192,5</t>
  </si>
  <si>
    <t xml:space="preserve">Морозов Н. </t>
  </si>
  <si>
    <t>4. Семенов Роман</t>
  </si>
  <si>
    <t>Открытая (12.07.1988)/29</t>
  </si>
  <si>
    <t>82,10</t>
  </si>
  <si>
    <t>-. Урмонов Дильмурод</t>
  </si>
  <si>
    <t>Открытая (13.10.1993)/24</t>
  </si>
  <si>
    <t xml:space="preserve">Узбекистан </t>
  </si>
  <si>
    <t xml:space="preserve">Узбекистан/ </t>
  </si>
  <si>
    <t>Ветераны 40 - 44 (06.08.1975)/42</t>
  </si>
  <si>
    <t>2. Коновальчик Александр</t>
  </si>
  <si>
    <t>Ветераны 40 - 44 (19.06.1976)/41</t>
  </si>
  <si>
    <t>82,20</t>
  </si>
  <si>
    <t>212,5</t>
  </si>
  <si>
    <t>3. Зобнин Владимир</t>
  </si>
  <si>
    <t>Ветераны 40 - 44 (30.10.1975)/42</t>
  </si>
  <si>
    <t>81,20</t>
  </si>
  <si>
    <t>152,5</t>
  </si>
  <si>
    <t>162,5</t>
  </si>
  <si>
    <t>1. Скокин Виктор</t>
  </si>
  <si>
    <t>Ветераны 60 - 64 (20.07.1957)/60</t>
  </si>
  <si>
    <t xml:space="preserve">Воскресенск/Московская область </t>
  </si>
  <si>
    <t>227,5</t>
  </si>
  <si>
    <t>232,5</t>
  </si>
  <si>
    <t xml:space="preserve">Хламков А.Е. </t>
  </si>
  <si>
    <t>1. Санников Владислав</t>
  </si>
  <si>
    <t>Ветераны 75 - 79 (29.10.1938)/79</t>
  </si>
  <si>
    <t>78,70</t>
  </si>
  <si>
    <t>1. Ломанов Кирилл</t>
  </si>
  <si>
    <t>Открытая (15.07.1987)/30</t>
  </si>
  <si>
    <t>89,10</t>
  </si>
  <si>
    <t>297,5</t>
  </si>
  <si>
    <t>307,5</t>
  </si>
  <si>
    <t>317,5</t>
  </si>
  <si>
    <t>325,0</t>
  </si>
  <si>
    <t>2. Гаспарян Антон</t>
  </si>
  <si>
    <t>Открытая (06.04.1984)/33</t>
  </si>
  <si>
    <t>-. Хрисанов Никита</t>
  </si>
  <si>
    <t>Открытая (30.10.1991)/26</t>
  </si>
  <si>
    <t>86,90</t>
  </si>
  <si>
    <t xml:space="preserve">Коновалов А.А. </t>
  </si>
  <si>
    <t>1. Воронин Александр</t>
  </si>
  <si>
    <t>Ветераны 50 - 54 (26.03.1965)/52</t>
  </si>
  <si>
    <t>87,60</t>
  </si>
  <si>
    <t>1. Зверев Роман</t>
  </si>
  <si>
    <t>Открытая (15.05.1988)/29</t>
  </si>
  <si>
    <t xml:space="preserve">Зеленоград/Московская область </t>
  </si>
  <si>
    <t>300,0</t>
  </si>
  <si>
    <t>312,5</t>
  </si>
  <si>
    <t xml:space="preserve">Материкин О.Ю. Суровецкий А.Е. </t>
  </si>
  <si>
    <t>2. Варварин Олег</t>
  </si>
  <si>
    <t>Открытая (02.04.1986)/31</t>
  </si>
  <si>
    <t>93,30</t>
  </si>
  <si>
    <t>265,0</t>
  </si>
  <si>
    <t>272,5</t>
  </si>
  <si>
    <t>3. Коновалов Алексей</t>
  </si>
  <si>
    <t>Открытая (06.07.1992)/25</t>
  </si>
  <si>
    <t>97,50</t>
  </si>
  <si>
    <t>230,0</t>
  </si>
  <si>
    <t>250,0</t>
  </si>
  <si>
    <t>4. Милованов Вячеслав</t>
  </si>
  <si>
    <t>Открытая (05.05.1992)/25</t>
  </si>
  <si>
    <t>95,70</t>
  </si>
  <si>
    <t xml:space="preserve">Орехово-Зуево/Московская область </t>
  </si>
  <si>
    <t xml:space="preserve">Юдаев А. </t>
  </si>
  <si>
    <t>Ветераны 45 - 49 (05.07.1971)/46</t>
  </si>
  <si>
    <t>1. Ефременков Владимир</t>
  </si>
  <si>
    <t>Юниоры 20 - 23 (26.12.1996)/21</t>
  </si>
  <si>
    <t>101,00</t>
  </si>
  <si>
    <t>247,5</t>
  </si>
  <si>
    <t>255,0</t>
  </si>
  <si>
    <t xml:space="preserve">Панов В.Г. </t>
  </si>
  <si>
    <t>1. Кулебякин Руслан</t>
  </si>
  <si>
    <t>Открытая (26.02.1991)/26</t>
  </si>
  <si>
    <t>110,00</t>
  </si>
  <si>
    <t xml:space="preserve">Ростовская </t>
  </si>
  <si>
    <t xml:space="preserve">Таганрог/Ростовская область </t>
  </si>
  <si>
    <t xml:space="preserve">Стародубский С.В. </t>
  </si>
  <si>
    <t>2. Черепков Алексей</t>
  </si>
  <si>
    <t>Открытая (09.06.1988)/29</t>
  </si>
  <si>
    <t>104,60</t>
  </si>
  <si>
    <t xml:space="preserve">Электросталь/Московская область </t>
  </si>
  <si>
    <t>252,5</t>
  </si>
  <si>
    <t>3. Гапошко Андрей</t>
  </si>
  <si>
    <t>Открытая (11.04.1986)/31</t>
  </si>
  <si>
    <t>106,90</t>
  </si>
  <si>
    <t>225,0</t>
  </si>
  <si>
    <t>235,0</t>
  </si>
  <si>
    <t>4. Орловский Станислав</t>
  </si>
  <si>
    <t>Открытая (27.04.1988)/29</t>
  </si>
  <si>
    <t>106,10</t>
  </si>
  <si>
    <t>1. Шишкин Андрей</t>
  </si>
  <si>
    <t>Ветераны 55 - 59 (02.09.1962)/55</t>
  </si>
  <si>
    <t>109,20</t>
  </si>
  <si>
    <t>262,5</t>
  </si>
  <si>
    <t>1. Прудников Александр</t>
  </si>
  <si>
    <t>Ветераны 40 - 44 (25.04.1974)/43</t>
  </si>
  <si>
    <t>116,70</t>
  </si>
  <si>
    <t xml:space="preserve">Женщины </t>
  </si>
  <si>
    <t>Галустян Надежда</t>
  </si>
  <si>
    <t>56,0</t>
  </si>
  <si>
    <t>137,5</t>
  </si>
  <si>
    <t>164,5462</t>
  </si>
  <si>
    <t xml:space="preserve">Юниоры </t>
  </si>
  <si>
    <t>Кофи Каблан</t>
  </si>
  <si>
    <t xml:space="preserve">Юниоры 20 - 23 </t>
  </si>
  <si>
    <t>172,4640</t>
  </si>
  <si>
    <t>Ломанов Кирилл</t>
  </si>
  <si>
    <t>203,7398</t>
  </si>
  <si>
    <t>Аркадьев Дмитрий</t>
  </si>
  <si>
    <t>198,7700</t>
  </si>
  <si>
    <t>Зверев Роман</t>
  </si>
  <si>
    <t>183,3300</t>
  </si>
  <si>
    <t xml:space="preserve">Ветераны </t>
  </si>
  <si>
    <t>Скокин Виктор</t>
  </si>
  <si>
    <t xml:space="preserve">Ветераны 60 - 64 </t>
  </si>
  <si>
    <t>206,6578</t>
  </si>
  <si>
    <t>Ветров Николай</t>
  </si>
  <si>
    <t xml:space="preserve">Ветераны 70 - 74 </t>
  </si>
  <si>
    <t>191,1696</t>
  </si>
  <si>
    <t>Щемелев Владимир</t>
  </si>
  <si>
    <t xml:space="preserve">Ветераны 55 - 59 </t>
  </si>
  <si>
    <t>180,6323</t>
  </si>
  <si>
    <t>Мегаполис 2018
WPU c ДК Становая тяга в Однослойной экипировке
Москва 24 - 25 февраля 2018 г.</t>
  </si>
  <si>
    <t>1. Филиппов Игорь</t>
  </si>
  <si>
    <t>Открытая (05.10.1984)/33</t>
  </si>
  <si>
    <t>81,90</t>
  </si>
  <si>
    <t>245,0</t>
  </si>
  <si>
    <t>267,5</t>
  </si>
  <si>
    <t>1. Варламов Вячеслав</t>
  </si>
  <si>
    <t>Открытая (18.03.1985)/32</t>
  </si>
  <si>
    <t>1. Родионов Евгений</t>
  </si>
  <si>
    <t>Открытая (21.09.1981)/36</t>
  </si>
  <si>
    <t>93,90</t>
  </si>
  <si>
    <t>2. Зинягин Алексей</t>
  </si>
  <si>
    <t>Открытая (26.01.1988)/30</t>
  </si>
  <si>
    <t>97,10</t>
  </si>
  <si>
    <t xml:space="preserve">Белгородская </t>
  </si>
  <si>
    <t xml:space="preserve">Старый Оскол/Белгородская область </t>
  </si>
  <si>
    <t xml:space="preserve">Андреев Т. </t>
  </si>
  <si>
    <t>Мегаполис 2018
WPU c ДК Жим лежа Классический
Москва 24 - 25 февраля 2018 г.</t>
  </si>
  <si>
    <t>1. Киселева Любовь</t>
  </si>
  <si>
    <t>Открытая (25.06.1982)/35</t>
  </si>
  <si>
    <t>55,60</t>
  </si>
  <si>
    <t>47,5</t>
  </si>
  <si>
    <t>57,5</t>
  </si>
  <si>
    <t xml:space="preserve">Абдуллин М.Р. </t>
  </si>
  <si>
    <t>2. Пискунова Ирина</t>
  </si>
  <si>
    <t>Открытая (30.07.1978)/39</t>
  </si>
  <si>
    <t>55,0</t>
  </si>
  <si>
    <t xml:space="preserve">Никишин С. </t>
  </si>
  <si>
    <t>1. Кричмар Ольга</t>
  </si>
  <si>
    <t xml:space="preserve">Чекренев А.В. </t>
  </si>
  <si>
    <t>2. Власова Елена</t>
  </si>
  <si>
    <t>Открытая (15.03.1990)/27</t>
  </si>
  <si>
    <t>59,00</t>
  </si>
  <si>
    <t xml:space="preserve">Ковшин Э. </t>
  </si>
  <si>
    <t>1. Медведева Елена</t>
  </si>
  <si>
    <t>Ветераны 55 - 59 (10.10.1962)/55</t>
  </si>
  <si>
    <t>58,90</t>
  </si>
  <si>
    <t>52,0</t>
  </si>
  <si>
    <t>1. Данилова Мария</t>
  </si>
  <si>
    <t>Девушки 16 - 19 (27.06.2000)/17</t>
  </si>
  <si>
    <t>66,10</t>
  </si>
  <si>
    <t xml:space="preserve">Балугин Н.В. </t>
  </si>
  <si>
    <t>1. Коваленко Юлия</t>
  </si>
  <si>
    <t>Открытая (18.04.1986)/31</t>
  </si>
  <si>
    <t>64,40</t>
  </si>
  <si>
    <t xml:space="preserve">Суровиков А. </t>
  </si>
  <si>
    <t>2. Котелевская Евгения</t>
  </si>
  <si>
    <t>Открытая (02.08.1989)/28</t>
  </si>
  <si>
    <t>65,30</t>
  </si>
  <si>
    <t xml:space="preserve">Электросталь/Московская област </t>
  </si>
  <si>
    <t xml:space="preserve">Уколов Д.С. </t>
  </si>
  <si>
    <t>-. Ермолаева Анна</t>
  </si>
  <si>
    <t>Ветераны 40 - 44 (27.04.1975)/42</t>
  </si>
  <si>
    <t>73,30</t>
  </si>
  <si>
    <t xml:space="preserve">Беляев Р.С. </t>
  </si>
  <si>
    <t>1. Рузибадалов Турсунали</t>
  </si>
  <si>
    <t>Юниоры 20 - 23 (02.06.1994)/23</t>
  </si>
  <si>
    <t>55,20</t>
  </si>
  <si>
    <t>1. Аллахвердян Самвел</t>
  </si>
  <si>
    <t>Открытая (29.06.1993)/24</t>
  </si>
  <si>
    <t>59,70</t>
  </si>
  <si>
    <t xml:space="preserve">Свиридов Д.С. </t>
  </si>
  <si>
    <t>1. Ляшев Сергей</t>
  </si>
  <si>
    <t>Юноши 16 - 19 (07.07.2000)/17</t>
  </si>
  <si>
    <t>65,80</t>
  </si>
  <si>
    <t xml:space="preserve">Климович А.Ю. </t>
  </si>
  <si>
    <t>2. Бурмистров Иван</t>
  </si>
  <si>
    <t>1. Ланенкин Илья</t>
  </si>
  <si>
    <t>Юноши 16 - 19 (13.06.2000)/17</t>
  </si>
  <si>
    <t>72,00</t>
  </si>
  <si>
    <t xml:space="preserve">Ланенкин С.В. </t>
  </si>
  <si>
    <t>1. Патрикеев Тимофей</t>
  </si>
  <si>
    <t>Открытая (26.07.1982)/35</t>
  </si>
  <si>
    <t>73,80</t>
  </si>
  <si>
    <t>132,5</t>
  </si>
  <si>
    <t>2. Артюшенко Сергей</t>
  </si>
  <si>
    <t>Открытая (31.03.1980)/37</t>
  </si>
  <si>
    <t>73,40</t>
  </si>
  <si>
    <t>3. Леонов Андрей</t>
  </si>
  <si>
    <t>Открытая (12.10.1980)/37</t>
  </si>
  <si>
    <t>69,80</t>
  </si>
  <si>
    <t>1. Пивнов Владимир</t>
  </si>
  <si>
    <t>Ветераны 60 - 64 (05.11.1953)/64</t>
  </si>
  <si>
    <t>75,00</t>
  </si>
  <si>
    <t>1. Калинин Сергей</t>
  </si>
  <si>
    <t>Юноши 14 - 15 (14.12.2002)/15</t>
  </si>
  <si>
    <t>76,00</t>
  </si>
  <si>
    <t>85,0</t>
  </si>
  <si>
    <t xml:space="preserve">Платыч М. </t>
  </si>
  <si>
    <t>1. Добудько Дмитрий</t>
  </si>
  <si>
    <t>Открытая (07.10.1982)/35</t>
  </si>
  <si>
    <t>80,20</t>
  </si>
  <si>
    <t>145,0</t>
  </si>
  <si>
    <t>147,5</t>
  </si>
  <si>
    <t>2. Кокотайло Максим</t>
  </si>
  <si>
    <t>Открытая (04.10.1990)/27</t>
  </si>
  <si>
    <t>81,30</t>
  </si>
  <si>
    <t>3. Захаров Александр</t>
  </si>
  <si>
    <t>Открытая (22.01.1993)/25</t>
  </si>
  <si>
    <t>81,00</t>
  </si>
  <si>
    <t>4. Мищенко Артем</t>
  </si>
  <si>
    <t>Открытая (26.06.1984)/33</t>
  </si>
  <si>
    <t>5. Голосов Александр</t>
  </si>
  <si>
    <t>Открытая (06.05.1980)/37</t>
  </si>
  <si>
    <t>1. Михайловский Виталий</t>
  </si>
  <si>
    <t>Ветераны 50 - 54 (02.05.1967)/50</t>
  </si>
  <si>
    <t>81,80</t>
  </si>
  <si>
    <t xml:space="preserve">Наро-Фоминск/Московская област </t>
  </si>
  <si>
    <t>133,0</t>
  </si>
  <si>
    <t xml:space="preserve">Дроздов М. </t>
  </si>
  <si>
    <t>1. Поляков Иван</t>
  </si>
  <si>
    <t>Юниоры 20 - 23 (25.11.1997)/20</t>
  </si>
  <si>
    <t>87,00</t>
  </si>
  <si>
    <t xml:space="preserve">Биркин П.Н. </t>
  </si>
  <si>
    <t>2. Медведев Константин</t>
  </si>
  <si>
    <t>Юниоры 20 - 23 (03.06.1997)/20</t>
  </si>
  <si>
    <t xml:space="preserve">Медведева Е. </t>
  </si>
  <si>
    <t>1. Золкин Станислав</t>
  </si>
  <si>
    <t>Открытая (26.05.1988)/29</t>
  </si>
  <si>
    <t>89,20</t>
  </si>
  <si>
    <t>2. Галичевский Иван</t>
  </si>
  <si>
    <t>Открытая (21.11.1989)/28</t>
  </si>
  <si>
    <t>88,70</t>
  </si>
  <si>
    <t xml:space="preserve">Щегольков В.И. </t>
  </si>
  <si>
    <t>3. Наумов Павел</t>
  </si>
  <si>
    <t>Открытая (12.07.1985)/32</t>
  </si>
  <si>
    <t>88,10</t>
  </si>
  <si>
    <t>4. Орлов Денис</t>
  </si>
  <si>
    <t>Открытая (02.07.1987)/30</t>
  </si>
  <si>
    <t>5. Саливон Сергей</t>
  </si>
  <si>
    <t>Открытая (14.02.1982)/36</t>
  </si>
  <si>
    <t>6. Джамалханов Асланбек</t>
  </si>
  <si>
    <t>Открытая (14.08.1986)/31</t>
  </si>
  <si>
    <t>7. Архипов Артем</t>
  </si>
  <si>
    <t>Открытая (11.11.1989)/28</t>
  </si>
  <si>
    <t>87,10</t>
  </si>
  <si>
    <t>1. Теймуров Эмиль</t>
  </si>
  <si>
    <t>Ветераны 40 - 44 (24.03.1976)/41</t>
  </si>
  <si>
    <t>2. Французов Николай</t>
  </si>
  <si>
    <t>Ветераны 40 - 44 (13.04.1977)/40</t>
  </si>
  <si>
    <t>88,20</t>
  </si>
  <si>
    <t xml:space="preserve">Ивановская </t>
  </si>
  <si>
    <t xml:space="preserve">Иваново/Ивановская область </t>
  </si>
  <si>
    <t>1. Митькин Владимир</t>
  </si>
  <si>
    <t>Ветераны 45 - 49 (22.04.1971)/46</t>
  </si>
  <si>
    <t>88,30</t>
  </si>
  <si>
    <t xml:space="preserve">Подольск/Московская область </t>
  </si>
  <si>
    <t>1. Базанов Сергей</t>
  </si>
  <si>
    <t>Ветераны 55 - 59 (22.06.1962)/55</t>
  </si>
  <si>
    <t xml:space="preserve">Тверская </t>
  </si>
  <si>
    <t xml:space="preserve">Ржев/Тверская область </t>
  </si>
  <si>
    <t>1. Джамалханов Саланбек</t>
  </si>
  <si>
    <t>Открытая (31.07.1990)/27</t>
  </si>
  <si>
    <t>98,20</t>
  </si>
  <si>
    <t>2. Лещенко Иван</t>
  </si>
  <si>
    <t>Открытая (10.07.1986)/31</t>
  </si>
  <si>
    <t>98,30</t>
  </si>
  <si>
    <t xml:space="preserve">Краснозаводск/Московская область </t>
  </si>
  <si>
    <t>3. Свиридов Дмитрий</t>
  </si>
  <si>
    <t>Открытая (27.03.1992)/25</t>
  </si>
  <si>
    <t>98,80</t>
  </si>
  <si>
    <t>4. Буковский Вадим</t>
  </si>
  <si>
    <t>Открытая (08.05.1991)/26</t>
  </si>
  <si>
    <t xml:space="preserve">Терехин Ю.Г. </t>
  </si>
  <si>
    <t>1. Щербаков Владислав</t>
  </si>
  <si>
    <t>Ветераны 40 - 44 (07.08.1977)/40</t>
  </si>
  <si>
    <t>2. Баннов Григорий</t>
  </si>
  <si>
    <t>Ветераны 40 - 44 (19.10.1975)/42</t>
  </si>
  <si>
    <t xml:space="preserve">Кондрашов Ю.С. </t>
  </si>
  <si>
    <t>1. Демидов Дмитрий</t>
  </si>
  <si>
    <t>Юноши 16 - 19 (04.10.1998)/19</t>
  </si>
  <si>
    <t>106,80</t>
  </si>
  <si>
    <t>-. Ефременков Владимир</t>
  </si>
  <si>
    <t>1. Сафин Максим</t>
  </si>
  <si>
    <t>2. Калашников Андрей</t>
  </si>
  <si>
    <t>Открытая (24.07.1980)/37</t>
  </si>
  <si>
    <t>102,30</t>
  </si>
  <si>
    <t xml:space="preserve">Пауесов А.И. </t>
  </si>
  <si>
    <t>3. Хачатрян Георгий</t>
  </si>
  <si>
    <t>Открытая (23.07.1986)/31</t>
  </si>
  <si>
    <t>107,60</t>
  </si>
  <si>
    <t xml:space="preserve">Лосино-Петровский/Московская область </t>
  </si>
  <si>
    <t>4. Кабанов Николай</t>
  </si>
  <si>
    <t>Открытая (28.06.1986)/31</t>
  </si>
  <si>
    <t>109,90</t>
  </si>
  <si>
    <t xml:space="preserve">Красноармейск/Московская область </t>
  </si>
  <si>
    <t>5. Буянов Александр</t>
  </si>
  <si>
    <t>Открытая (24.03.1980)/37</t>
  </si>
  <si>
    <t>105,30</t>
  </si>
  <si>
    <t xml:space="preserve">Алексеев А.В. </t>
  </si>
  <si>
    <t>1. Комков Сергей</t>
  </si>
  <si>
    <t>Ветераны 50 - 54 (29.08.1967)/50</t>
  </si>
  <si>
    <t xml:space="preserve">Щелково-3/Московская </t>
  </si>
  <si>
    <t>1. Сидельников Михаил</t>
  </si>
  <si>
    <t>Открытая (15.03.1984)/33</t>
  </si>
  <si>
    <t>123,00</t>
  </si>
  <si>
    <t xml:space="preserve">Сходня/Московская область </t>
  </si>
  <si>
    <t>187,5</t>
  </si>
  <si>
    <t xml:space="preserve">Виноградов В.В. </t>
  </si>
  <si>
    <t>1. Чубаров Владимир</t>
  </si>
  <si>
    <t>Ветераны 50 - 54 (03.04.1964)/53</t>
  </si>
  <si>
    <t>123,50</t>
  </si>
  <si>
    <t>177,5</t>
  </si>
  <si>
    <t>1. Филин Михаил</t>
  </si>
  <si>
    <t>Ветераны 55 - 59 (17.11.1961)/56</t>
  </si>
  <si>
    <t>139,90</t>
  </si>
  <si>
    <t>Кричмар Ольга</t>
  </si>
  <si>
    <t>80,8302</t>
  </si>
  <si>
    <t>Сидельников Михаил</t>
  </si>
  <si>
    <t>107,2125</t>
  </si>
  <si>
    <t>Сафин Максим</t>
  </si>
  <si>
    <t>104,1600</t>
  </si>
  <si>
    <t>Калашников Андрей</t>
  </si>
  <si>
    <t>102,5440</t>
  </si>
  <si>
    <t>Пивнов Владимир</t>
  </si>
  <si>
    <t>129,1587</t>
  </si>
  <si>
    <t>Базанов Сергей</t>
  </si>
  <si>
    <t>128,4948</t>
  </si>
  <si>
    <t>Филин Михаил</t>
  </si>
  <si>
    <t>121,8681</t>
  </si>
  <si>
    <t>Мегаполис 2018
WPU c ДК Жим лежа Безэкипировочный
Москва 24 - 25 февраля 2018 г.</t>
  </si>
  <si>
    <t>ВЕСОВАЯ КАТЕГОРИЯ   44</t>
  </si>
  <si>
    <t>1. Санина Ольга</t>
  </si>
  <si>
    <t>Юниорки 20 - 23 (16.09.1996)/21</t>
  </si>
  <si>
    <t>43,50</t>
  </si>
  <si>
    <t>37,5</t>
  </si>
  <si>
    <t>42,5</t>
  </si>
  <si>
    <t xml:space="preserve">Зверев Р.О. </t>
  </si>
  <si>
    <t>1. Клементьева Виктория</t>
  </si>
  <si>
    <t>Юниорки 20 - 23 (24.03.1994)/23</t>
  </si>
  <si>
    <t>1. Таскаева Екатерина</t>
  </si>
  <si>
    <t>Открытая (22.12.1993)/24</t>
  </si>
  <si>
    <t>57,00</t>
  </si>
  <si>
    <t>2. Блинкова Наталья</t>
  </si>
  <si>
    <t>Открытая (20.03.1991)/26</t>
  </si>
  <si>
    <t xml:space="preserve">Мавренков С.В. </t>
  </si>
  <si>
    <t>3. Воронова Наталья</t>
  </si>
  <si>
    <t>Открытая (08.04.1980)/37</t>
  </si>
  <si>
    <t>59,60</t>
  </si>
  <si>
    <t>1. Щедрина Елена</t>
  </si>
  <si>
    <t>Открытая (07.11.1987)/30</t>
  </si>
  <si>
    <t>65,40</t>
  </si>
  <si>
    <t xml:space="preserve">Семенова О.Г. </t>
  </si>
  <si>
    <t>1. Яковенко Виктория</t>
  </si>
  <si>
    <t>Юниорки 20 - 23 (13.02.1995)/23</t>
  </si>
  <si>
    <t>70,80</t>
  </si>
  <si>
    <t>1. Жук Елена</t>
  </si>
  <si>
    <t>Открытая (25.01.1984)/34</t>
  </si>
  <si>
    <t>74,80</t>
  </si>
  <si>
    <t>1. Мешков Даниил</t>
  </si>
  <si>
    <t>Юноши 14 - 15 (04.04.2003)/14</t>
  </si>
  <si>
    <t>58,50</t>
  </si>
  <si>
    <t>1. Неточаев Денис</t>
  </si>
  <si>
    <t>Юноши 16 - 19 (27.02.2001)/16</t>
  </si>
  <si>
    <t xml:space="preserve">Комков С. </t>
  </si>
  <si>
    <t>1. Грицан Алексей</t>
  </si>
  <si>
    <t>Открытая (02.04.1992)/25</t>
  </si>
  <si>
    <t>66,90</t>
  </si>
  <si>
    <t>2. Карапетян Степан</t>
  </si>
  <si>
    <t>Открытая (13.09.1991)/26</t>
  </si>
  <si>
    <t>66,20</t>
  </si>
  <si>
    <t>3. Шведов Денис</t>
  </si>
  <si>
    <t>Открытая (28.04.1990)/27</t>
  </si>
  <si>
    <t>65,00</t>
  </si>
  <si>
    <t xml:space="preserve">Карасев А.П. </t>
  </si>
  <si>
    <t>1. Солодов Олег</t>
  </si>
  <si>
    <t>Ветераны 45 - 49 (14.10.1971)/46</t>
  </si>
  <si>
    <t>1. Воронов Даниил</t>
  </si>
  <si>
    <t>Юноши 16 - 19 (18.02.2002)/16</t>
  </si>
  <si>
    <t>74,60</t>
  </si>
  <si>
    <t>2. Платонов Роман</t>
  </si>
  <si>
    <t>Юноши 16 - 19 (03.02.2002)/16</t>
  </si>
  <si>
    <t>71,00</t>
  </si>
  <si>
    <t xml:space="preserve">Фомин С.Е. </t>
  </si>
  <si>
    <t>1. Гриднев Максим</t>
  </si>
  <si>
    <t>Открытая (31.10.1992)/25</t>
  </si>
  <si>
    <t>69,00</t>
  </si>
  <si>
    <t xml:space="preserve">Тамбовская </t>
  </si>
  <si>
    <t xml:space="preserve">Мичуринск/Тамбовская область </t>
  </si>
  <si>
    <t>2. Харитонов Николай</t>
  </si>
  <si>
    <t>Открытая (29.11.1986)/31</t>
  </si>
  <si>
    <t xml:space="preserve">Фокин С. </t>
  </si>
  <si>
    <t>-. Губанов Алексей</t>
  </si>
  <si>
    <t>Открытая (12.04.1986)/31</t>
  </si>
  <si>
    <t>1. Дрынин Антон</t>
  </si>
  <si>
    <t>Юниоры 20 - 23 (09.04.1996)/21</t>
  </si>
  <si>
    <t xml:space="preserve">Морозов Н.О. </t>
  </si>
  <si>
    <t>1. Янин Юрий</t>
  </si>
  <si>
    <t>Открытая (09.07.1987)/30</t>
  </si>
  <si>
    <t>2. Лобачев Даниэл</t>
  </si>
  <si>
    <t>Открытая (10.07.1993)/24</t>
  </si>
  <si>
    <t xml:space="preserve">Сорокин Е. </t>
  </si>
  <si>
    <t>3. Иванников Дмитрий</t>
  </si>
  <si>
    <t>Открытая (13.10.1981)/36</t>
  </si>
  <si>
    <t>78,00</t>
  </si>
  <si>
    <t>4. Попов Игорь</t>
  </si>
  <si>
    <t>77,90</t>
  </si>
  <si>
    <t xml:space="preserve">Сюта А.В. </t>
  </si>
  <si>
    <t>5. Букатин Владимир</t>
  </si>
  <si>
    <t>Открытая (19.08.1985)/32</t>
  </si>
  <si>
    <t>-. Тимохин Павел</t>
  </si>
  <si>
    <t>Открытая (06.02.1981)/37</t>
  </si>
  <si>
    <t>Ветераны 50 - 54 (16.09.1963)/54</t>
  </si>
  <si>
    <t>1. Овсяный Виктор</t>
  </si>
  <si>
    <t>Ветераны 55 - 59 (19.04.1958)/59</t>
  </si>
  <si>
    <t xml:space="preserve">Долгопрудный/Московская область </t>
  </si>
  <si>
    <t>1. Чесноков Максим</t>
  </si>
  <si>
    <t>Юниоры 20 - 23 (22.10.1996)/21</t>
  </si>
  <si>
    <t>2. Желагин Андрей</t>
  </si>
  <si>
    <t>Юниоры 20 - 23 (17.05.1995)/22</t>
  </si>
  <si>
    <t>86,70</t>
  </si>
  <si>
    <t>127,0</t>
  </si>
  <si>
    <t>2. Богоутдинов Рустам</t>
  </si>
  <si>
    <t>Открытая (05.06.1982)/35</t>
  </si>
  <si>
    <t>87,80</t>
  </si>
  <si>
    <t>167,5</t>
  </si>
  <si>
    <t>3. Галичевский Иван</t>
  </si>
  <si>
    <t>4. Брилев Артем</t>
  </si>
  <si>
    <t>Открытая (01.10.1986)/31</t>
  </si>
  <si>
    <t>88,50</t>
  </si>
  <si>
    <t>5. Уразов Сергей</t>
  </si>
  <si>
    <t>Открытая (01.10.1993)/24</t>
  </si>
  <si>
    <t xml:space="preserve">Фомин Ю. </t>
  </si>
  <si>
    <t>6. Малиновский Андрей</t>
  </si>
  <si>
    <t>Открытая (15.01.1984)/34</t>
  </si>
  <si>
    <t>88,60</t>
  </si>
  <si>
    <t xml:space="preserve">Кондрашев Ю.С. </t>
  </si>
  <si>
    <t>7. Тришин Евгений</t>
  </si>
  <si>
    <t>Открытая (20.03.1986)/31</t>
  </si>
  <si>
    <t>89,40</t>
  </si>
  <si>
    <t>-. Брындин Олег</t>
  </si>
  <si>
    <t>Открытая (21.06.1993)/24</t>
  </si>
  <si>
    <t>88,00</t>
  </si>
  <si>
    <t xml:space="preserve">Солнечногорск/Московская область </t>
  </si>
  <si>
    <t>-. Костев Николай</t>
  </si>
  <si>
    <t>Ветераны 55 - 59 (17.12.1959)/58</t>
  </si>
  <si>
    <t>1. Лозовой Максим</t>
  </si>
  <si>
    <t>Открытая (25.09.1977)/40</t>
  </si>
  <si>
    <t>2. Шабанов Вадим</t>
  </si>
  <si>
    <t>Открытая (03.02.1972)/46</t>
  </si>
  <si>
    <t xml:space="preserve">Книщук Р. </t>
  </si>
  <si>
    <t>3. Назгаидзе Виктор</t>
  </si>
  <si>
    <t>Открытая (19.09.1981)/36</t>
  </si>
  <si>
    <t>4. Емельянов Кирилл</t>
  </si>
  <si>
    <t>Открытая (02.06.1986)/31</t>
  </si>
  <si>
    <t>93,50</t>
  </si>
  <si>
    <t xml:space="preserve">Евсюткин А.С. </t>
  </si>
  <si>
    <t>5. Филатов Юрий</t>
  </si>
  <si>
    <t>Открытая (18.07.1989)/28</t>
  </si>
  <si>
    <t>99,10</t>
  </si>
  <si>
    <t xml:space="preserve">Апрелевка/Московская область </t>
  </si>
  <si>
    <t>Ветераны 40 - 44 (25.09.1977)/40</t>
  </si>
  <si>
    <t>1. Шабанов Вадим</t>
  </si>
  <si>
    <t>Ветераны 45 - 49 (03.02.1972)/46</t>
  </si>
  <si>
    <t>-. Никишин Сергей</t>
  </si>
  <si>
    <t>1. Скворцов Леонид</t>
  </si>
  <si>
    <t>Ветераны 55 - 59 (24.05.1962)/55</t>
  </si>
  <si>
    <t xml:space="preserve">Брянская </t>
  </si>
  <si>
    <t xml:space="preserve">Брянск/Брянская область </t>
  </si>
  <si>
    <t xml:space="preserve">Скворцов А.Л. </t>
  </si>
  <si>
    <t>1. Железнов Дмитрий</t>
  </si>
  <si>
    <t>Открытая (24.01.1993)/25</t>
  </si>
  <si>
    <t>107,70</t>
  </si>
  <si>
    <t xml:space="preserve">Куренков В.С. Баландин С.В. </t>
  </si>
  <si>
    <t>2. Севрюков Максим</t>
  </si>
  <si>
    <t>Открытая (06.03.1985)/32</t>
  </si>
  <si>
    <t>109,70</t>
  </si>
  <si>
    <t>1. Бурлов Иван</t>
  </si>
  <si>
    <t>Ветераны 45 - 49 (20.01.1970)/48</t>
  </si>
  <si>
    <t xml:space="preserve">Романов Ю.Н. </t>
  </si>
  <si>
    <t>1. Бардин Александр</t>
  </si>
  <si>
    <t>Ветераны 55 - 59 (03.03.1960)/57</t>
  </si>
  <si>
    <t xml:space="preserve">Оглоблин Д.В </t>
  </si>
  <si>
    <t>1. Маринов Евгений</t>
  </si>
  <si>
    <t>Открытая (20.11.1983)/34</t>
  </si>
  <si>
    <t>118,50</t>
  </si>
  <si>
    <t>2. Оглоблин Денис</t>
  </si>
  <si>
    <t>Открытая (12.05.1967)/50</t>
  </si>
  <si>
    <t>122,60</t>
  </si>
  <si>
    <t xml:space="preserve">Суровецкий А.Е. </t>
  </si>
  <si>
    <t>1. Оглоблин Денис</t>
  </si>
  <si>
    <t>Ветераны 50 - 54 (12.05.1967)/50</t>
  </si>
  <si>
    <t>1. Тарасов Василий</t>
  </si>
  <si>
    <t>Открытая (02.03.1978)/39</t>
  </si>
  <si>
    <t>134,20</t>
  </si>
  <si>
    <t>207,5</t>
  </si>
  <si>
    <t>1. Селезнев Владимир</t>
  </si>
  <si>
    <t>Ветераны 40 - 44 (09.05.1977)/40</t>
  </si>
  <si>
    <t>127,30</t>
  </si>
  <si>
    <t>2. Залетаев Андрей</t>
  </si>
  <si>
    <t>Ветераны 40 - 44 (20.09.1975)/42</t>
  </si>
  <si>
    <t>137,50</t>
  </si>
  <si>
    <t xml:space="preserve">Сумин А.В </t>
  </si>
  <si>
    <t>ВЕСОВАЯ КАТЕГОРИЯ   140+</t>
  </si>
  <si>
    <t>1. Мишуренков Роман</t>
  </si>
  <si>
    <t>Открытая (16.02.1982)/36</t>
  </si>
  <si>
    <t>142,80</t>
  </si>
  <si>
    <t>Таскаева Екатерина</t>
  </si>
  <si>
    <t>98,6340</t>
  </si>
  <si>
    <t>Железнов Дмитрий</t>
  </si>
  <si>
    <t>130,3280</t>
  </si>
  <si>
    <t>Гриднев Максим</t>
  </si>
  <si>
    <t>125,0370</t>
  </si>
  <si>
    <t>Мишуренков Роман</t>
  </si>
  <si>
    <t>0,0</t>
  </si>
  <si>
    <t>122,5840</t>
  </si>
  <si>
    <t>Санников Владислав</t>
  </si>
  <si>
    <t xml:space="preserve">Ветераны 75 - 79 </t>
  </si>
  <si>
    <t>124,4925</t>
  </si>
  <si>
    <t>Мегаполис 2018
WPU c ДК Жим лежа в Однослойной экипировке
Москва 24 - 25 февраля 2018 г.</t>
  </si>
  <si>
    <t>1. Милосердов Олег</t>
  </si>
  <si>
    <t>96,70</t>
  </si>
  <si>
    <t>2. Майоров Владимир</t>
  </si>
  <si>
    <t>Открытая (14.08.1987)/30</t>
  </si>
  <si>
    <t>95,30</t>
  </si>
  <si>
    <t xml:space="preserve">Мудрогелов Р.А. </t>
  </si>
  <si>
    <t>-. Золотых Дмитрий</t>
  </si>
  <si>
    <t>Открытая (31.07.1987)/30</t>
  </si>
  <si>
    <t>Мегаполис 2018
WPU c ДК Жим лежа в Многослойной экипировке
Москва 24 - 25 февраля 2018 г.</t>
  </si>
  <si>
    <t>1. Баранов Евгений</t>
  </si>
  <si>
    <t>Открытая (28.07.1982)/35</t>
  </si>
  <si>
    <t>124,80</t>
  </si>
  <si>
    <t>280,0</t>
  </si>
  <si>
    <t>290,0</t>
  </si>
  <si>
    <t xml:space="preserve">Пермяков Д.С. </t>
  </si>
  <si>
    <t>Баранов Евгений</t>
  </si>
  <si>
    <t>165,3000</t>
  </si>
  <si>
    <t>Мегаполис 2018
WPU c ДК Пауэрлифтинг Классический
Москва 24 - 25 февраля 2018 г.</t>
  </si>
  <si>
    <t>Присед</t>
  </si>
  <si>
    <t>Сумма</t>
  </si>
  <si>
    <t>1. Аниковская Елена</t>
  </si>
  <si>
    <t>Открытая (26.12.1986)/31</t>
  </si>
  <si>
    <t>47,90</t>
  </si>
  <si>
    <t>1. Черткова Алина</t>
  </si>
  <si>
    <t>Девушки 16 - 19 (09.08.2001)/16</t>
  </si>
  <si>
    <t>56,00</t>
  </si>
  <si>
    <t xml:space="preserve">Аркадьев Д. </t>
  </si>
  <si>
    <t>1. Гафина Светлана</t>
  </si>
  <si>
    <t>Юниорки 20 - 23 (29.07.1997)/20</t>
  </si>
  <si>
    <t>1. Пархоменко Ольга</t>
  </si>
  <si>
    <t>Открытая (12.11.1988)/29</t>
  </si>
  <si>
    <t>52,80</t>
  </si>
  <si>
    <t>2. Сорокопудова Мария</t>
  </si>
  <si>
    <t>Открытая (16.07.1991)/26</t>
  </si>
  <si>
    <t>53,70</t>
  </si>
  <si>
    <t xml:space="preserve">Хитров С.С. </t>
  </si>
  <si>
    <t>1. Ухарева Мария</t>
  </si>
  <si>
    <t>Открытая (03.05.1988)/29</t>
  </si>
  <si>
    <t>59,10</t>
  </si>
  <si>
    <t xml:space="preserve">Корнеев П.Н. </t>
  </si>
  <si>
    <t>-. Цыганкова Мария</t>
  </si>
  <si>
    <t>Открытая (09.04.1990)/27</t>
  </si>
  <si>
    <t xml:space="preserve">Ткалич В. </t>
  </si>
  <si>
    <t>1. Чупракова Екатерина</t>
  </si>
  <si>
    <t>Открытая (11.05.1982)/35</t>
  </si>
  <si>
    <t>65,50</t>
  </si>
  <si>
    <t xml:space="preserve">Клюев В.В. </t>
  </si>
  <si>
    <t>1. Дорошина Яна</t>
  </si>
  <si>
    <t>Девушки 16 - 19 (24.02.2001)/17</t>
  </si>
  <si>
    <t xml:space="preserve">Безкишкин В.Н. </t>
  </si>
  <si>
    <t>1. Иваненко Анна</t>
  </si>
  <si>
    <t>Открытая (03.01.1986)/32</t>
  </si>
  <si>
    <t>73,60</t>
  </si>
  <si>
    <t xml:space="preserve">Румянцев С.В. </t>
  </si>
  <si>
    <t>1. Мерзляков Николай</t>
  </si>
  <si>
    <t>Открытая (11.06.1992)/25</t>
  </si>
  <si>
    <t>66,80</t>
  </si>
  <si>
    <t>1. Никитин Юрий</t>
  </si>
  <si>
    <t>Открытая (09.01.1988)/30</t>
  </si>
  <si>
    <t>73,70</t>
  </si>
  <si>
    <t>1. Черевань Роман</t>
  </si>
  <si>
    <t>Юноши 16 - 19 (17.07.1999)/18</t>
  </si>
  <si>
    <t>79,60</t>
  </si>
  <si>
    <t>2. Панкратовский Александр</t>
  </si>
  <si>
    <t>Юноши 16 - 19 (27.02.2000)/17</t>
  </si>
  <si>
    <t xml:space="preserve">Наумов П. </t>
  </si>
  <si>
    <t>3. Наймушин Иван</t>
  </si>
  <si>
    <t>Юноши 16 - 19 (29.05.2001)/16</t>
  </si>
  <si>
    <t>78,30</t>
  </si>
  <si>
    <t>1. Ганичкин Андрей</t>
  </si>
  <si>
    <t>Открытая (09.08.1984)/33</t>
  </si>
  <si>
    <t>2. Борисов Александр</t>
  </si>
  <si>
    <t>Открытая (31.10.1989)/28</t>
  </si>
  <si>
    <t>81,10</t>
  </si>
  <si>
    <t>3. Шкуренко Игорь</t>
  </si>
  <si>
    <t>Открытая (08.02.1989)/29</t>
  </si>
  <si>
    <t>82,40</t>
  </si>
  <si>
    <t xml:space="preserve">Балашиха/Московская область </t>
  </si>
  <si>
    <t xml:space="preserve">Ободовский А., Шинов И.Б. </t>
  </si>
  <si>
    <t>1. Гвоздев Алексей</t>
  </si>
  <si>
    <t>Ветераны 45 - 49 (27.03.1972)/45</t>
  </si>
  <si>
    <t>1. Никифоров Павел</t>
  </si>
  <si>
    <t>Открытая (07.10.1985)/32</t>
  </si>
  <si>
    <t xml:space="preserve">Кашин/Тверская область </t>
  </si>
  <si>
    <t>1. Маклаков Денис</t>
  </si>
  <si>
    <t>Юниоры 20 - 23 (02.05.1997)/20</t>
  </si>
  <si>
    <t>96,50</t>
  </si>
  <si>
    <t>1. Забелин Николай</t>
  </si>
  <si>
    <t>Открытая (23.05.1985)/32</t>
  </si>
  <si>
    <t>98,00</t>
  </si>
  <si>
    <t>257,5</t>
  </si>
  <si>
    <t xml:space="preserve">Никифоров П.Б. </t>
  </si>
  <si>
    <t>2. Коршиков Дмитрий</t>
  </si>
  <si>
    <t>Открытая (15.12.1985)/32</t>
  </si>
  <si>
    <t>95,90</t>
  </si>
  <si>
    <t>-. Краснов Константин</t>
  </si>
  <si>
    <t>Открытая (06.10.1986)/31</t>
  </si>
  <si>
    <t>96,90</t>
  </si>
  <si>
    <t>1. Андреев Андрей</t>
  </si>
  <si>
    <t>Открытая (08.03.1979)/38</t>
  </si>
  <si>
    <t>101,50</t>
  </si>
  <si>
    <t>1. Таргонский Чеслав</t>
  </si>
  <si>
    <t>Ветераны 60 - 64 (06.01.1958)/60</t>
  </si>
  <si>
    <t>101,20</t>
  </si>
  <si>
    <t xml:space="preserve">Журавлев С.П. </t>
  </si>
  <si>
    <t>1. Лепешкин Захар</t>
  </si>
  <si>
    <t>Юноши 16 - 19 (07.12.2000)/17</t>
  </si>
  <si>
    <t xml:space="preserve">Романов Н.А. </t>
  </si>
  <si>
    <t>1. Федоренко Олег</t>
  </si>
  <si>
    <t>Открытая (01.06.1989)/28</t>
  </si>
  <si>
    <t>119,60</t>
  </si>
  <si>
    <t>282,5</t>
  </si>
  <si>
    <t>Боковой судья:</t>
  </si>
  <si>
    <t>Секретарь:</t>
  </si>
  <si>
    <t>Чупракова Екатерина</t>
  </si>
  <si>
    <t>292,5</t>
  </si>
  <si>
    <t>305,1360</t>
  </si>
  <si>
    <t>Ганичкин Андрей</t>
  </si>
  <si>
    <t>600,0</t>
  </si>
  <si>
    <t>402,8400</t>
  </si>
  <si>
    <t>Федоренко Олег</t>
  </si>
  <si>
    <t>700,0</t>
  </si>
  <si>
    <t>402,7800</t>
  </si>
  <si>
    <t>Забелин Николай</t>
  </si>
  <si>
    <t>637,5</t>
  </si>
  <si>
    <t>391,1700</t>
  </si>
  <si>
    <t>Мегаполис 2018
WPU c ДК Пауэрлифтинг Безэкипировочный
Москва 24 - 25 февраля 2018 г.</t>
  </si>
  <si>
    <t>1. Шарынкина Светлана</t>
  </si>
  <si>
    <t>Юниорки 20 - 23 (27.06.1995)/22</t>
  </si>
  <si>
    <t>43,20</t>
  </si>
  <si>
    <t>1. Лукасевич Мария</t>
  </si>
  <si>
    <t>Открытая (28.04.1989)/28</t>
  </si>
  <si>
    <t>47,30</t>
  </si>
  <si>
    <t xml:space="preserve">Афанасьев Н. </t>
  </si>
  <si>
    <t>1. Земцова Ирина</t>
  </si>
  <si>
    <t>Открытая (28.12.1981)/36</t>
  </si>
  <si>
    <t>50,20</t>
  </si>
  <si>
    <t xml:space="preserve">Агафонов Д.В. </t>
  </si>
  <si>
    <t>2. Копылова Оксана</t>
  </si>
  <si>
    <t>Открытая (05.07.1989)/28</t>
  </si>
  <si>
    <t>50,60</t>
  </si>
  <si>
    <t xml:space="preserve">Климов М.В. </t>
  </si>
  <si>
    <t>1. Кущ Виктория</t>
  </si>
  <si>
    <t>Юниорки 20 - 23 (09.01.1995)/23</t>
  </si>
  <si>
    <t>54,00</t>
  </si>
  <si>
    <t xml:space="preserve">Ивлиев Л. </t>
  </si>
  <si>
    <t>1. Левенкова Наталья</t>
  </si>
  <si>
    <t>Открытая (16.09.1988)/29</t>
  </si>
  <si>
    <t>54,70</t>
  </si>
  <si>
    <t>66,0</t>
  </si>
  <si>
    <t>2. Красулина Надежда</t>
  </si>
  <si>
    <t>Открытая (06.02.1987)/31</t>
  </si>
  <si>
    <t>1. Епихина Виктория</t>
  </si>
  <si>
    <t>Открытая (18.04.1991)/26</t>
  </si>
  <si>
    <t>65,20</t>
  </si>
  <si>
    <t xml:space="preserve">Папенков П.А. </t>
  </si>
  <si>
    <t>2. Викторова Наталья</t>
  </si>
  <si>
    <t>Открытая (29.12.1985)/32</t>
  </si>
  <si>
    <t>66,30</t>
  </si>
  <si>
    <t>1. Мамичева Екатерина</t>
  </si>
  <si>
    <t>Открытая (19.02.1979)/39</t>
  </si>
  <si>
    <t xml:space="preserve">Хотьково/Московская область </t>
  </si>
  <si>
    <t xml:space="preserve">Дрожжин А.Н. </t>
  </si>
  <si>
    <t>1. Бирюков Антон</t>
  </si>
  <si>
    <t>Юноши 16 - 19 (17.03.1998)/19</t>
  </si>
  <si>
    <t>64,00</t>
  </si>
  <si>
    <t xml:space="preserve">Зимоновский А.В. </t>
  </si>
  <si>
    <t>2. Санин Леонтий</t>
  </si>
  <si>
    <t>Открытая (01.07.1992)/25</t>
  </si>
  <si>
    <t>3. Назаренко Михаил</t>
  </si>
  <si>
    <t>Открытая (12.05.1983)/34</t>
  </si>
  <si>
    <t>64,80</t>
  </si>
  <si>
    <t>1. Сычев Владислав</t>
  </si>
  <si>
    <t>Юноши 16 - 19 (09.05.2000)/17</t>
  </si>
  <si>
    <t>1. Косарев Руслан</t>
  </si>
  <si>
    <t>Открытая (29.11.1990)/27</t>
  </si>
  <si>
    <t>74,70</t>
  </si>
  <si>
    <t>2. Жевтунов Владимир</t>
  </si>
  <si>
    <t>Открытая (11.05.1988)/29</t>
  </si>
  <si>
    <t>73,00</t>
  </si>
  <si>
    <t>2. Волков Александр</t>
  </si>
  <si>
    <t>Юниоры 20 - 23 (31.08.1995)/22</t>
  </si>
  <si>
    <t>1. Белов Илья</t>
  </si>
  <si>
    <t>Открытая (26.12.1989)/28</t>
  </si>
  <si>
    <t>80,70</t>
  </si>
  <si>
    <t>1. Бокарев Савелий</t>
  </si>
  <si>
    <t>Юноши 16 - 19 (30.10.1998)/19</t>
  </si>
  <si>
    <t>90,00</t>
  </si>
  <si>
    <t>1. Юдаев Александр</t>
  </si>
  <si>
    <t>Открытая (10.02.1994)/24</t>
  </si>
  <si>
    <t>2. Кондрашин Иван</t>
  </si>
  <si>
    <t>Открытая (29.09.1987)/30</t>
  </si>
  <si>
    <t xml:space="preserve">Напалков В.В. </t>
  </si>
  <si>
    <t>3. Серёгин Роман</t>
  </si>
  <si>
    <t>Открытая (10.12.1989)/28</t>
  </si>
  <si>
    <t>88,80</t>
  </si>
  <si>
    <t>1. Мурзаханов Калимулла</t>
  </si>
  <si>
    <t>Ветераны 60 - 64 (29.07.1955)/62</t>
  </si>
  <si>
    <t>87,30</t>
  </si>
  <si>
    <t xml:space="preserve">Исаков П.Г. </t>
  </si>
  <si>
    <t>1. Омаров Закир</t>
  </si>
  <si>
    <t>Юноши 16 - 19 (31.07.1998)/19</t>
  </si>
  <si>
    <t>98,70</t>
  </si>
  <si>
    <t xml:space="preserve">Фролов М. </t>
  </si>
  <si>
    <t>1. Трунов Олег</t>
  </si>
  <si>
    <t>Открытая (08.08.1988)/29</t>
  </si>
  <si>
    <t xml:space="preserve">Довбыш О. </t>
  </si>
  <si>
    <t>2. Родин Павел</t>
  </si>
  <si>
    <t>Открытая (02.06.1985)/32</t>
  </si>
  <si>
    <t>1. Локотков Александр</t>
  </si>
  <si>
    <t>Юниоры 20 - 23 (26.07.1995)/22</t>
  </si>
  <si>
    <t>1. Насибуллин Ринат</t>
  </si>
  <si>
    <t>Открытая (17.09.1991)/26</t>
  </si>
  <si>
    <t>107,20</t>
  </si>
  <si>
    <t xml:space="preserve">Филиппов И.Ю. </t>
  </si>
  <si>
    <t>-. Строилов Михаил</t>
  </si>
  <si>
    <t>Открытая (09.01.1976)/42</t>
  </si>
  <si>
    <t>109,80</t>
  </si>
  <si>
    <t>1. Любочкин Сергей</t>
  </si>
  <si>
    <t>Ветераны 40 - 44 (19.06.1977)/40</t>
  </si>
  <si>
    <t>109,30</t>
  </si>
  <si>
    <t>2. Рак Иван</t>
  </si>
  <si>
    <t>Ветераны 40 - 44 (27.08.1974)/43</t>
  </si>
  <si>
    <t>101,60</t>
  </si>
  <si>
    <t xml:space="preserve">Евстигнеев М. </t>
  </si>
  <si>
    <t>1. Перепичай Василий</t>
  </si>
  <si>
    <t>Открытая (27.02.1981)/36</t>
  </si>
  <si>
    <t>Епихина Виктория</t>
  </si>
  <si>
    <t>387,5</t>
  </si>
  <si>
    <t>405,5963</t>
  </si>
  <si>
    <t>Трунов Олег</t>
  </si>
  <si>
    <t>680,0</t>
  </si>
  <si>
    <t>421,6000</t>
  </si>
  <si>
    <t>Кондрашин Иван</t>
  </si>
  <si>
    <t>620,0</t>
  </si>
  <si>
    <t>401,6980</t>
  </si>
  <si>
    <t>Юдаев Александр</t>
  </si>
  <si>
    <t>627,5</t>
  </si>
  <si>
    <t>400,5960</t>
  </si>
  <si>
    <t>Рак Иван</t>
  </si>
  <si>
    <t xml:space="preserve">Ветераны 40 - 44 </t>
  </si>
  <si>
    <t>374,1293</t>
  </si>
  <si>
    <t>Мегаполис 2018
WPU c ДК Пауэрлифтинг в Однослойной экипировке
Москва 24 - 25 февраля 2018 г.</t>
  </si>
  <si>
    <t>1. Севостьянов Денис</t>
  </si>
  <si>
    <t>Юниоры 20 - 23 (11.07.1996)/21</t>
  </si>
  <si>
    <t>1. Романов Вячеслав</t>
  </si>
  <si>
    <t>Открытая (04.12.1990)/27</t>
  </si>
  <si>
    <t>Романов Вячеслав</t>
  </si>
  <si>
    <t>730,0</t>
  </si>
  <si>
    <t>475,3030</t>
  </si>
  <si>
    <t>Мегаполис 2018
WPU Становая тяга Безэкипировочная
Москва 24 - 25 февраля 2018 г.</t>
  </si>
  <si>
    <t>1. Акулов Захар</t>
  </si>
  <si>
    <t>Юноши 14 - 15 (09.06.2003)/14</t>
  </si>
  <si>
    <t xml:space="preserve">Лично </t>
  </si>
  <si>
    <t xml:space="preserve">Спицын Р. </t>
  </si>
  <si>
    <t>1. Пономаренко Григорий</t>
  </si>
  <si>
    <t>Открытая (18.01.1993)/25</t>
  </si>
  <si>
    <t>81,50</t>
  </si>
  <si>
    <t>1. Наумов Александр</t>
  </si>
  <si>
    <t>Открытая (18.05.1992)/25</t>
  </si>
  <si>
    <t xml:space="preserve">Котельники/Московская область </t>
  </si>
  <si>
    <t>1. Спицин Радий</t>
  </si>
  <si>
    <t>Открытая (09.06.1981)/36</t>
  </si>
  <si>
    <t>95,60</t>
  </si>
  <si>
    <t>285,0</t>
  </si>
  <si>
    <t>295,0</t>
  </si>
  <si>
    <t>1. Сазонов Павел</t>
  </si>
  <si>
    <t>Открытая (08.06.1986)/31</t>
  </si>
  <si>
    <t>287,5</t>
  </si>
  <si>
    <t>2. Незнамов Максим</t>
  </si>
  <si>
    <t>Открытая (22.02.1978)/40</t>
  </si>
  <si>
    <t>105,20</t>
  </si>
  <si>
    <t>3. Кондаков Сергей</t>
  </si>
  <si>
    <t>Открытая (30.12.1987)/30</t>
  </si>
  <si>
    <t>104,80</t>
  </si>
  <si>
    <t xml:space="preserve">Курская </t>
  </si>
  <si>
    <t xml:space="preserve">Курск/Курская область </t>
  </si>
  <si>
    <t>Спицин Радий</t>
  </si>
  <si>
    <t>182,9885</t>
  </si>
  <si>
    <t>Мегаполис 2018
WPU Становая тяга в Многослойной экипировке
Москва 24 - 25 февраля 2018 г.</t>
  </si>
  <si>
    <t>1. Носов Александр</t>
  </si>
  <si>
    <t>Открытая (31.01.1985)/33</t>
  </si>
  <si>
    <t>96,10</t>
  </si>
  <si>
    <t>302,5</t>
  </si>
  <si>
    <t>Мегаполис 2018
WPU Жим лежа в Многослойной экипировке
Москва 24 - 25 февраля 2018 г.</t>
  </si>
  <si>
    <t>1. Брехов Роман</t>
  </si>
  <si>
    <t>Открытая (24.02.1990)/28</t>
  </si>
  <si>
    <t>114,40</t>
  </si>
  <si>
    <t>305,0</t>
  </si>
  <si>
    <t xml:space="preserve">Соловьёв В. </t>
  </si>
  <si>
    <t>Брехов Роман</t>
  </si>
  <si>
    <t>168,7510</t>
  </si>
  <si>
    <t>Мегаполис 2018
WPU Жим лежа Безэкипировочный
Москва 24 - 25 февраля 2018 г.</t>
  </si>
  <si>
    <t>1. Ящук Вера</t>
  </si>
  <si>
    <t>Открытая (20.05.1980)/37</t>
  </si>
  <si>
    <t>1. Габидуллина Асия</t>
  </si>
  <si>
    <t>Открытая (30.11.1982)/35</t>
  </si>
  <si>
    <t>57,80</t>
  </si>
  <si>
    <t xml:space="preserve">Кирьянов А.Н. </t>
  </si>
  <si>
    <t>1. Чеснакова Екатерина</t>
  </si>
  <si>
    <t>Открытая (28.07.1978)/39</t>
  </si>
  <si>
    <t>1. Румянцев Александр</t>
  </si>
  <si>
    <t>Открытая (26.06.1991)/26</t>
  </si>
  <si>
    <t xml:space="preserve">Селятино/Московская область </t>
  </si>
  <si>
    <t xml:space="preserve">Тимченко С.С. </t>
  </si>
  <si>
    <t>1. Петрокович Николай</t>
  </si>
  <si>
    <t>Открытая (17.08.1979)/38</t>
  </si>
  <si>
    <t>1. Лебедев Антон</t>
  </si>
  <si>
    <t>82,50</t>
  </si>
  <si>
    <t>1. Тимченко Сергей</t>
  </si>
  <si>
    <t>Открытая (23.12.1979)/38</t>
  </si>
  <si>
    <t xml:space="preserve">Тимченко Ю. </t>
  </si>
  <si>
    <t>2. Костев Николай</t>
  </si>
  <si>
    <t>1. Латышев Андрей</t>
  </si>
  <si>
    <t>Открытая (16.04.1973)/44</t>
  </si>
  <si>
    <t>100,00</t>
  </si>
  <si>
    <t>2. Султанов Магомед</t>
  </si>
  <si>
    <t>Открытая (09.12.1990)/27</t>
  </si>
  <si>
    <t>-. Гаврилюк Сергей</t>
  </si>
  <si>
    <t>Открытая (02.09.1988)/29</t>
  </si>
  <si>
    <t>Ветераны 40 - 44 (16.04.1973)/44</t>
  </si>
  <si>
    <t>2. Котов Николай</t>
  </si>
  <si>
    <t>Ветераны 40 - 44 (12.07.1975)/42</t>
  </si>
  <si>
    <t>98,60</t>
  </si>
  <si>
    <t xml:space="preserve">Игамов Ш.Ш. </t>
  </si>
  <si>
    <t>3. Иванов Алексей</t>
  </si>
  <si>
    <t>Ветераны 40 - 44 (13.03.1975)/42</t>
  </si>
  <si>
    <t>1. Князев Виктор</t>
  </si>
  <si>
    <t>108,80</t>
  </si>
  <si>
    <t>231,0</t>
  </si>
  <si>
    <t xml:space="preserve">Селин В. </t>
  </si>
  <si>
    <t>2. Комиссаров Константин</t>
  </si>
  <si>
    <t>Открытая (12.05.1985)/32</t>
  </si>
  <si>
    <t>105,60</t>
  </si>
  <si>
    <t xml:space="preserve">Ульянов А.В. </t>
  </si>
  <si>
    <t>3. Рыбин Дмитрий</t>
  </si>
  <si>
    <t>Открытая (23.10.1993)/24</t>
  </si>
  <si>
    <t xml:space="preserve">Черней Б. </t>
  </si>
  <si>
    <t>-. Михеев Павел</t>
  </si>
  <si>
    <t>Открытая (13.02.1988)/30</t>
  </si>
  <si>
    <t>1. Кабанов Дмитрий</t>
  </si>
  <si>
    <t>Открытая (15.06.1987)/30</t>
  </si>
  <si>
    <t>120,20</t>
  </si>
  <si>
    <t xml:space="preserve">Алексеев А. </t>
  </si>
  <si>
    <t>2. Голованов Игорь</t>
  </si>
  <si>
    <t>Открытая (04.11.1983)/34</t>
  </si>
  <si>
    <t>119,30</t>
  </si>
  <si>
    <t>1. Быков Александр</t>
  </si>
  <si>
    <t>Ветераны 40 - 44 (06.04.1974)/43</t>
  </si>
  <si>
    <t>114,20</t>
  </si>
  <si>
    <t>1. Дарчиев Георгий</t>
  </si>
  <si>
    <t>Открытая (16.07.1977)/40</t>
  </si>
  <si>
    <t>135,40</t>
  </si>
  <si>
    <t>Ветераны 40 - 44 (16.07.1977)/40</t>
  </si>
  <si>
    <t>Тимченко Сергей</t>
  </si>
  <si>
    <t>138,8520</t>
  </si>
  <si>
    <t>Кабанов Дмитрий</t>
  </si>
  <si>
    <t>135,0545</t>
  </si>
  <si>
    <t>Князев Виктор</t>
  </si>
  <si>
    <t>132,8625</t>
  </si>
  <si>
    <t>Мегаполис 2018
WPU Жим лежа в Однослойной экипировке
Москва 24 - 25 февраля 2018 г.</t>
  </si>
  <si>
    <t>1. Нечпал Вячеслав</t>
  </si>
  <si>
    <t>Ветераны 40 - 44 (02.07.1973)/44</t>
  </si>
  <si>
    <t>96,30</t>
  </si>
  <si>
    <t xml:space="preserve">Брехов Р.О. </t>
  </si>
  <si>
    <t>1. Кузнецов Евгений</t>
  </si>
  <si>
    <t>Мегаполис 2018
WPU Пауэрлифтинг Классический
Москва 24 - 25 февраля 2018 г.</t>
  </si>
  <si>
    <t>1. Хитров Сергей</t>
  </si>
  <si>
    <t>Открытая (01.10.1979)/38</t>
  </si>
  <si>
    <t>86,60</t>
  </si>
  <si>
    <t>1. Солопов Евгений</t>
  </si>
  <si>
    <t>108,00</t>
  </si>
  <si>
    <t>310,0</t>
  </si>
  <si>
    <t>Мегаполис 2018
WPU Пауэрлифтинг Безэкипировочный
Москва 24 - 25 февраля 2018 г.</t>
  </si>
  <si>
    <t>1. Пырсина Юлия</t>
  </si>
  <si>
    <t>Открытая (09.05.1985)/32</t>
  </si>
  <si>
    <t>58,60</t>
  </si>
  <si>
    <t xml:space="preserve">Марченко В.В. </t>
  </si>
  <si>
    <t>1. Федосенко Мария</t>
  </si>
  <si>
    <t>66,60</t>
  </si>
  <si>
    <t>1. Суржицкая Лия</t>
  </si>
  <si>
    <t>Девушки 16 - 19 (23.01.1999)/19</t>
  </si>
  <si>
    <t>73,10</t>
  </si>
  <si>
    <t>1. Гематдинов Радик</t>
  </si>
  <si>
    <t>Открытая (19.02.1982)/36</t>
  </si>
  <si>
    <t>85,90</t>
  </si>
  <si>
    <t xml:space="preserve">Неклюдов А.В. </t>
  </si>
  <si>
    <t>1. Медведев Андрей</t>
  </si>
  <si>
    <t>Ветераны 60 - 64 (22.11.1954)/63</t>
  </si>
  <si>
    <t xml:space="preserve">Озёры/Московская область </t>
  </si>
  <si>
    <t>1. Трофимов Алексей</t>
  </si>
  <si>
    <t>Открытая (21.02.1981)/37</t>
  </si>
  <si>
    <t>2. Кименшу Сергей</t>
  </si>
  <si>
    <t>Открытая (19.12.1982)/35</t>
  </si>
  <si>
    <t>96,80</t>
  </si>
  <si>
    <t>242,5</t>
  </si>
  <si>
    <t>3. Крошкин Роман</t>
  </si>
  <si>
    <t>Открытая (09.02.1981)/37</t>
  </si>
  <si>
    <t>94,80</t>
  </si>
  <si>
    <t xml:space="preserve">Филиппов И. </t>
  </si>
  <si>
    <t>4. Дудниченко Роман</t>
  </si>
  <si>
    <t>Открытая (19.12.1978)/39</t>
  </si>
  <si>
    <t xml:space="preserve">Инзаркин Д. </t>
  </si>
  <si>
    <t>1. Савосин Марат</t>
  </si>
  <si>
    <t>Открытая (23.10.1990)/27</t>
  </si>
  <si>
    <t>107,10</t>
  </si>
  <si>
    <t>335,0</t>
  </si>
  <si>
    <t>350,0</t>
  </si>
  <si>
    <t>2. Чухнов Павел</t>
  </si>
  <si>
    <t>Открытая (05.03.1989)/28</t>
  </si>
  <si>
    <t xml:space="preserve">Волгоградская </t>
  </si>
  <si>
    <t xml:space="preserve">Волгоград/Волгоградская область </t>
  </si>
  <si>
    <t>1. Суровов Максим</t>
  </si>
  <si>
    <t>Юниоры 20 - 23 (02.02.1996)/22</t>
  </si>
  <si>
    <t>124,30</t>
  </si>
  <si>
    <t xml:space="preserve">Фряново/Московская область </t>
  </si>
  <si>
    <t>237,5</t>
  </si>
  <si>
    <t>1. Дрожжин Андрей</t>
  </si>
  <si>
    <t>Открытая (21.11.1977)/40</t>
  </si>
  <si>
    <t>118,60</t>
  </si>
  <si>
    <t>320,0</t>
  </si>
  <si>
    <t>340,0</t>
  </si>
  <si>
    <t xml:space="preserve">Мамичева Е. </t>
  </si>
  <si>
    <t>Савосин Марат</t>
  </si>
  <si>
    <t>840,0</t>
  </si>
  <si>
    <t>498,5400</t>
  </si>
  <si>
    <t>Гематдинов Радик</t>
  </si>
  <si>
    <t>742,5</t>
  </si>
  <si>
    <t>485,9663</t>
  </si>
  <si>
    <t>Дрожжин Андрей</t>
  </si>
  <si>
    <t>484,2600</t>
  </si>
  <si>
    <t>Мегаполис 2018
WPU Пауэрлифтинг в Однослойной экипировке
Москва 24 - 25 февраля 2018 г.</t>
  </si>
  <si>
    <t>1. Симанин Павел</t>
  </si>
  <si>
    <t>Юниоры 20 - 23 (12.06.1994)/23</t>
  </si>
  <si>
    <t>277,5</t>
  </si>
  <si>
    <t>-. Тарасов Артём</t>
  </si>
  <si>
    <t>Открытая (31.07.1992)/25</t>
  </si>
  <si>
    <t>86,80</t>
  </si>
  <si>
    <t>1. Козлов Александр</t>
  </si>
  <si>
    <t>Открытая (28.08.1994)/23</t>
  </si>
  <si>
    <t>91,80</t>
  </si>
  <si>
    <t xml:space="preserve">Дрезна/Московская область </t>
  </si>
  <si>
    <t>330,0</t>
  </si>
  <si>
    <t xml:space="preserve">Ушков И.Д. </t>
  </si>
  <si>
    <t>1. Бахарев Дмитрий</t>
  </si>
  <si>
    <t>Юниоры 20 - 23 (05.04.1995)/22</t>
  </si>
  <si>
    <t>109,60</t>
  </si>
  <si>
    <t>-. Шабалин Дмитрий</t>
  </si>
  <si>
    <t>Ветераны 45 - 49 (19.01.1969)/49</t>
  </si>
  <si>
    <t>134,00</t>
  </si>
  <si>
    <t>Бахарев Дмитрий</t>
  </si>
  <si>
    <t>822,5</t>
  </si>
  <si>
    <t>484,6170</t>
  </si>
  <si>
    <t>3. Тихонов Антон</t>
  </si>
  <si>
    <t>-</t>
  </si>
  <si>
    <t>I</t>
  </si>
  <si>
    <t>III</t>
  </si>
  <si>
    <t>I юн.</t>
  </si>
  <si>
    <t>Разряды</t>
  </si>
  <si>
    <t>II</t>
  </si>
  <si>
    <t>КМС</t>
  </si>
  <si>
    <t>МС</t>
  </si>
  <si>
    <t>МСМК</t>
  </si>
  <si>
    <t>Элита</t>
  </si>
  <si>
    <t>II юн.</t>
  </si>
  <si>
    <t>Рязряды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</si>
</sst>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49" fontId="0" fillId="0" borderId="15" xfId="0" applyNumberFormat="1" applyFill="1" applyBorder="1" applyAlignment="1">
      <alignment horizontal="left"/>
    </xf>
    <xf numFmtId="49" fontId="0" fillId="0" borderId="16" xfId="0" applyNumberForma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/>
    <xf numFmtId="49" fontId="5" fillId="0" borderId="18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workbookViewId="0">
      <selection activeCell="A11" sqref="A11:L11"/>
    </sheetView>
  </sheetViews>
  <sheetFormatPr defaultRowHeight="12.75" x14ac:dyDescent="0.2"/>
  <cols>
    <col min="1" max="1" width="26" style="4" bestFit="1" customWidth="1"/>
    <col min="2" max="2" width="13.28515625" style="4" customWidth="1"/>
    <col min="3" max="3" width="29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27.42578125" style="4" bestFit="1" customWidth="1"/>
    <col min="8" max="8" width="4.5703125" style="3" bestFit="1" customWidth="1"/>
    <col min="9" max="9" width="12.85546875" style="3" customWidth="1"/>
    <col min="10" max="10" width="11.28515625" style="4" customWidth="1"/>
    <col min="11" max="11" width="9.5703125" style="3" bestFit="1" customWidth="1"/>
    <col min="12" max="12" width="15.7109375" style="4" bestFit="1" customWidth="1"/>
    <col min="13" max="16384" width="9.140625" style="3"/>
  </cols>
  <sheetData>
    <row r="1" spans="1:12" s="2" customFormat="1" ht="29.1" customHeight="1" x14ac:dyDescent="0.2">
      <c r="A1" s="40" t="s">
        <v>217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8</v>
      </c>
      <c r="F3" s="37" t="s">
        <v>4</v>
      </c>
      <c r="G3" s="37" t="s">
        <v>6</v>
      </c>
      <c r="H3" s="37" t="s">
        <v>1</v>
      </c>
      <c r="I3" s="37"/>
      <c r="J3" s="37" t="s">
        <v>115</v>
      </c>
      <c r="K3" s="37" t="s">
        <v>3</v>
      </c>
      <c r="L3" s="38" t="s">
        <v>2</v>
      </c>
    </row>
    <row r="4" spans="1:12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 t="s">
        <v>219</v>
      </c>
      <c r="I4" s="5" t="s">
        <v>220</v>
      </c>
      <c r="J4" s="36"/>
      <c r="K4" s="36"/>
      <c r="L4" s="39"/>
    </row>
    <row r="5" spans="1:12" ht="15" x14ac:dyDescent="0.2">
      <c r="A5" s="31" t="s">
        <v>190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x14ac:dyDescent="0.2">
      <c r="A6" s="6" t="s">
        <v>191</v>
      </c>
      <c r="B6" s="6" t="s">
        <v>1437</v>
      </c>
      <c r="C6" s="6" t="s">
        <v>192</v>
      </c>
      <c r="D6" s="6" t="s">
        <v>193</v>
      </c>
      <c r="E6" s="6" t="str">
        <f>"1,1604"</f>
        <v>1,1604</v>
      </c>
      <c r="F6" s="6" t="s">
        <v>14</v>
      </c>
      <c r="G6" s="6" t="s">
        <v>15</v>
      </c>
      <c r="H6" s="8" t="s">
        <v>194</v>
      </c>
      <c r="I6" s="8" t="s">
        <v>61</v>
      </c>
      <c r="J6" s="6" t="str">
        <f>"925,0"</f>
        <v>925,0</v>
      </c>
      <c r="K6" s="8" t="str">
        <f>"1073,3700"</f>
        <v>1073,3700</v>
      </c>
      <c r="L6" s="6" t="s">
        <v>195</v>
      </c>
    </row>
    <row r="8" spans="1:12" ht="15" x14ac:dyDescent="0.2">
      <c r="A8" s="32" t="s">
        <v>196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A9" s="6" t="s">
        <v>197</v>
      </c>
      <c r="B9" s="6" t="s">
        <v>1438</v>
      </c>
      <c r="C9" s="6" t="s">
        <v>198</v>
      </c>
      <c r="D9" s="6" t="s">
        <v>199</v>
      </c>
      <c r="E9" s="6" t="str">
        <f>"0,9876"</f>
        <v>0,9876</v>
      </c>
      <c r="F9" s="6" t="s">
        <v>65</v>
      </c>
      <c r="G9" s="6" t="s">
        <v>66</v>
      </c>
      <c r="H9" s="8" t="s">
        <v>95</v>
      </c>
      <c r="I9" s="8" t="s">
        <v>200</v>
      </c>
      <c r="J9" s="6" t="str">
        <f>"660,0"</f>
        <v>660,0</v>
      </c>
      <c r="K9" s="8" t="str">
        <f>"651,8160"</f>
        <v>651,8160</v>
      </c>
      <c r="L9" s="6" t="s">
        <v>201</v>
      </c>
    </row>
    <row r="11" spans="1:12" ht="15" x14ac:dyDescent="0.2">
      <c r="A11" s="32" t="s">
        <v>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9" t="s">
        <v>202</v>
      </c>
      <c r="B12" s="9" t="s">
        <v>1439</v>
      </c>
      <c r="C12" s="9" t="s">
        <v>203</v>
      </c>
      <c r="D12" s="9" t="s">
        <v>204</v>
      </c>
      <c r="E12" s="9" t="str">
        <f>"0,8134"</f>
        <v>0,8134</v>
      </c>
      <c r="F12" s="9" t="s">
        <v>14</v>
      </c>
      <c r="G12" s="9" t="s">
        <v>205</v>
      </c>
      <c r="H12" s="10" t="s">
        <v>206</v>
      </c>
      <c r="I12" s="10" t="s">
        <v>207</v>
      </c>
      <c r="J12" s="9" t="str">
        <f>"1332,5"</f>
        <v>1332,5</v>
      </c>
      <c r="K12" s="10" t="str">
        <f>"1083,8555"</f>
        <v>1083,8555</v>
      </c>
      <c r="L12" s="9" t="s">
        <v>208</v>
      </c>
    </row>
    <row r="13" spans="1:12" x14ac:dyDescent="0.2">
      <c r="A13" s="11" t="s">
        <v>209</v>
      </c>
      <c r="B13" s="11" t="s">
        <v>1439</v>
      </c>
      <c r="C13" s="11" t="s">
        <v>210</v>
      </c>
      <c r="D13" s="11" t="s">
        <v>211</v>
      </c>
      <c r="E13" s="11" t="str">
        <f>"0,8012"</f>
        <v>0,8012</v>
      </c>
      <c r="F13" s="11" t="s">
        <v>65</v>
      </c>
      <c r="G13" s="11" t="s">
        <v>66</v>
      </c>
      <c r="H13" s="13" t="s">
        <v>206</v>
      </c>
      <c r="I13" s="13" t="s">
        <v>207</v>
      </c>
      <c r="J13" s="11" t="str">
        <f>"1332,5"</f>
        <v>1332,5</v>
      </c>
      <c r="K13" s="13" t="str">
        <f>"1067,6656"</f>
        <v>1067,6656</v>
      </c>
      <c r="L13" s="11" t="s">
        <v>212</v>
      </c>
    </row>
    <row r="14" spans="1:12" x14ac:dyDescent="0.2">
      <c r="A14" s="14" t="s">
        <v>213</v>
      </c>
      <c r="B14" s="14" t="s">
        <v>1439</v>
      </c>
      <c r="C14" s="14" t="s">
        <v>214</v>
      </c>
      <c r="D14" s="14" t="s">
        <v>215</v>
      </c>
      <c r="E14" s="14" t="str">
        <f>"0,7919"</f>
        <v>0,7919</v>
      </c>
      <c r="F14" s="14" t="s">
        <v>65</v>
      </c>
      <c r="G14" s="14" t="s">
        <v>66</v>
      </c>
      <c r="H14" s="16" t="s">
        <v>206</v>
      </c>
      <c r="I14" s="16" t="s">
        <v>24</v>
      </c>
      <c r="J14" s="14" t="str">
        <f>"1170,0"</f>
        <v>1170,0</v>
      </c>
      <c r="K14" s="16" t="str">
        <f>"926,5815"</f>
        <v>926,5815</v>
      </c>
      <c r="L14" s="14" t="s">
        <v>216</v>
      </c>
    </row>
    <row r="16" spans="1:12" ht="15" x14ac:dyDescent="0.2">
      <c r="F16" s="17" t="s">
        <v>96</v>
      </c>
    </row>
    <row r="17" spans="6:6" s="3" customFormat="1" ht="15" x14ac:dyDescent="0.2">
      <c r="F17" s="17" t="s">
        <v>97</v>
      </c>
    </row>
    <row r="18" spans="6:6" s="3" customFormat="1" ht="15" x14ac:dyDescent="0.2">
      <c r="F18" s="17"/>
    </row>
    <row r="19" spans="6:6" s="3" customFormat="1" x14ac:dyDescent="0.2">
      <c r="F19" s="4"/>
    </row>
    <row r="20" spans="6:6" s="3" customFormat="1" x14ac:dyDescent="0.2">
      <c r="F20" s="4"/>
    </row>
    <row r="21" spans="6:6" s="3" customFormat="1" x14ac:dyDescent="0.2">
      <c r="F21" s="4"/>
    </row>
    <row r="22" spans="6:6" s="3" customFormat="1" x14ac:dyDescent="0.2">
      <c r="F22" s="4"/>
    </row>
    <row r="23" spans="6:6" s="3" customFormat="1" x14ac:dyDescent="0.2">
      <c r="F23" s="4"/>
    </row>
    <row r="24" spans="6:6" s="3" customFormat="1" x14ac:dyDescent="0.2">
      <c r="F24" s="4"/>
    </row>
    <row r="25" spans="6:6" s="3" customFormat="1" x14ac:dyDescent="0.2">
      <c r="F25" s="4"/>
    </row>
    <row r="26" spans="6:6" s="3" customFormat="1" x14ac:dyDescent="0.2">
      <c r="F26" s="4"/>
    </row>
    <row r="27" spans="6:6" s="3" customFormat="1" x14ac:dyDescent="0.2">
      <c r="F27" s="4"/>
    </row>
    <row r="28" spans="6:6" s="3" customFormat="1" x14ac:dyDescent="0.2">
      <c r="F28" s="4"/>
    </row>
    <row r="29" spans="6:6" s="3" customFormat="1" x14ac:dyDescent="0.2">
      <c r="F29" s="4"/>
    </row>
    <row r="30" spans="6:6" s="3" customFormat="1" x14ac:dyDescent="0.2">
      <c r="F30" s="4"/>
    </row>
    <row r="31" spans="6:6" s="3" customFormat="1" x14ac:dyDescent="0.2">
      <c r="F31" s="4"/>
    </row>
    <row r="32" spans="6:6" s="3" customFormat="1" x14ac:dyDescent="0.2">
      <c r="F32" s="4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5">
    <mergeCell ref="A1:L2"/>
    <mergeCell ref="B3:B4"/>
    <mergeCell ref="A5:L5"/>
    <mergeCell ref="A8:L8"/>
    <mergeCell ref="A11:L11"/>
    <mergeCell ref="A3:A4"/>
    <mergeCell ref="C3:C4"/>
    <mergeCell ref="D3:D4"/>
    <mergeCell ref="E3:E4"/>
    <mergeCell ref="F3:F4"/>
    <mergeCell ref="G3:G4"/>
    <mergeCell ref="H3:I3"/>
    <mergeCell ref="J3:J4"/>
    <mergeCell ref="K3:K4"/>
    <mergeCell ref="L3:L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topLeftCell="A7" zoomScale="70" zoomScaleNormal="70" workbookViewId="0">
      <selection activeCell="A33" sqref="A33"/>
    </sheetView>
  </sheetViews>
  <sheetFormatPr defaultRowHeight="12.75" x14ac:dyDescent="0.2"/>
  <cols>
    <col min="1" max="1" width="26.28515625" style="4" bestFit="1" customWidth="1"/>
    <col min="2" max="2" width="13.710937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6.7109375" style="4" bestFit="1" customWidth="1"/>
    <col min="8" max="10" width="5.5703125" style="3" bestFit="1" customWidth="1"/>
    <col min="11" max="11" width="4.85546875" style="3" bestFit="1" customWidth="1"/>
    <col min="12" max="14" width="5.5703125" style="3" bestFit="1" customWidth="1"/>
    <col min="15" max="15" width="4.85546875" style="3" bestFit="1" customWidth="1"/>
    <col min="16" max="18" width="5.5703125" style="3" bestFit="1" customWidth="1"/>
    <col min="19" max="19" width="4.85546875" style="3" bestFit="1" customWidth="1"/>
    <col min="20" max="20" width="7.85546875" style="4" bestFit="1" customWidth="1"/>
    <col min="21" max="21" width="8.5703125" style="3" bestFit="1" customWidth="1"/>
    <col min="22" max="22" width="26" style="4" bestFit="1" customWidth="1"/>
    <col min="23" max="257" width="9.140625" style="3"/>
    <col min="258" max="258" width="26.28515625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6.7109375" style="3" bestFit="1" customWidth="1"/>
    <col min="264" max="266" width="5.5703125" style="3" bestFit="1" customWidth="1"/>
    <col min="267" max="267" width="4.85546875" style="3" bestFit="1" customWidth="1"/>
    <col min="268" max="270" width="5.5703125" style="3" bestFit="1" customWidth="1"/>
    <col min="271" max="271" width="4.85546875" style="3" bestFit="1" customWidth="1"/>
    <col min="272" max="274" width="5.5703125" style="3" bestFit="1" customWidth="1"/>
    <col min="275" max="275" width="4.85546875" style="3" bestFit="1" customWidth="1"/>
    <col min="276" max="276" width="7.85546875" style="3" bestFit="1" customWidth="1"/>
    <col min="277" max="277" width="8.5703125" style="3" bestFit="1" customWidth="1"/>
    <col min="278" max="278" width="26" style="3" bestFit="1" customWidth="1"/>
    <col min="279" max="513" width="9.140625" style="3"/>
    <col min="514" max="514" width="26.28515625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6.7109375" style="3" bestFit="1" customWidth="1"/>
    <col min="520" max="522" width="5.5703125" style="3" bestFit="1" customWidth="1"/>
    <col min="523" max="523" width="4.85546875" style="3" bestFit="1" customWidth="1"/>
    <col min="524" max="526" width="5.5703125" style="3" bestFit="1" customWidth="1"/>
    <col min="527" max="527" width="4.85546875" style="3" bestFit="1" customWidth="1"/>
    <col min="528" max="530" width="5.5703125" style="3" bestFit="1" customWidth="1"/>
    <col min="531" max="531" width="4.85546875" style="3" bestFit="1" customWidth="1"/>
    <col min="532" max="532" width="7.85546875" style="3" bestFit="1" customWidth="1"/>
    <col min="533" max="533" width="8.5703125" style="3" bestFit="1" customWidth="1"/>
    <col min="534" max="534" width="26" style="3" bestFit="1" customWidth="1"/>
    <col min="535" max="769" width="9.140625" style="3"/>
    <col min="770" max="770" width="26.28515625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6.7109375" style="3" bestFit="1" customWidth="1"/>
    <col min="776" max="778" width="5.5703125" style="3" bestFit="1" customWidth="1"/>
    <col min="779" max="779" width="4.85546875" style="3" bestFit="1" customWidth="1"/>
    <col min="780" max="782" width="5.5703125" style="3" bestFit="1" customWidth="1"/>
    <col min="783" max="783" width="4.85546875" style="3" bestFit="1" customWidth="1"/>
    <col min="784" max="786" width="5.5703125" style="3" bestFit="1" customWidth="1"/>
    <col min="787" max="787" width="4.85546875" style="3" bestFit="1" customWidth="1"/>
    <col min="788" max="788" width="7.85546875" style="3" bestFit="1" customWidth="1"/>
    <col min="789" max="789" width="8.5703125" style="3" bestFit="1" customWidth="1"/>
    <col min="790" max="790" width="26" style="3" bestFit="1" customWidth="1"/>
    <col min="791" max="1025" width="9.140625" style="3"/>
    <col min="1026" max="1026" width="26.28515625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6.7109375" style="3" bestFit="1" customWidth="1"/>
    <col min="1032" max="1034" width="5.5703125" style="3" bestFit="1" customWidth="1"/>
    <col min="1035" max="1035" width="4.85546875" style="3" bestFit="1" customWidth="1"/>
    <col min="1036" max="1038" width="5.5703125" style="3" bestFit="1" customWidth="1"/>
    <col min="1039" max="1039" width="4.85546875" style="3" bestFit="1" customWidth="1"/>
    <col min="1040" max="1042" width="5.5703125" style="3" bestFit="1" customWidth="1"/>
    <col min="1043" max="1043" width="4.85546875" style="3" bestFit="1" customWidth="1"/>
    <col min="1044" max="1044" width="7.85546875" style="3" bestFit="1" customWidth="1"/>
    <col min="1045" max="1045" width="8.5703125" style="3" bestFit="1" customWidth="1"/>
    <col min="1046" max="1046" width="26" style="3" bestFit="1" customWidth="1"/>
    <col min="1047" max="1281" width="9.140625" style="3"/>
    <col min="1282" max="1282" width="26.28515625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6.7109375" style="3" bestFit="1" customWidth="1"/>
    <col min="1288" max="1290" width="5.5703125" style="3" bestFit="1" customWidth="1"/>
    <col min="1291" max="1291" width="4.85546875" style="3" bestFit="1" customWidth="1"/>
    <col min="1292" max="1294" width="5.5703125" style="3" bestFit="1" customWidth="1"/>
    <col min="1295" max="1295" width="4.85546875" style="3" bestFit="1" customWidth="1"/>
    <col min="1296" max="1298" width="5.5703125" style="3" bestFit="1" customWidth="1"/>
    <col min="1299" max="1299" width="4.85546875" style="3" bestFit="1" customWidth="1"/>
    <col min="1300" max="1300" width="7.85546875" style="3" bestFit="1" customWidth="1"/>
    <col min="1301" max="1301" width="8.5703125" style="3" bestFit="1" customWidth="1"/>
    <col min="1302" max="1302" width="26" style="3" bestFit="1" customWidth="1"/>
    <col min="1303" max="1537" width="9.140625" style="3"/>
    <col min="1538" max="1538" width="26.28515625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6.7109375" style="3" bestFit="1" customWidth="1"/>
    <col min="1544" max="1546" width="5.5703125" style="3" bestFit="1" customWidth="1"/>
    <col min="1547" max="1547" width="4.85546875" style="3" bestFit="1" customWidth="1"/>
    <col min="1548" max="1550" width="5.5703125" style="3" bestFit="1" customWidth="1"/>
    <col min="1551" max="1551" width="4.85546875" style="3" bestFit="1" customWidth="1"/>
    <col min="1552" max="1554" width="5.5703125" style="3" bestFit="1" customWidth="1"/>
    <col min="1555" max="1555" width="4.85546875" style="3" bestFit="1" customWidth="1"/>
    <col min="1556" max="1556" width="7.85546875" style="3" bestFit="1" customWidth="1"/>
    <col min="1557" max="1557" width="8.5703125" style="3" bestFit="1" customWidth="1"/>
    <col min="1558" max="1558" width="26" style="3" bestFit="1" customWidth="1"/>
    <col min="1559" max="1793" width="9.140625" style="3"/>
    <col min="1794" max="1794" width="26.28515625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6.7109375" style="3" bestFit="1" customWidth="1"/>
    <col min="1800" max="1802" width="5.5703125" style="3" bestFit="1" customWidth="1"/>
    <col min="1803" max="1803" width="4.85546875" style="3" bestFit="1" customWidth="1"/>
    <col min="1804" max="1806" width="5.5703125" style="3" bestFit="1" customWidth="1"/>
    <col min="1807" max="1807" width="4.85546875" style="3" bestFit="1" customWidth="1"/>
    <col min="1808" max="1810" width="5.5703125" style="3" bestFit="1" customWidth="1"/>
    <col min="1811" max="1811" width="4.85546875" style="3" bestFit="1" customWidth="1"/>
    <col min="1812" max="1812" width="7.85546875" style="3" bestFit="1" customWidth="1"/>
    <col min="1813" max="1813" width="8.5703125" style="3" bestFit="1" customWidth="1"/>
    <col min="1814" max="1814" width="26" style="3" bestFit="1" customWidth="1"/>
    <col min="1815" max="2049" width="9.140625" style="3"/>
    <col min="2050" max="2050" width="26.28515625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6.7109375" style="3" bestFit="1" customWidth="1"/>
    <col min="2056" max="2058" width="5.5703125" style="3" bestFit="1" customWidth="1"/>
    <col min="2059" max="2059" width="4.85546875" style="3" bestFit="1" customWidth="1"/>
    <col min="2060" max="2062" width="5.5703125" style="3" bestFit="1" customWidth="1"/>
    <col min="2063" max="2063" width="4.85546875" style="3" bestFit="1" customWidth="1"/>
    <col min="2064" max="2066" width="5.5703125" style="3" bestFit="1" customWidth="1"/>
    <col min="2067" max="2067" width="4.85546875" style="3" bestFit="1" customWidth="1"/>
    <col min="2068" max="2068" width="7.85546875" style="3" bestFit="1" customWidth="1"/>
    <col min="2069" max="2069" width="8.5703125" style="3" bestFit="1" customWidth="1"/>
    <col min="2070" max="2070" width="26" style="3" bestFit="1" customWidth="1"/>
    <col min="2071" max="2305" width="9.140625" style="3"/>
    <col min="2306" max="2306" width="26.28515625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6.7109375" style="3" bestFit="1" customWidth="1"/>
    <col min="2312" max="2314" width="5.5703125" style="3" bestFit="1" customWidth="1"/>
    <col min="2315" max="2315" width="4.85546875" style="3" bestFit="1" customWidth="1"/>
    <col min="2316" max="2318" width="5.5703125" style="3" bestFit="1" customWidth="1"/>
    <col min="2319" max="2319" width="4.85546875" style="3" bestFit="1" customWidth="1"/>
    <col min="2320" max="2322" width="5.5703125" style="3" bestFit="1" customWidth="1"/>
    <col min="2323" max="2323" width="4.85546875" style="3" bestFit="1" customWidth="1"/>
    <col min="2324" max="2324" width="7.85546875" style="3" bestFit="1" customWidth="1"/>
    <col min="2325" max="2325" width="8.5703125" style="3" bestFit="1" customWidth="1"/>
    <col min="2326" max="2326" width="26" style="3" bestFit="1" customWidth="1"/>
    <col min="2327" max="2561" width="9.140625" style="3"/>
    <col min="2562" max="2562" width="26.28515625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6.7109375" style="3" bestFit="1" customWidth="1"/>
    <col min="2568" max="2570" width="5.5703125" style="3" bestFit="1" customWidth="1"/>
    <col min="2571" max="2571" width="4.85546875" style="3" bestFit="1" customWidth="1"/>
    <col min="2572" max="2574" width="5.5703125" style="3" bestFit="1" customWidth="1"/>
    <col min="2575" max="2575" width="4.85546875" style="3" bestFit="1" customWidth="1"/>
    <col min="2576" max="2578" width="5.5703125" style="3" bestFit="1" customWidth="1"/>
    <col min="2579" max="2579" width="4.85546875" style="3" bestFit="1" customWidth="1"/>
    <col min="2580" max="2580" width="7.85546875" style="3" bestFit="1" customWidth="1"/>
    <col min="2581" max="2581" width="8.5703125" style="3" bestFit="1" customWidth="1"/>
    <col min="2582" max="2582" width="26" style="3" bestFit="1" customWidth="1"/>
    <col min="2583" max="2817" width="9.140625" style="3"/>
    <col min="2818" max="2818" width="26.28515625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6.7109375" style="3" bestFit="1" customWidth="1"/>
    <col min="2824" max="2826" width="5.5703125" style="3" bestFit="1" customWidth="1"/>
    <col min="2827" max="2827" width="4.85546875" style="3" bestFit="1" customWidth="1"/>
    <col min="2828" max="2830" width="5.5703125" style="3" bestFit="1" customWidth="1"/>
    <col min="2831" max="2831" width="4.85546875" style="3" bestFit="1" customWidth="1"/>
    <col min="2832" max="2834" width="5.5703125" style="3" bestFit="1" customWidth="1"/>
    <col min="2835" max="2835" width="4.85546875" style="3" bestFit="1" customWidth="1"/>
    <col min="2836" max="2836" width="7.85546875" style="3" bestFit="1" customWidth="1"/>
    <col min="2837" max="2837" width="8.5703125" style="3" bestFit="1" customWidth="1"/>
    <col min="2838" max="2838" width="26" style="3" bestFit="1" customWidth="1"/>
    <col min="2839" max="3073" width="9.140625" style="3"/>
    <col min="3074" max="3074" width="26.28515625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6.7109375" style="3" bestFit="1" customWidth="1"/>
    <col min="3080" max="3082" width="5.5703125" style="3" bestFit="1" customWidth="1"/>
    <col min="3083" max="3083" width="4.85546875" style="3" bestFit="1" customWidth="1"/>
    <col min="3084" max="3086" width="5.5703125" style="3" bestFit="1" customWidth="1"/>
    <col min="3087" max="3087" width="4.85546875" style="3" bestFit="1" customWidth="1"/>
    <col min="3088" max="3090" width="5.5703125" style="3" bestFit="1" customWidth="1"/>
    <col min="3091" max="3091" width="4.85546875" style="3" bestFit="1" customWidth="1"/>
    <col min="3092" max="3092" width="7.85546875" style="3" bestFit="1" customWidth="1"/>
    <col min="3093" max="3093" width="8.5703125" style="3" bestFit="1" customWidth="1"/>
    <col min="3094" max="3094" width="26" style="3" bestFit="1" customWidth="1"/>
    <col min="3095" max="3329" width="9.140625" style="3"/>
    <col min="3330" max="3330" width="26.28515625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6.7109375" style="3" bestFit="1" customWidth="1"/>
    <col min="3336" max="3338" width="5.5703125" style="3" bestFit="1" customWidth="1"/>
    <col min="3339" max="3339" width="4.85546875" style="3" bestFit="1" customWidth="1"/>
    <col min="3340" max="3342" width="5.5703125" style="3" bestFit="1" customWidth="1"/>
    <col min="3343" max="3343" width="4.85546875" style="3" bestFit="1" customWidth="1"/>
    <col min="3344" max="3346" width="5.5703125" style="3" bestFit="1" customWidth="1"/>
    <col min="3347" max="3347" width="4.85546875" style="3" bestFit="1" customWidth="1"/>
    <col min="3348" max="3348" width="7.85546875" style="3" bestFit="1" customWidth="1"/>
    <col min="3349" max="3349" width="8.5703125" style="3" bestFit="1" customWidth="1"/>
    <col min="3350" max="3350" width="26" style="3" bestFit="1" customWidth="1"/>
    <col min="3351" max="3585" width="9.140625" style="3"/>
    <col min="3586" max="3586" width="26.28515625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6.7109375" style="3" bestFit="1" customWidth="1"/>
    <col min="3592" max="3594" width="5.5703125" style="3" bestFit="1" customWidth="1"/>
    <col min="3595" max="3595" width="4.85546875" style="3" bestFit="1" customWidth="1"/>
    <col min="3596" max="3598" width="5.5703125" style="3" bestFit="1" customWidth="1"/>
    <col min="3599" max="3599" width="4.85546875" style="3" bestFit="1" customWidth="1"/>
    <col min="3600" max="3602" width="5.5703125" style="3" bestFit="1" customWidth="1"/>
    <col min="3603" max="3603" width="4.85546875" style="3" bestFit="1" customWidth="1"/>
    <col min="3604" max="3604" width="7.85546875" style="3" bestFit="1" customWidth="1"/>
    <col min="3605" max="3605" width="8.5703125" style="3" bestFit="1" customWidth="1"/>
    <col min="3606" max="3606" width="26" style="3" bestFit="1" customWidth="1"/>
    <col min="3607" max="3841" width="9.140625" style="3"/>
    <col min="3842" max="3842" width="26.28515625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6.7109375" style="3" bestFit="1" customWidth="1"/>
    <col min="3848" max="3850" width="5.5703125" style="3" bestFit="1" customWidth="1"/>
    <col min="3851" max="3851" width="4.85546875" style="3" bestFit="1" customWidth="1"/>
    <col min="3852" max="3854" width="5.5703125" style="3" bestFit="1" customWidth="1"/>
    <col min="3855" max="3855" width="4.85546875" style="3" bestFit="1" customWidth="1"/>
    <col min="3856" max="3858" width="5.5703125" style="3" bestFit="1" customWidth="1"/>
    <col min="3859" max="3859" width="4.85546875" style="3" bestFit="1" customWidth="1"/>
    <col min="3860" max="3860" width="7.85546875" style="3" bestFit="1" customWidth="1"/>
    <col min="3861" max="3861" width="8.5703125" style="3" bestFit="1" customWidth="1"/>
    <col min="3862" max="3862" width="26" style="3" bestFit="1" customWidth="1"/>
    <col min="3863" max="4097" width="9.140625" style="3"/>
    <col min="4098" max="4098" width="26.28515625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6.7109375" style="3" bestFit="1" customWidth="1"/>
    <col min="4104" max="4106" width="5.5703125" style="3" bestFit="1" customWidth="1"/>
    <col min="4107" max="4107" width="4.85546875" style="3" bestFit="1" customWidth="1"/>
    <col min="4108" max="4110" width="5.5703125" style="3" bestFit="1" customWidth="1"/>
    <col min="4111" max="4111" width="4.85546875" style="3" bestFit="1" customWidth="1"/>
    <col min="4112" max="4114" width="5.5703125" style="3" bestFit="1" customWidth="1"/>
    <col min="4115" max="4115" width="4.85546875" style="3" bestFit="1" customWidth="1"/>
    <col min="4116" max="4116" width="7.85546875" style="3" bestFit="1" customWidth="1"/>
    <col min="4117" max="4117" width="8.5703125" style="3" bestFit="1" customWidth="1"/>
    <col min="4118" max="4118" width="26" style="3" bestFit="1" customWidth="1"/>
    <col min="4119" max="4353" width="9.140625" style="3"/>
    <col min="4354" max="4354" width="26.28515625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6.7109375" style="3" bestFit="1" customWidth="1"/>
    <col min="4360" max="4362" width="5.5703125" style="3" bestFit="1" customWidth="1"/>
    <col min="4363" max="4363" width="4.85546875" style="3" bestFit="1" customWidth="1"/>
    <col min="4364" max="4366" width="5.5703125" style="3" bestFit="1" customWidth="1"/>
    <col min="4367" max="4367" width="4.85546875" style="3" bestFit="1" customWidth="1"/>
    <col min="4368" max="4370" width="5.5703125" style="3" bestFit="1" customWidth="1"/>
    <col min="4371" max="4371" width="4.85546875" style="3" bestFit="1" customWidth="1"/>
    <col min="4372" max="4372" width="7.85546875" style="3" bestFit="1" customWidth="1"/>
    <col min="4373" max="4373" width="8.5703125" style="3" bestFit="1" customWidth="1"/>
    <col min="4374" max="4374" width="26" style="3" bestFit="1" customWidth="1"/>
    <col min="4375" max="4609" width="9.140625" style="3"/>
    <col min="4610" max="4610" width="26.28515625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6.7109375" style="3" bestFit="1" customWidth="1"/>
    <col min="4616" max="4618" width="5.5703125" style="3" bestFit="1" customWidth="1"/>
    <col min="4619" max="4619" width="4.85546875" style="3" bestFit="1" customWidth="1"/>
    <col min="4620" max="4622" width="5.5703125" style="3" bestFit="1" customWidth="1"/>
    <col min="4623" max="4623" width="4.85546875" style="3" bestFit="1" customWidth="1"/>
    <col min="4624" max="4626" width="5.5703125" style="3" bestFit="1" customWidth="1"/>
    <col min="4627" max="4627" width="4.85546875" style="3" bestFit="1" customWidth="1"/>
    <col min="4628" max="4628" width="7.85546875" style="3" bestFit="1" customWidth="1"/>
    <col min="4629" max="4629" width="8.5703125" style="3" bestFit="1" customWidth="1"/>
    <col min="4630" max="4630" width="26" style="3" bestFit="1" customWidth="1"/>
    <col min="4631" max="4865" width="9.140625" style="3"/>
    <col min="4866" max="4866" width="26.28515625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6.7109375" style="3" bestFit="1" customWidth="1"/>
    <col min="4872" max="4874" width="5.5703125" style="3" bestFit="1" customWidth="1"/>
    <col min="4875" max="4875" width="4.85546875" style="3" bestFit="1" customWidth="1"/>
    <col min="4876" max="4878" width="5.5703125" style="3" bestFit="1" customWidth="1"/>
    <col min="4879" max="4879" width="4.85546875" style="3" bestFit="1" customWidth="1"/>
    <col min="4880" max="4882" width="5.5703125" style="3" bestFit="1" customWidth="1"/>
    <col min="4883" max="4883" width="4.85546875" style="3" bestFit="1" customWidth="1"/>
    <col min="4884" max="4884" width="7.85546875" style="3" bestFit="1" customWidth="1"/>
    <col min="4885" max="4885" width="8.5703125" style="3" bestFit="1" customWidth="1"/>
    <col min="4886" max="4886" width="26" style="3" bestFit="1" customWidth="1"/>
    <col min="4887" max="5121" width="9.140625" style="3"/>
    <col min="5122" max="5122" width="26.28515625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6.7109375" style="3" bestFit="1" customWidth="1"/>
    <col min="5128" max="5130" width="5.5703125" style="3" bestFit="1" customWidth="1"/>
    <col min="5131" max="5131" width="4.85546875" style="3" bestFit="1" customWidth="1"/>
    <col min="5132" max="5134" width="5.5703125" style="3" bestFit="1" customWidth="1"/>
    <col min="5135" max="5135" width="4.85546875" style="3" bestFit="1" customWidth="1"/>
    <col min="5136" max="5138" width="5.5703125" style="3" bestFit="1" customWidth="1"/>
    <col min="5139" max="5139" width="4.85546875" style="3" bestFit="1" customWidth="1"/>
    <col min="5140" max="5140" width="7.85546875" style="3" bestFit="1" customWidth="1"/>
    <col min="5141" max="5141" width="8.5703125" style="3" bestFit="1" customWidth="1"/>
    <col min="5142" max="5142" width="26" style="3" bestFit="1" customWidth="1"/>
    <col min="5143" max="5377" width="9.140625" style="3"/>
    <col min="5378" max="5378" width="26.28515625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6.7109375" style="3" bestFit="1" customWidth="1"/>
    <col min="5384" max="5386" width="5.5703125" style="3" bestFit="1" customWidth="1"/>
    <col min="5387" max="5387" width="4.85546875" style="3" bestFit="1" customWidth="1"/>
    <col min="5388" max="5390" width="5.5703125" style="3" bestFit="1" customWidth="1"/>
    <col min="5391" max="5391" width="4.85546875" style="3" bestFit="1" customWidth="1"/>
    <col min="5392" max="5394" width="5.5703125" style="3" bestFit="1" customWidth="1"/>
    <col min="5395" max="5395" width="4.85546875" style="3" bestFit="1" customWidth="1"/>
    <col min="5396" max="5396" width="7.85546875" style="3" bestFit="1" customWidth="1"/>
    <col min="5397" max="5397" width="8.5703125" style="3" bestFit="1" customWidth="1"/>
    <col min="5398" max="5398" width="26" style="3" bestFit="1" customWidth="1"/>
    <col min="5399" max="5633" width="9.140625" style="3"/>
    <col min="5634" max="5634" width="26.28515625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6.7109375" style="3" bestFit="1" customWidth="1"/>
    <col min="5640" max="5642" width="5.5703125" style="3" bestFit="1" customWidth="1"/>
    <col min="5643" max="5643" width="4.85546875" style="3" bestFit="1" customWidth="1"/>
    <col min="5644" max="5646" width="5.5703125" style="3" bestFit="1" customWidth="1"/>
    <col min="5647" max="5647" width="4.85546875" style="3" bestFit="1" customWidth="1"/>
    <col min="5648" max="5650" width="5.5703125" style="3" bestFit="1" customWidth="1"/>
    <col min="5651" max="5651" width="4.85546875" style="3" bestFit="1" customWidth="1"/>
    <col min="5652" max="5652" width="7.85546875" style="3" bestFit="1" customWidth="1"/>
    <col min="5653" max="5653" width="8.5703125" style="3" bestFit="1" customWidth="1"/>
    <col min="5654" max="5654" width="26" style="3" bestFit="1" customWidth="1"/>
    <col min="5655" max="5889" width="9.140625" style="3"/>
    <col min="5890" max="5890" width="26.28515625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6.7109375" style="3" bestFit="1" customWidth="1"/>
    <col min="5896" max="5898" width="5.5703125" style="3" bestFit="1" customWidth="1"/>
    <col min="5899" max="5899" width="4.85546875" style="3" bestFit="1" customWidth="1"/>
    <col min="5900" max="5902" width="5.5703125" style="3" bestFit="1" customWidth="1"/>
    <col min="5903" max="5903" width="4.85546875" style="3" bestFit="1" customWidth="1"/>
    <col min="5904" max="5906" width="5.5703125" style="3" bestFit="1" customWidth="1"/>
    <col min="5907" max="5907" width="4.85546875" style="3" bestFit="1" customWidth="1"/>
    <col min="5908" max="5908" width="7.85546875" style="3" bestFit="1" customWidth="1"/>
    <col min="5909" max="5909" width="8.5703125" style="3" bestFit="1" customWidth="1"/>
    <col min="5910" max="5910" width="26" style="3" bestFit="1" customWidth="1"/>
    <col min="5911" max="6145" width="9.140625" style="3"/>
    <col min="6146" max="6146" width="26.28515625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6.7109375" style="3" bestFit="1" customWidth="1"/>
    <col min="6152" max="6154" width="5.5703125" style="3" bestFit="1" customWidth="1"/>
    <col min="6155" max="6155" width="4.85546875" style="3" bestFit="1" customWidth="1"/>
    <col min="6156" max="6158" width="5.5703125" style="3" bestFit="1" customWidth="1"/>
    <col min="6159" max="6159" width="4.85546875" style="3" bestFit="1" customWidth="1"/>
    <col min="6160" max="6162" width="5.5703125" style="3" bestFit="1" customWidth="1"/>
    <col min="6163" max="6163" width="4.85546875" style="3" bestFit="1" customWidth="1"/>
    <col min="6164" max="6164" width="7.85546875" style="3" bestFit="1" customWidth="1"/>
    <col min="6165" max="6165" width="8.5703125" style="3" bestFit="1" customWidth="1"/>
    <col min="6166" max="6166" width="26" style="3" bestFit="1" customWidth="1"/>
    <col min="6167" max="6401" width="9.140625" style="3"/>
    <col min="6402" max="6402" width="26.28515625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6.7109375" style="3" bestFit="1" customWidth="1"/>
    <col min="6408" max="6410" width="5.5703125" style="3" bestFit="1" customWidth="1"/>
    <col min="6411" max="6411" width="4.85546875" style="3" bestFit="1" customWidth="1"/>
    <col min="6412" max="6414" width="5.5703125" style="3" bestFit="1" customWidth="1"/>
    <col min="6415" max="6415" width="4.85546875" style="3" bestFit="1" customWidth="1"/>
    <col min="6416" max="6418" width="5.5703125" style="3" bestFit="1" customWidth="1"/>
    <col min="6419" max="6419" width="4.85546875" style="3" bestFit="1" customWidth="1"/>
    <col min="6420" max="6420" width="7.85546875" style="3" bestFit="1" customWidth="1"/>
    <col min="6421" max="6421" width="8.5703125" style="3" bestFit="1" customWidth="1"/>
    <col min="6422" max="6422" width="26" style="3" bestFit="1" customWidth="1"/>
    <col min="6423" max="6657" width="9.140625" style="3"/>
    <col min="6658" max="6658" width="26.28515625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6.7109375" style="3" bestFit="1" customWidth="1"/>
    <col min="6664" max="6666" width="5.5703125" style="3" bestFit="1" customWidth="1"/>
    <col min="6667" max="6667" width="4.85546875" style="3" bestFit="1" customWidth="1"/>
    <col min="6668" max="6670" width="5.5703125" style="3" bestFit="1" customWidth="1"/>
    <col min="6671" max="6671" width="4.85546875" style="3" bestFit="1" customWidth="1"/>
    <col min="6672" max="6674" width="5.5703125" style="3" bestFit="1" customWidth="1"/>
    <col min="6675" max="6675" width="4.85546875" style="3" bestFit="1" customWidth="1"/>
    <col min="6676" max="6676" width="7.85546875" style="3" bestFit="1" customWidth="1"/>
    <col min="6677" max="6677" width="8.5703125" style="3" bestFit="1" customWidth="1"/>
    <col min="6678" max="6678" width="26" style="3" bestFit="1" customWidth="1"/>
    <col min="6679" max="6913" width="9.140625" style="3"/>
    <col min="6914" max="6914" width="26.28515625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6.7109375" style="3" bestFit="1" customWidth="1"/>
    <col min="6920" max="6922" width="5.5703125" style="3" bestFit="1" customWidth="1"/>
    <col min="6923" max="6923" width="4.85546875" style="3" bestFit="1" customWidth="1"/>
    <col min="6924" max="6926" width="5.5703125" style="3" bestFit="1" customWidth="1"/>
    <col min="6927" max="6927" width="4.85546875" style="3" bestFit="1" customWidth="1"/>
    <col min="6928" max="6930" width="5.5703125" style="3" bestFit="1" customWidth="1"/>
    <col min="6931" max="6931" width="4.85546875" style="3" bestFit="1" customWidth="1"/>
    <col min="6932" max="6932" width="7.85546875" style="3" bestFit="1" customWidth="1"/>
    <col min="6933" max="6933" width="8.5703125" style="3" bestFit="1" customWidth="1"/>
    <col min="6934" max="6934" width="26" style="3" bestFit="1" customWidth="1"/>
    <col min="6935" max="7169" width="9.140625" style="3"/>
    <col min="7170" max="7170" width="26.28515625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6.7109375" style="3" bestFit="1" customWidth="1"/>
    <col min="7176" max="7178" width="5.5703125" style="3" bestFit="1" customWidth="1"/>
    <col min="7179" max="7179" width="4.85546875" style="3" bestFit="1" customWidth="1"/>
    <col min="7180" max="7182" width="5.5703125" style="3" bestFit="1" customWidth="1"/>
    <col min="7183" max="7183" width="4.85546875" style="3" bestFit="1" customWidth="1"/>
    <col min="7184" max="7186" width="5.5703125" style="3" bestFit="1" customWidth="1"/>
    <col min="7187" max="7187" width="4.85546875" style="3" bestFit="1" customWidth="1"/>
    <col min="7188" max="7188" width="7.85546875" style="3" bestFit="1" customWidth="1"/>
    <col min="7189" max="7189" width="8.5703125" style="3" bestFit="1" customWidth="1"/>
    <col min="7190" max="7190" width="26" style="3" bestFit="1" customWidth="1"/>
    <col min="7191" max="7425" width="9.140625" style="3"/>
    <col min="7426" max="7426" width="26.28515625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6.7109375" style="3" bestFit="1" customWidth="1"/>
    <col min="7432" max="7434" width="5.5703125" style="3" bestFit="1" customWidth="1"/>
    <col min="7435" max="7435" width="4.85546875" style="3" bestFit="1" customWidth="1"/>
    <col min="7436" max="7438" width="5.5703125" style="3" bestFit="1" customWidth="1"/>
    <col min="7439" max="7439" width="4.85546875" style="3" bestFit="1" customWidth="1"/>
    <col min="7440" max="7442" width="5.5703125" style="3" bestFit="1" customWidth="1"/>
    <col min="7443" max="7443" width="4.85546875" style="3" bestFit="1" customWidth="1"/>
    <col min="7444" max="7444" width="7.85546875" style="3" bestFit="1" customWidth="1"/>
    <col min="7445" max="7445" width="8.5703125" style="3" bestFit="1" customWidth="1"/>
    <col min="7446" max="7446" width="26" style="3" bestFit="1" customWidth="1"/>
    <col min="7447" max="7681" width="9.140625" style="3"/>
    <col min="7682" max="7682" width="26.28515625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6.7109375" style="3" bestFit="1" customWidth="1"/>
    <col min="7688" max="7690" width="5.5703125" style="3" bestFit="1" customWidth="1"/>
    <col min="7691" max="7691" width="4.85546875" style="3" bestFit="1" customWidth="1"/>
    <col min="7692" max="7694" width="5.5703125" style="3" bestFit="1" customWidth="1"/>
    <col min="7695" max="7695" width="4.85546875" style="3" bestFit="1" customWidth="1"/>
    <col min="7696" max="7698" width="5.5703125" style="3" bestFit="1" customWidth="1"/>
    <col min="7699" max="7699" width="4.85546875" style="3" bestFit="1" customWidth="1"/>
    <col min="7700" max="7700" width="7.85546875" style="3" bestFit="1" customWidth="1"/>
    <col min="7701" max="7701" width="8.5703125" style="3" bestFit="1" customWidth="1"/>
    <col min="7702" max="7702" width="26" style="3" bestFit="1" customWidth="1"/>
    <col min="7703" max="7937" width="9.140625" style="3"/>
    <col min="7938" max="7938" width="26.28515625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6.7109375" style="3" bestFit="1" customWidth="1"/>
    <col min="7944" max="7946" width="5.5703125" style="3" bestFit="1" customWidth="1"/>
    <col min="7947" max="7947" width="4.85546875" style="3" bestFit="1" customWidth="1"/>
    <col min="7948" max="7950" width="5.5703125" style="3" bestFit="1" customWidth="1"/>
    <col min="7951" max="7951" width="4.85546875" style="3" bestFit="1" customWidth="1"/>
    <col min="7952" max="7954" width="5.5703125" style="3" bestFit="1" customWidth="1"/>
    <col min="7955" max="7955" width="4.85546875" style="3" bestFit="1" customWidth="1"/>
    <col min="7956" max="7956" width="7.85546875" style="3" bestFit="1" customWidth="1"/>
    <col min="7957" max="7957" width="8.5703125" style="3" bestFit="1" customWidth="1"/>
    <col min="7958" max="7958" width="26" style="3" bestFit="1" customWidth="1"/>
    <col min="7959" max="8193" width="9.140625" style="3"/>
    <col min="8194" max="8194" width="26.28515625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6.7109375" style="3" bestFit="1" customWidth="1"/>
    <col min="8200" max="8202" width="5.5703125" style="3" bestFit="1" customWidth="1"/>
    <col min="8203" max="8203" width="4.85546875" style="3" bestFit="1" customWidth="1"/>
    <col min="8204" max="8206" width="5.5703125" style="3" bestFit="1" customWidth="1"/>
    <col min="8207" max="8207" width="4.85546875" style="3" bestFit="1" customWidth="1"/>
    <col min="8208" max="8210" width="5.5703125" style="3" bestFit="1" customWidth="1"/>
    <col min="8211" max="8211" width="4.85546875" style="3" bestFit="1" customWidth="1"/>
    <col min="8212" max="8212" width="7.85546875" style="3" bestFit="1" customWidth="1"/>
    <col min="8213" max="8213" width="8.5703125" style="3" bestFit="1" customWidth="1"/>
    <col min="8214" max="8214" width="26" style="3" bestFit="1" customWidth="1"/>
    <col min="8215" max="8449" width="9.140625" style="3"/>
    <col min="8450" max="8450" width="26.28515625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6.7109375" style="3" bestFit="1" customWidth="1"/>
    <col min="8456" max="8458" width="5.5703125" style="3" bestFit="1" customWidth="1"/>
    <col min="8459" max="8459" width="4.85546875" style="3" bestFit="1" customWidth="1"/>
    <col min="8460" max="8462" width="5.5703125" style="3" bestFit="1" customWidth="1"/>
    <col min="8463" max="8463" width="4.85546875" style="3" bestFit="1" customWidth="1"/>
    <col min="8464" max="8466" width="5.5703125" style="3" bestFit="1" customWidth="1"/>
    <col min="8467" max="8467" width="4.85546875" style="3" bestFit="1" customWidth="1"/>
    <col min="8468" max="8468" width="7.85546875" style="3" bestFit="1" customWidth="1"/>
    <col min="8469" max="8469" width="8.5703125" style="3" bestFit="1" customWidth="1"/>
    <col min="8470" max="8470" width="26" style="3" bestFit="1" customWidth="1"/>
    <col min="8471" max="8705" width="9.140625" style="3"/>
    <col min="8706" max="8706" width="26.28515625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6.7109375" style="3" bestFit="1" customWidth="1"/>
    <col min="8712" max="8714" width="5.5703125" style="3" bestFit="1" customWidth="1"/>
    <col min="8715" max="8715" width="4.85546875" style="3" bestFit="1" customWidth="1"/>
    <col min="8716" max="8718" width="5.5703125" style="3" bestFit="1" customWidth="1"/>
    <col min="8719" max="8719" width="4.85546875" style="3" bestFit="1" customWidth="1"/>
    <col min="8720" max="8722" width="5.5703125" style="3" bestFit="1" customWidth="1"/>
    <col min="8723" max="8723" width="4.85546875" style="3" bestFit="1" customWidth="1"/>
    <col min="8724" max="8724" width="7.85546875" style="3" bestFit="1" customWidth="1"/>
    <col min="8725" max="8725" width="8.5703125" style="3" bestFit="1" customWidth="1"/>
    <col min="8726" max="8726" width="26" style="3" bestFit="1" customWidth="1"/>
    <col min="8727" max="8961" width="9.140625" style="3"/>
    <col min="8962" max="8962" width="26.28515625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6.7109375" style="3" bestFit="1" customWidth="1"/>
    <col min="8968" max="8970" width="5.5703125" style="3" bestFit="1" customWidth="1"/>
    <col min="8971" max="8971" width="4.85546875" style="3" bestFit="1" customWidth="1"/>
    <col min="8972" max="8974" width="5.5703125" style="3" bestFit="1" customWidth="1"/>
    <col min="8975" max="8975" width="4.85546875" style="3" bestFit="1" customWidth="1"/>
    <col min="8976" max="8978" width="5.5703125" style="3" bestFit="1" customWidth="1"/>
    <col min="8979" max="8979" width="4.85546875" style="3" bestFit="1" customWidth="1"/>
    <col min="8980" max="8980" width="7.85546875" style="3" bestFit="1" customWidth="1"/>
    <col min="8981" max="8981" width="8.5703125" style="3" bestFit="1" customWidth="1"/>
    <col min="8982" max="8982" width="26" style="3" bestFit="1" customWidth="1"/>
    <col min="8983" max="9217" width="9.140625" style="3"/>
    <col min="9218" max="9218" width="26.28515625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6.7109375" style="3" bestFit="1" customWidth="1"/>
    <col min="9224" max="9226" width="5.5703125" style="3" bestFit="1" customWidth="1"/>
    <col min="9227" max="9227" width="4.85546875" style="3" bestFit="1" customWidth="1"/>
    <col min="9228" max="9230" width="5.5703125" style="3" bestFit="1" customWidth="1"/>
    <col min="9231" max="9231" width="4.85546875" style="3" bestFit="1" customWidth="1"/>
    <col min="9232" max="9234" width="5.5703125" style="3" bestFit="1" customWidth="1"/>
    <col min="9235" max="9235" width="4.85546875" style="3" bestFit="1" customWidth="1"/>
    <col min="9236" max="9236" width="7.85546875" style="3" bestFit="1" customWidth="1"/>
    <col min="9237" max="9237" width="8.5703125" style="3" bestFit="1" customWidth="1"/>
    <col min="9238" max="9238" width="26" style="3" bestFit="1" customWidth="1"/>
    <col min="9239" max="9473" width="9.140625" style="3"/>
    <col min="9474" max="9474" width="26.28515625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6.7109375" style="3" bestFit="1" customWidth="1"/>
    <col min="9480" max="9482" width="5.5703125" style="3" bestFit="1" customWidth="1"/>
    <col min="9483" max="9483" width="4.85546875" style="3" bestFit="1" customWidth="1"/>
    <col min="9484" max="9486" width="5.5703125" style="3" bestFit="1" customWidth="1"/>
    <col min="9487" max="9487" width="4.85546875" style="3" bestFit="1" customWidth="1"/>
    <col min="9488" max="9490" width="5.5703125" style="3" bestFit="1" customWidth="1"/>
    <col min="9491" max="9491" width="4.85546875" style="3" bestFit="1" customWidth="1"/>
    <col min="9492" max="9492" width="7.85546875" style="3" bestFit="1" customWidth="1"/>
    <col min="9493" max="9493" width="8.5703125" style="3" bestFit="1" customWidth="1"/>
    <col min="9494" max="9494" width="26" style="3" bestFit="1" customWidth="1"/>
    <col min="9495" max="9729" width="9.140625" style="3"/>
    <col min="9730" max="9730" width="26.28515625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6.7109375" style="3" bestFit="1" customWidth="1"/>
    <col min="9736" max="9738" width="5.5703125" style="3" bestFit="1" customWidth="1"/>
    <col min="9739" max="9739" width="4.85546875" style="3" bestFit="1" customWidth="1"/>
    <col min="9740" max="9742" width="5.5703125" style="3" bestFit="1" customWidth="1"/>
    <col min="9743" max="9743" width="4.85546875" style="3" bestFit="1" customWidth="1"/>
    <col min="9744" max="9746" width="5.5703125" style="3" bestFit="1" customWidth="1"/>
    <col min="9747" max="9747" width="4.85546875" style="3" bestFit="1" customWidth="1"/>
    <col min="9748" max="9748" width="7.85546875" style="3" bestFit="1" customWidth="1"/>
    <col min="9749" max="9749" width="8.5703125" style="3" bestFit="1" customWidth="1"/>
    <col min="9750" max="9750" width="26" style="3" bestFit="1" customWidth="1"/>
    <col min="9751" max="9985" width="9.140625" style="3"/>
    <col min="9986" max="9986" width="26.28515625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6.7109375" style="3" bestFit="1" customWidth="1"/>
    <col min="9992" max="9994" width="5.5703125" style="3" bestFit="1" customWidth="1"/>
    <col min="9995" max="9995" width="4.85546875" style="3" bestFit="1" customWidth="1"/>
    <col min="9996" max="9998" width="5.5703125" style="3" bestFit="1" customWidth="1"/>
    <col min="9999" max="9999" width="4.85546875" style="3" bestFit="1" customWidth="1"/>
    <col min="10000" max="10002" width="5.5703125" style="3" bestFit="1" customWidth="1"/>
    <col min="10003" max="10003" width="4.85546875" style="3" bestFit="1" customWidth="1"/>
    <col min="10004" max="10004" width="7.85546875" style="3" bestFit="1" customWidth="1"/>
    <col min="10005" max="10005" width="8.5703125" style="3" bestFit="1" customWidth="1"/>
    <col min="10006" max="10006" width="26" style="3" bestFit="1" customWidth="1"/>
    <col min="10007" max="10241" width="9.140625" style="3"/>
    <col min="10242" max="10242" width="26.28515625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6.7109375" style="3" bestFit="1" customWidth="1"/>
    <col min="10248" max="10250" width="5.5703125" style="3" bestFit="1" customWidth="1"/>
    <col min="10251" max="10251" width="4.85546875" style="3" bestFit="1" customWidth="1"/>
    <col min="10252" max="10254" width="5.5703125" style="3" bestFit="1" customWidth="1"/>
    <col min="10255" max="10255" width="4.85546875" style="3" bestFit="1" customWidth="1"/>
    <col min="10256" max="10258" width="5.5703125" style="3" bestFit="1" customWidth="1"/>
    <col min="10259" max="10259" width="4.85546875" style="3" bestFit="1" customWidth="1"/>
    <col min="10260" max="10260" width="7.85546875" style="3" bestFit="1" customWidth="1"/>
    <col min="10261" max="10261" width="8.5703125" style="3" bestFit="1" customWidth="1"/>
    <col min="10262" max="10262" width="26" style="3" bestFit="1" customWidth="1"/>
    <col min="10263" max="10497" width="9.140625" style="3"/>
    <col min="10498" max="10498" width="26.28515625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6.7109375" style="3" bestFit="1" customWidth="1"/>
    <col min="10504" max="10506" width="5.5703125" style="3" bestFit="1" customWidth="1"/>
    <col min="10507" max="10507" width="4.85546875" style="3" bestFit="1" customWidth="1"/>
    <col min="10508" max="10510" width="5.5703125" style="3" bestFit="1" customWidth="1"/>
    <col min="10511" max="10511" width="4.85546875" style="3" bestFit="1" customWidth="1"/>
    <col min="10512" max="10514" width="5.5703125" style="3" bestFit="1" customWidth="1"/>
    <col min="10515" max="10515" width="4.85546875" style="3" bestFit="1" customWidth="1"/>
    <col min="10516" max="10516" width="7.85546875" style="3" bestFit="1" customWidth="1"/>
    <col min="10517" max="10517" width="8.5703125" style="3" bestFit="1" customWidth="1"/>
    <col min="10518" max="10518" width="26" style="3" bestFit="1" customWidth="1"/>
    <col min="10519" max="10753" width="9.140625" style="3"/>
    <col min="10754" max="10754" width="26.28515625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6.7109375" style="3" bestFit="1" customWidth="1"/>
    <col min="10760" max="10762" width="5.5703125" style="3" bestFit="1" customWidth="1"/>
    <col min="10763" max="10763" width="4.85546875" style="3" bestFit="1" customWidth="1"/>
    <col min="10764" max="10766" width="5.5703125" style="3" bestFit="1" customWidth="1"/>
    <col min="10767" max="10767" width="4.85546875" style="3" bestFit="1" customWidth="1"/>
    <col min="10768" max="10770" width="5.5703125" style="3" bestFit="1" customWidth="1"/>
    <col min="10771" max="10771" width="4.85546875" style="3" bestFit="1" customWidth="1"/>
    <col min="10772" max="10772" width="7.85546875" style="3" bestFit="1" customWidth="1"/>
    <col min="10773" max="10773" width="8.5703125" style="3" bestFit="1" customWidth="1"/>
    <col min="10774" max="10774" width="26" style="3" bestFit="1" customWidth="1"/>
    <col min="10775" max="11009" width="9.140625" style="3"/>
    <col min="11010" max="11010" width="26.28515625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6.7109375" style="3" bestFit="1" customWidth="1"/>
    <col min="11016" max="11018" width="5.5703125" style="3" bestFit="1" customWidth="1"/>
    <col min="11019" max="11019" width="4.85546875" style="3" bestFit="1" customWidth="1"/>
    <col min="11020" max="11022" width="5.5703125" style="3" bestFit="1" customWidth="1"/>
    <col min="11023" max="11023" width="4.85546875" style="3" bestFit="1" customWidth="1"/>
    <col min="11024" max="11026" width="5.5703125" style="3" bestFit="1" customWidth="1"/>
    <col min="11027" max="11027" width="4.85546875" style="3" bestFit="1" customWidth="1"/>
    <col min="11028" max="11028" width="7.85546875" style="3" bestFit="1" customWidth="1"/>
    <col min="11029" max="11029" width="8.5703125" style="3" bestFit="1" customWidth="1"/>
    <col min="11030" max="11030" width="26" style="3" bestFit="1" customWidth="1"/>
    <col min="11031" max="11265" width="9.140625" style="3"/>
    <col min="11266" max="11266" width="26.28515625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6.7109375" style="3" bestFit="1" customWidth="1"/>
    <col min="11272" max="11274" width="5.5703125" style="3" bestFit="1" customWidth="1"/>
    <col min="11275" max="11275" width="4.85546875" style="3" bestFit="1" customWidth="1"/>
    <col min="11276" max="11278" width="5.5703125" style="3" bestFit="1" customWidth="1"/>
    <col min="11279" max="11279" width="4.85546875" style="3" bestFit="1" customWidth="1"/>
    <col min="11280" max="11282" width="5.5703125" style="3" bestFit="1" customWidth="1"/>
    <col min="11283" max="11283" width="4.85546875" style="3" bestFit="1" customWidth="1"/>
    <col min="11284" max="11284" width="7.85546875" style="3" bestFit="1" customWidth="1"/>
    <col min="11285" max="11285" width="8.5703125" style="3" bestFit="1" customWidth="1"/>
    <col min="11286" max="11286" width="26" style="3" bestFit="1" customWidth="1"/>
    <col min="11287" max="11521" width="9.140625" style="3"/>
    <col min="11522" max="11522" width="26.28515625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6.7109375" style="3" bestFit="1" customWidth="1"/>
    <col min="11528" max="11530" width="5.5703125" style="3" bestFit="1" customWidth="1"/>
    <col min="11531" max="11531" width="4.85546875" style="3" bestFit="1" customWidth="1"/>
    <col min="11532" max="11534" width="5.5703125" style="3" bestFit="1" customWidth="1"/>
    <col min="11535" max="11535" width="4.85546875" style="3" bestFit="1" customWidth="1"/>
    <col min="11536" max="11538" width="5.5703125" style="3" bestFit="1" customWidth="1"/>
    <col min="11539" max="11539" width="4.85546875" style="3" bestFit="1" customWidth="1"/>
    <col min="11540" max="11540" width="7.85546875" style="3" bestFit="1" customWidth="1"/>
    <col min="11541" max="11541" width="8.5703125" style="3" bestFit="1" customWidth="1"/>
    <col min="11542" max="11542" width="26" style="3" bestFit="1" customWidth="1"/>
    <col min="11543" max="11777" width="9.140625" style="3"/>
    <col min="11778" max="11778" width="26.28515625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6.7109375" style="3" bestFit="1" customWidth="1"/>
    <col min="11784" max="11786" width="5.5703125" style="3" bestFit="1" customWidth="1"/>
    <col min="11787" max="11787" width="4.85546875" style="3" bestFit="1" customWidth="1"/>
    <col min="11788" max="11790" width="5.5703125" style="3" bestFit="1" customWidth="1"/>
    <col min="11791" max="11791" width="4.85546875" style="3" bestFit="1" customWidth="1"/>
    <col min="11792" max="11794" width="5.5703125" style="3" bestFit="1" customWidth="1"/>
    <col min="11795" max="11795" width="4.85546875" style="3" bestFit="1" customWidth="1"/>
    <col min="11796" max="11796" width="7.85546875" style="3" bestFit="1" customWidth="1"/>
    <col min="11797" max="11797" width="8.5703125" style="3" bestFit="1" customWidth="1"/>
    <col min="11798" max="11798" width="26" style="3" bestFit="1" customWidth="1"/>
    <col min="11799" max="12033" width="9.140625" style="3"/>
    <col min="12034" max="12034" width="26.28515625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6.7109375" style="3" bestFit="1" customWidth="1"/>
    <col min="12040" max="12042" width="5.5703125" style="3" bestFit="1" customWidth="1"/>
    <col min="12043" max="12043" width="4.85546875" style="3" bestFit="1" customWidth="1"/>
    <col min="12044" max="12046" width="5.5703125" style="3" bestFit="1" customWidth="1"/>
    <col min="12047" max="12047" width="4.85546875" style="3" bestFit="1" customWidth="1"/>
    <col min="12048" max="12050" width="5.5703125" style="3" bestFit="1" customWidth="1"/>
    <col min="12051" max="12051" width="4.85546875" style="3" bestFit="1" customWidth="1"/>
    <col min="12052" max="12052" width="7.85546875" style="3" bestFit="1" customWidth="1"/>
    <col min="12053" max="12053" width="8.5703125" style="3" bestFit="1" customWidth="1"/>
    <col min="12054" max="12054" width="26" style="3" bestFit="1" customWidth="1"/>
    <col min="12055" max="12289" width="9.140625" style="3"/>
    <col min="12290" max="12290" width="26.28515625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6.7109375" style="3" bestFit="1" customWidth="1"/>
    <col min="12296" max="12298" width="5.5703125" style="3" bestFit="1" customWidth="1"/>
    <col min="12299" max="12299" width="4.85546875" style="3" bestFit="1" customWidth="1"/>
    <col min="12300" max="12302" width="5.5703125" style="3" bestFit="1" customWidth="1"/>
    <col min="12303" max="12303" width="4.85546875" style="3" bestFit="1" customWidth="1"/>
    <col min="12304" max="12306" width="5.5703125" style="3" bestFit="1" customWidth="1"/>
    <col min="12307" max="12307" width="4.85546875" style="3" bestFit="1" customWidth="1"/>
    <col min="12308" max="12308" width="7.85546875" style="3" bestFit="1" customWidth="1"/>
    <col min="12309" max="12309" width="8.5703125" style="3" bestFit="1" customWidth="1"/>
    <col min="12310" max="12310" width="26" style="3" bestFit="1" customWidth="1"/>
    <col min="12311" max="12545" width="9.140625" style="3"/>
    <col min="12546" max="12546" width="26.28515625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6.7109375" style="3" bestFit="1" customWidth="1"/>
    <col min="12552" max="12554" width="5.5703125" style="3" bestFit="1" customWidth="1"/>
    <col min="12555" max="12555" width="4.85546875" style="3" bestFit="1" customWidth="1"/>
    <col min="12556" max="12558" width="5.5703125" style="3" bestFit="1" customWidth="1"/>
    <col min="12559" max="12559" width="4.85546875" style="3" bestFit="1" customWidth="1"/>
    <col min="12560" max="12562" width="5.5703125" style="3" bestFit="1" customWidth="1"/>
    <col min="12563" max="12563" width="4.85546875" style="3" bestFit="1" customWidth="1"/>
    <col min="12564" max="12564" width="7.85546875" style="3" bestFit="1" customWidth="1"/>
    <col min="12565" max="12565" width="8.5703125" style="3" bestFit="1" customWidth="1"/>
    <col min="12566" max="12566" width="26" style="3" bestFit="1" customWidth="1"/>
    <col min="12567" max="12801" width="9.140625" style="3"/>
    <col min="12802" max="12802" width="26.28515625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6.7109375" style="3" bestFit="1" customWidth="1"/>
    <col min="12808" max="12810" width="5.5703125" style="3" bestFit="1" customWidth="1"/>
    <col min="12811" max="12811" width="4.85546875" style="3" bestFit="1" customWidth="1"/>
    <col min="12812" max="12814" width="5.5703125" style="3" bestFit="1" customWidth="1"/>
    <col min="12815" max="12815" width="4.85546875" style="3" bestFit="1" customWidth="1"/>
    <col min="12816" max="12818" width="5.5703125" style="3" bestFit="1" customWidth="1"/>
    <col min="12819" max="12819" width="4.85546875" style="3" bestFit="1" customWidth="1"/>
    <col min="12820" max="12820" width="7.85546875" style="3" bestFit="1" customWidth="1"/>
    <col min="12821" max="12821" width="8.5703125" style="3" bestFit="1" customWidth="1"/>
    <col min="12822" max="12822" width="26" style="3" bestFit="1" customWidth="1"/>
    <col min="12823" max="13057" width="9.140625" style="3"/>
    <col min="13058" max="13058" width="26.28515625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6.7109375" style="3" bestFit="1" customWidth="1"/>
    <col min="13064" max="13066" width="5.5703125" style="3" bestFit="1" customWidth="1"/>
    <col min="13067" max="13067" width="4.85546875" style="3" bestFit="1" customWidth="1"/>
    <col min="13068" max="13070" width="5.5703125" style="3" bestFit="1" customWidth="1"/>
    <col min="13071" max="13071" width="4.85546875" style="3" bestFit="1" customWidth="1"/>
    <col min="13072" max="13074" width="5.5703125" style="3" bestFit="1" customWidth="1"/>
    <col min="13075" max="13075" width="4.85546875" style="3" bestFit="1" customWidth="1"/>
    <col min="13076" max="13076" width="7.85546875" style="3" bestFit="1" customWidth="1"/>
    <col min="13077" max="13077" width="8.5703125" style="3" bestFit="1" customWidth="1"/>
    <col min="13078" max="13078" width="26" style="3" bestFit="1" customWidth="1"/>
    <col min="13079" max="13313" width="9.140625" style="3"/>
    <col min="13314" max="13314" width="26.28515625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6.7109375" style="3" bestFit="1" customWidth="1"/>
    <col min="13320" max="13322" width="5.5703125" style="3" bestFit="1" customWidth="1"/>
    <col min="13323" max="13323" width="4.85546875" style="3" bestFit="1" customWidth="1"/>
    <col min="13324" max="13326" width="5.5703125" style="3" bestFit="1" customWidth="1"/>
    <col min="13327" max="13327" width="4.85546875" style="3" bestFit="1" customWidth="1"/>
    <col min="13328" max="13330" width="5.5703125" style="3" bestFit="1" customWidth="1"/>
    <col min="13331" max="13331" width="4.85546875" style="3" bestFit="1" customWidth="1"/>
    <col min="13332" max="13332" width="7.85546875" style="3" bestFit="1" customWidth="1"/>
    <col min="13333" max="13333" width="8.5703125" style="3" bestFit="1" customWidth="1"/>
    <col min="13334" max="13334" width="26" style="3" bestFit="1" customWidth="1"/>
    <col min="13335" max="13569" width="9.140625" style="3"/>
    <col min="13570" max="13570" width="26.28515625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6.7109375" style="3" bestFit="1" customWidth="1"/>
    <col min="13576" max="13578" width="5.5703125" style="3" bestFit="1" customWidth="1"/>
    <col min="13579" max="13579" width="4.85546875" style="3" bestFit="1" customWidth="1"/>
    <col min="13580" max="13582" width="5.5703125" style="3" bestFit="1" customWidth="1"/>
    <col min="13583" max="13583" width="4.85546875" style="3" bestFit="1" customWidth="1"/>
    <col min="13584" max="13586" width="5.5703125" style="3" bestFit="1" customWidth="1"/>
    <col min="13587" max="13587" width="4.85546875" style="3" bestFit="1" customWidth="1"/>
    <col min="13588" max="13588" width="7.85546875" style="3" bestFit="1" customWidth="1"/>
    <col min="13589" max="13589" width="8.5703125" style="3" bestFit="1" customWidth="1"/>
    <col min="13590" max="13590" width="26" style="3" bestFit="1" customWidth="1"/>
    <col min="13591" max="13825" width="9.140625" style="3"/>
    <col min="13826" max="13826" width="26.28515625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6.7109375" style="3" bestFit="1" customWidth="1"/>
    <col min="13832" max="13834" width="5.5703125" style="3" bestFit="1" customWidth="1"/>
    <col min="13835" max="13835" width="4.85546875" style="3" bestFit="1" customWidth="1"/>
    <col min="13836" max="13838" width="5.5703125" style="3" bestFit="1" customWidth="1"/>
    <col min="13839" max="13839" width="4.85546875" style="3" bestFit="1" customWidth="1"/>
    <col min="13840" max="13842" width="5.5703125" style="3" bestFit="1" customWidth="1"/>
    <col min="13843" max="13843" width="4.85546875" style="3" bestFit="1" customWidth="1"/>
    <col min="13844" max="13844" width="7.85546875" style="3" bestFit="1" customWidth="1"/>
    <col min="13845" max="13845" width="8.5703125" style="3" bestFit="1" customWidth="1"/>
    <col min="13846" max="13846" width="26" style="3" bestFit="1" customWidth="1"/>
    <col min="13847" max="14081" width="9.140625" style="3"/>
    <col min="14082" max="14082" width="26.28515625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6.7109375" style="3" bestFit="1" customWidth="1"/>
    <col min="14088" max="14090" width="5.5703125" style="3" bestFit="1" customWidth="1"/>
    <col min="14091" max="14091" width="4.85546875" style="3" bestFit="1" customWidth="1"/>
    <col min="14092" max="14094" width="5.5703125" style="3" bestFit="1" customWidth="1"/>
    <col min="14095" max="14095" width="4.85546875" style="3" bestFit="1" customWidth="1"/>
    <col min="14096" max="14098" width="5.5703125" style="3" bestFit="1" customWidth="1"/>
    <col min="14099" max="14099" width="4.85546875" style="3" bestFit="1" customWidth="1"/>
    <col min="14100" max="14100" width="7.85546875" style="3" bestFit="1" customWidth="1"/>
    <col min="14101" max="14101" width="8.5703125" style="3" bestFit="1" customWidth="1"/>
    <col min="14102" max="14102" width="26" style="3" bestFit="1" customWidth="1"/>
    <col min="14103" max="14337" width="9.140625" style="3"/>
    <col min="14338" max="14338" width="26.28515625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6.7109375" style="3" bestFit="1" customWidth="1"/>
    <col min="14344" max="14346" width="5.5703125" style="3" bestFit="1" customWidth="1"/>
    <col min="14347" max="14347" width="4.85546875" style="3" bestFit="1" customWidth="1"/>
    <col min="14348" max="14350" width="5.5703125" style="3" bestFit="1" customWidth="1"/>
    <col min="14351" max="14351" width="4.85546875" style="3" bestFit="1" customWidth="1"/>
    <col min="14352" max="14354" width="5.5703125" style="3" bestFit="1" customWidth="1"/>
    <col min="14355" max="14355" width="4.85546875" style="3" bestFit="1" customWidth="1"/>
    <col min="14356" max="14356" width="7.85546875" style="3" bestFit="1" customWidth="1"/>
    <col min="14357" max="14357" width="8.5703125" style="3" bestFit="1" customWidth="1"/>
    <col min="14358" max="14358" width="26" style="3" bestFit="1" customWidth="1"/>
    <col min="14359" max="14593" width="9.140625" style="3"/>
    <col min="14594" max="14594" width="26.28515625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6.7109375" style="3" bestFit="1" customWidth="1"/>
    <col min="14600" max="14602" width="5.5703125" style="3" bestFit="1" customWidth="1"/>
    <col min="14603" max="14603" width="4.85546875" style="3" bestFit="1" customWidth="1"/>
    <col min="14604" max="14606" width="5.5703125" style="3" bestFit="1" customWidth="1"/>
    <col min="14607" max="14607" width="4.85546875" style="3" bestFit="1" customWidth="1"/>
    <col min="14608" max="14610" width="5.5703125" style="3" bestFit="1" customWidth="1"/>
    <col min="14611" max="14611" width="4.85546875" style="3" bestFit="1" customWidth="1"/>
    <col min="14612" max="14612" width="7.85546875" style="3" bestFit="1" customWidth="1"/>
    <col min="14613" max="14613" width="8.5703125" style="3" bestFit="1" customWidth="1"/>
    <col min="14614" max="14614" width="26" style="3" bestFit="1" customWidth="1"/>
    <col min="14615" max="14849" width="9.140625" style="3"/>
    <col min="14850" max="14850" width="26.28515625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6.7109375" style="3" bestFit="1" customWidth="1"/>
    <col min="14856" max="14858" width="5.5703125" style="3" bestFit="1" customWidth="1"/>
    <col min="14859" max="14859" width="4.85546875" style="3" bestFit="1" customWidth="1"/>
    <col min="14860" max="14862" width="5.5703125" style="3" bestFit="1" customWidth="1"/>
    <col min="14863" max="14863" width="4.85546875" style="3" bestFit="1" customWidth="1"/>
    <col min="14864" max="14866" width="5.5703125" style="3" bestFit="1" customWidth="1"/>
    <col min="14867" max="14867" width="4.85546875" style="3" bestFit="1" customWidth="1"/>
    <col min="14868" max="14868" width="7.85546875" style="3" bestFit="1" customWidth="1"/>
    <col min="14869" max="14869" width="8.5703125" style="3" bestFit="1" customWidth="1"/>
    <col min="14870" max="14870" width="26" style="3" bestFit="1" customWidth="1"/>
    <col min="14871" max="15105" width="9.140625" style="3"/>
    <col min="15106" max="15106" width="26.28515625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6.7109375" style="3" bestFit="1" customWidth="1"/>
    <col min="15112" max="15114" width="5.5703125" style="3" bestFit="1" customWidth="1"/>
    <col min="15115" max="15115" width="4.85546875" style="3" bestFit="1" customWidth="1"/>
    <col min="15116" max="15118" width="5.5703125" style="3" bestFit="1" customWidth="1"/>
    <col min="15119" max="15119" width="4.85546875" style="3" bestFit="1" customWidth="1"/>
    <col min="15120" max="15122" width="5.5703125" style="3" bestFit="1" customWidth="1"/>
    <col min="15123" max="15123" width="4.85546875" style="3" bestFit="1" customWidth="1"/>
    <col min="15124" max="15124" width="7.85546875" style="3" bestFit="1" customWidth="1"/>
    <col min="15125" max="15125" width="8.5703125" style="3" bestFit="1" customWidth="1"/>
    <col min="15126" max="15126" width="26" style="3" bestFit="1" customWidth="1"/>
    <col min="15127" max="15361" width="9.140625" style="3"/>
    <col min="15362" max="15362" width="26.28515625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6.7109375" style="3" bestFit="1" customWidth="1"/>
    <col min="15368" max="15370" width="5.5703125" style="3" bestFit="1" customWidth="1"/>
    <col min="15371" max="15371" width="4.85546875" style="3" bestFit="1" customWidth="1"/>
    <col min="15372" max="15374" width="5.5703125" style="3" bestFit="1" customWidth="1"/>
    <col min="15375" max="15375" width="4.85546875" style="3" bestFit="1" customWidth="1"/>
    <col min="15376" max="15378" width="5.5703125" style="3" bestFit="1" customWidth="1"/>
    <col min="15379" max="15379" width="4.85546875" style="3" bestFit="1" customWidth="1"/>
    <col min="15380" max="15380" width="7.85546875" style="3" bestFit="1" customWidth="1"/>
    <col min="15381" max="15381" width="8.5703125" style="3" bestFit="1" customWidth="1"/>
    <col min="15382" max="15382" width="26" style="3" bestFit="1" customWidth="1"/>
    <col min="15383" max="15617" width="9.140625" style="3"/>
    <col min="15618" max="15618" width="26.28515625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6.7109375" style="3" bestFit="1" customWidth="1"/>
    <col min="15624" max="15626" width="5.5703125" style="3" bestFit="1" customWidth="1"/>
    <col min="15627" max="15627" width="4.85546875" style="3" bestFit="1" customWidth="1"/>
    <col min="15628" max="15630" width="5.5703125" style="3" bestFit="1" customWidth="1"/>
    <col min="15631" max="15631" width="4.85546875" style="3" bestFit="1" customWidth="1"/>
    <col min="15632" max="15634" width="5.5703125" style="3" bestFit="1" customWidth="1"/>
    <col min="15635" max="15635" width="4.85546875" style="3" bestFit="1" customWidth="1"/>
    <col min="15636" max="15636" width="7.85546875" style="3" bestFit="1" customWidth="1"/>
    <col min="15637" max="15637" width="8.5703125" style="3" bestFit="1" customWidth="1"/>
    <col min="15638" max="15638" width="26" style="3" bestFit="1" customWidth="1"/>
    <col min="15639" max="15873" width="9.140625" style="3"/>
    <col min="15874" max="15874" width="26.28515625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6.7109375" style="3" bestFit="1" customWidth="1"/>
    <col min="15880" max="15882" width="5.5703125" style="3" bestFit="1" customWidth="1"/>
    <col min="15883" max="15883" width="4.85546875" style="3" bestFit="1" customWidth="1"/>
    <col min="15884" max="15886" width="5.5703125" style="3" bestFit="1" customWidth="1"/>
    <col min="15887" max="15887" width="4.85546875" style="3" bestFit="1" customWidth="1"/>
    <col min="15888" max="15890" width="5.5703125" style="3" bestFit="1" customWidth="1"/>
    <col min="15891" max="15891" width="4.85546875" style="3" bestFit="1" customWidth="1"/>
    <col min="15892" max="15892" width="7.85546875" style="3" bestFit="1" customWidth="1"/>
    <col min="15893" max="15893" width="8.5703125" style="3" bestFit="1" customWidth="1"/>
    <col min="15894" max="15894" width="26" style="3" bestFit="1" customWidth="1"/>
    <col min="15895" max="16129" width="9.140625" style="3"/>
    <col min="16130" max="16130" width="26.28515625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6.7109375" style="3" bestFit="1" customWidth="1"/>
    <col min="16136" max="16138" width="5.5703125" style="3" bestFit="1" customWidth="1"/>
    <col min="16139" max="16139" width="4.85546875" style="3" bestFit="1" customWidth="1"/>
    <col min="16140" max="16142" width="5.5703125" style="3" bestFit="1" customWidth="1"/>
    <col min="16143" max="16143" width="4.85546875" style="3" bestFit="1" customWidth="1"/>
    <col min="16144" max="16146" width="5.5703125" style="3" bestFit="1" customWidth="1"/>
    <col min="16147" max="16147" width="4.85546875" style="3" bestFit="1" customWidth="1"/>
    <col min="16148" max="16148" width="7.85546875" style="3" bestFit="1" customWidth="1"/>
    <col min="16149" max="16149" width="8.5703125" style="3" bestFit="1" customWidth="1"/>
    <col min="16150" max="16150" width="26" style="3" bestFit="1" customWidth="1"/>
    <col min="16151" max="16384" width="9.140625" style="3"/>
  </cols>
  <sheetData>
    <row r="1" spans="1:22" s="2" customFormat="1" ht="29.1" customHeight="1" x14ac:dyDescent="0.2">
      <c r="A1" s="40" t="s">
        <v>999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2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1000</v>
      </c>
      <c r="I3" s="37"/>
      <c r="J3" s="37"/>
      <c r="K3" s="37"/>
      <c r="L3" s="37" t="s">
        <v>1</v>
      </c>
      <c r="M3" s="37"/>
      <c r="N3" s="37"/>
      <c r="O3" s="37"/>
      <c r="P3" s="37" t="s">
        <v>295</v>
      </c>
      <c r="Q3" s="37"/>
      <c r="R3" s="37"/>
      <c r="S3" s="37"/>
      <c r="T3" s="37" t="s">
        <v>1001</v>
      </c>
      <c r="U3" s="37" t="s">
        <v>3</v>
      </c>
      <c r="V3" s="38" t="s">
        <v>2</v>
      </c>
    </row>
    <row r="4" spans="1:22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5">
        <v>1</v>
      </c>
      <c r="M4" s="5">
        <v>2</v>
      </c>
      <c r="N4" s="5">
        <v>3</v>
      </c>
      <c r="O4" s="5" t="s">
        <v>224</v>
      </c>
      <c r="P4" s="5">
        <v>1</v>
      </c>
      <c r="Q4" s="5">
        <v>2</v>
      </c>
      <c r="R4" s="5">
        <v>3</v>
      </c>
      <c r="S4" s="5" t="s">
        <v>224</v>
      </c>
      <c r="T4" s="36"/>
      <c r="U4" s="36"/>
      <c r="V4" s="39"/>
    </row>
    <row r="5" spans="1:22" ht="15" x14ac:dyDescent="0.2">
      <c r="A5" s="61" t="s">
        <v>296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x14ac:dyDescent="0.2">
      <c r="A6" s="6" t="s">
        <v>1002</v>
      </c>
      <c r="B6" s="6" t="s">
        <v>1442</v>
      </c>
      <c r="C6" s="6" t="s">
        <v>1003</v>
      </c>
      <c r="D6" s="6" t="s">
        <v>1004</v>
      </c>
      <c r="E6" s="6" t="str">
        <f>"1,3265"</f>
        <v>1,3265</v>
      </c>
      <c r="F6" s="6" t="s">
        <v>65</v>
      </c>
      <c r="G6" s="6" t="s">
        <v>66</v>
      </c>
      <c r="H6" s="8" t="s">
        <v>237</v>
      </c>
      <c r="I6" s="8" t="s">
        <v>248</v>
      </c>
      <c r="J6" s="8" t="s">
        <v>48</v>
      </c>
      <c r="K6" s="7"/>
      <c r="L6" s="8" t="s">
        <v>230</v>
      </c>
      <c r="M6" s="8" t="s">
        <v>598</v>
      </c>
      <c r="N6" s="8" t="s">
        <v>594</v>
      </c>
      <c r="O6" s="7"/>
      <c r="P6" s="8" t="s">
        <v>659</v>
      </c>
      <c r="Q6" s="8" t="s">
        <v>74</v>
      </c>
      <c r="R6" s="7" t="s">
        <v>318</v>
      </c>
      <c r="S6" s="7"/>
      <c r="T6" s="6" t="str">
        <f>"227,5"</f>
        <v>227,5</v>
      </c>
      <c r="U6" s="8" t="str">
        <f>"301,7788"</f>
        <v>301,7788</v>
      </c>
      <c r="V6" s="6" t="s">
        <v>613</v>
      </c>
    </row>
    <row r="8" spans="1:22" ht="15" x14ac:dyDescent="0.2">
      <c r="A8" s="32" t="s">
        <v>225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x14ac:dyDescent="0.2">
      <c r="A9" s="9" t="s">
        <v>1005</v>
      </c>
      <c r="B9" s="9" t="s">
        <v>1437</v>
      </c>
      <c r="C9" s="9" t="s">
        <v>1006</v>
      </c>
      <c r="D9" s="9" t="s">
        <v>1007</v>
      </c>
      <c r="E9" s="9" t="str">
        <f>"1,1766"</f>
        <v>1,1766</v>
      </c>
      <c r="F9" s="9" t="s">
        <v>65</v>
      </c>
      <c r="G9" s="9" t="s">
        <v>66</v>
      </c>
      <c r="H9" s="25" t="s">
        <v>32</v>
      </c>
      <c r="I9" s="10" t="s">
        <v>32</v>
      </c>
      <c r="J9" s="10" t="s">
        <v>659</v>
      </c>
      <c r="K9" s="25"/>
      <c r="L9" s="10" t="s">
        <v>593</v>
      </c>
      <c r="M9" s="10" t="s">
        <v>230</v>
      </c>
      <c r="N9" s="25" t="s">
        <v>231</v>
      </c>
      <c r="O9" s="25"/>
      <c r="P9" s="10" t="s">
        <v>114</v>
      </c>
      <c r="Q9" s="10" t="s">
        <v>313</v>
      </c>
      <c r="R9" s="10" t="s">
        <v>83</v>
      </c>
      <c r="S9" s="25"/>
      <c r="T9" s="9" t="str">
        <f>"245,0"</f>
        <v>245,0</v>
      </c>
      <c r="U9" s="10" t="str">
        <f>"288,2670"</f>
        <v>288,2670</v>
      </c>
      <c r="V9" s="9" t="s">
        <v>1008</v>
      </c>
    </row>
    <row r="10" spans="1:22" x14ac:dyDescent="0.2">
      <c r="A10" s="11" t="s">
        <v>1009</v>
      </c>
      <c r="B10" s="11" t="s">
        <v>1437</v>
      </c>
      <c r="C10" s="11" t="s">
        <v>1010</v>
      </c>
      <c r="D10" s="11" t="s">
        <v>332</v>
      </c>
      <c r="E10" s="11" t="str">
        <f>"1,1950"</f>
        <v>1,1950</v>
      </c>
      <c r="F10" s="11" t="s">
        <v>14</v>
      </c>
      <c r="G10" s="11" t="s">
        <v>349</v>
      </c>
      <c r="H10" s="13" t="s">
        <v>48</v>
      </c>
      <c r="I10" s="13" t="s">
        <v>659</v>
      </c>
      <c r="J10" s="13" t="s">
        <v>68</v>
      </c>
      <c r="K10" s="12"/>
      <c r="L10" s="13" t="s">
        <v>230</v>
      </c>
      <c r="M10" s="12" t="s">
        <v>594</v>
      </c>
      <c r="N10" s="12" t="s">
        <v>236</v>
      </c>
      <c r="O10" s="12"/>
      <c r="P10" s="13" t="s">
        <v>68</v>
      </c>
      <c r="Q10" s="12" t="s">
        <v>114</v>
      </c>
      <c r="R10" s="12" t="s">
        <v>313</v>
      </c>
      <c r="S10" s="12"/>
      <c r="T10" s="11" t="str">
        <f>"230,0"</f>
        <v>230,0</v>
      </c>
      <c r="U10" s="13" t="str">
        <f>"274,8500"</f>
        <v>274,8500</v>
      </c>
      <c r="V10" s="11" t="s">
        <v>62</v>
      </c>
    </row>
    <row r="11" spans="1:22" x14ac:dyDescent="0.2">
      <c r="A11" s="11" t="s">
        <v>1011</v>
      </c>
      <c r="B11" s="11" t="s">
        <v>1437</v>
      </c>
      <c r="C11" s="11" t="s">
        <v>1012</v>
      </c>
      <c r="D11" s="11" t="s">
        <v>1013</v>
      </c>
      <c r="E11" s="11" t="str">
        <f>"1,2320"</f>
        <v>1,2320</v>
      </c>
      <c r="F11" s="11" t="s">
        <v>65</v>
      </c>
      <c r="G11" s="11" t="s">
        <v>66</v>
      </c>
      <c r="H11" s="13" t="s">
        <v>659</v>
      </c>
      <c r="I11" s="12" t="s">
        <v>68</v>
      </c>
      <c r="J11" s="12" t="s">
        <v>74</v>
      </c>
      <c r="K11" s="12"/>
      <c r="L11" s="13" t="s">
        <v>230</v>
      </c>
      <c r="M11" s="12" t="s">
        <v>231</v>
      </c>
      <c r="N11" s="12" t="s">
        <v>231</v>
      </c>
      <c r="O11" s="12"/>
      <c r="P11" s="13" t="s">
        <v>68</v>
      </c>
      <c r="Q11" s="13" t="s">
        <v>114</v>
      </c>
      <c r="R11" s="12" t="s">
        <v>179</v>
      </c>
      <c r="S11" s="12"/>
      <c r="T11" s="11" t="str">
        <f>"235,0"</f>
        <v>235,0</v>
      </c>
      <c r="U11" s="13" t="str">
        <f>"289,5200"</f>
        <v>289,5200</v>
      </c>
      <c r="V11" s="11" t="s">
        <v>62</v>
      </c>
    </row>
    <row r="12" spans="1:22" x14ac:dyDescent="0.2">
      <c r="A12" s="14" t="s">
        <v>1014</v>
      </c>
      <c r="B12" s="14" t="s">
        <v>1441</v>
      </c>
      <c r="C12" s="14" t="s">
        <v>1015</v>
      </c>
      <c r="D12" s="14" t="s">
        <v>1016</v>
      </c>
      <c r="E12" s="14" t="str">
        <f>"1,2159"</f>
        <v>1,2159</v>
      </c>
      <c r="F12" s="14" t="s">
        <v>65</v>
      </c>
      <c r="G12" s="14" t="s">
        <v>66</v>
      </c>
      <c r="H12" s="16" t="s">
        <v>237</v>
      </c>
      <c r="I12" s="15" t="s">
        <v>248</v>
      </c>
      <c r="J12" s="16" t="s">
        <v>248</v>
      </c>
      <c r="K12" s="15"/>
      <c r="L12" s="16" t="s">
        <v>49</v>
      </c>
      <c r="M12" s="16" t="s">
        <v>593</v>
      </c>
      <c r="N12" s="16" t="s">
        <v>230</v>
      </c>
      <c r="O12" s="15"/>
      <c r="P12" s="15" t="s">
        <v>68</v>
      </c>
      <c r="Q12" s="16" t="s">
        <v>68</v>
      </c>
      <c r="R12" s="15" t="s">
        <v>179</v>
      </c>
      <c r="S12" s="15"/>
      <c r="T12" s="14" t="str">
        <f>"210,0"</f>
        <v>210,0</v>
      </c>
      <c r="U12" s="16" t="str">
        <f>"255,3390"</f>
        <v>255,3390</v>
      </c>
      <c r="V12" s="14" t="s">
        <v>1017</v>
      </c>
    </row>
    <row r="14" spans="1:22" ht="15" x14ac:dyDescent="0.2">
      <c r="A14" s="32" t="s">
        <v>196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x14ac:dyDescent="0.2">
      <c r="A15" s="9" t="s">
        <v>1018</v>
      </c>
      <c r="B15" s="9" t="s">
        <v>1437</v>
      </c>
      <c r="C15" s="9" t="s">
        <v>1019</v>
      </c>
      <c r="D15" s="9" t="s">
        <v>1020</v>
      </c>
      <c r="E15" s="9" t="str">
        <f>"1,1281"</f>
        <v>1,1281</v>
      </c>
      <c r="F15" s="9" t="s">
        <v>65</v>
      </c>
      <c r="G15" s="9" t="s">
        <v>66</v>
      </c>
      <c r="H15" s="10" t="s">
        <v>659</v>
      </c>
      <c r="I15" s="25" t="s">
        <v>79</v>
      </c>
      <c r="J15" s="25" t="s">
        <v>79</v>
      </c>
      <c r="K15" s="25"/>
      <c r="L15" s="10" t="s">
        <v>236</v>
      </c>
      <c r="M15" s="25" t="s">
        <v>237</v>
      </c>
      <c r="N15" s="25" t="s">
        <v>237</v>
      </c>
      <c r="O15" s="25"/>
      <c r="P15" s="25" t="s">
        <v>83</v>
      </c>
      <c r="Q15" s="25" t="s">
        <v>83</v>
      </c>
      <c r="R15" s="10" t="s">
        <v>83</v>
      </c>
      <c r="S15" s="25"/>
      <c r="T15" s="9" t="str">
        <f>"255,0"</f>
        <v>255,0</v>
      </c>
      <c r="U15" s="10" t="str">
        <f>"287,6655"</f>
        <v>287,6655</v>
      </c>
      <c r="V15" s="9" t="s">
        <v>1021</v>
      </c>
    </row>
    <row r="16" spans="1:22" x14ac:dyDescent="0.2">
      <c r="A16" s="14" t="s">
        <v>1022</v>
      </c>
      <c r="B16" s="14" t="s">
        <v>1436</v>
      </c>
      <c r="C16" s="14" t="s">
        <v>1023</v>
      </c>
      <c r="D16" s="14" t="s">
        <v>810</v>
      </c>
      <c r="E16" s="14" t="str">
        <f>"1,1207"</f>
        <v>1,1207</v>
      </c>
      <c r="F16" s="14" t="s">
        <v>14</v>
      </c>
      <c r="G16" s="14" t="s">
        <v>15</v>
      </c>
      <c r="H16" s="15" t="s">
        <v>114</v>
      </c>
      <c r="I16" s="15" t="s">
        <v>114</v>
      </c>
      <c r="J16" s="15" t="s">
        <v>313</v>
      </c>
      <c r="K16" s="15"/>
      <c r="L16" s="15" t="s">
        <v>593</v>
      </c>
      <c r="M16" s="15"/>
      <c r="N16" s="15"/>
      <c r="O16" s="15"/>
      <c r="P16" s="15" t="s">
        <v>114</v>
      </c>
      <c r="Q16" s="15"/>
      <c r="R16" s="15"/>
      <c r="S16" s="15"/>
      <c r="T16" s="14" t="str">
        <f>"0,0"</f>
        <v>0,0</v>
      </c>
      <c r="U16" s="16" t="str">
        <f>"0,0000"</f>
        <v>0,0000</v>
      </c>
      <c r="V16" s="14" t="s">
        <v>1024</v>
      </c>
    </row>
    <row r="18" spans="1:22" ht="15" x14ac:dyDescent="0.2">
      <c r="A18" s="32" t="s">
        <v>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x14ac:dyDescent="0.2">
      <c r="A19" s="6" t="s">
        <v>1025</v>
      </c>
      <c r="B19" s="6" t="s">
        <v>1437</v>
      </c>
      <c r="C19" s="6" t="s">
        <v>1026</v>
      </c>
      <c r="D19" s="6" t="s">
        <v>1027</v>
      </c>
      <c r="E19" s="6" t="str">
        <f>"1,0432"</f>
        <v>1,0432</v>
      </c>
      <c r="F19" s="6" t="s">
        <v>65</v>
      </c>
      <c r="G19" s="6" t="s">
        <v>66</v>
      </c>
      <c r="H19" s="8" t="s">
        <v>313</v>
      </c>
      <c r="I19" s="8" t="s">
        <v>83</v>
      </c>
      <c r="J19" s="8" t="s">
        <v>94</v>
      </c>
      <c r="K19" s="7"/>
      <c r="L19" s="8" t="s">
        <v>598</v>
      </c>
      <c r="M19" s="8" t="s">
        <v>594</v>
      </c>
      <c r="N19" s="7" t="s">
        <v>236</v>
      </c>
      <c r="O19" s="7"/>
      <c r="P19" s="8" t="s">
        <v>94</v>
      </c>
      <c r="Q19" s="8" t="s">
        <v>323</v>
      </c>
      <c r="R19" s="7" t="s">
        <v>304</v>
      </c>
      <c r="S19" s="7"/>
      <c r="T19" s="6" t="str">
        <f>"292,5"</f>
        <v>292,5</v>
      </c>
      <c r="U19" s="8" t="str">
        <f>"305,1360"</f>
        <v>305,1360</v>
      </c>
      <c r="V19" s="6" t="s">
        <v>1028</v>
      </c>
    </row>
    <row r="21" spans="1:22" ht="15" x14ac:dyDescent="0.2">
      <c r="A21" s="32" t="s">
        <v>19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x14ac:dyDescent="0.2">
      <c r="A22" s="9" t="s">
        <v>1029</v>
      </c>
      <c r="B22" s="9" t="s">
        <v>1443</v>
      </c>
      <c r="C22" s="9" t="s">
        <v>1030</v>
      </c>
      <c r="D22" s="9" t="s">
        <v>22</v>
      </c>
      <c r="E22" s="9" t="str">
        <f>"0,9788"</f>
        <v>0,9788</v>
      </c>
      <c r="F22" s="9" t="s">
        <v>65</v>
      </c>
      <c r="G22" s="9" t="s">
        <v>66</v>
      </c>
      <c r="H22" s="10" t="s">
        <v>304</v>
      </c>
      <c r="I22" s="10" t="s">
        <v>183</v>
      </c>
      <c r="J22" s="10" t="s">
        <v>646</v>
      </c>
      <c r="K22" s="25"/>
      <c r="L22" s="10" t="s">
        <v>248</v>
      </c>
      <c r="M22" s="10" t="s">
        <v>106</v>
      </c>
      <c r="N22" s="25" t="s">
        <v>48</v>
      </c>
      <c r="O22" s="25"/>
      <c r="P22" s="10" t="s">
        <v>664</v>
      </c>
      <c r="Q22" s="10" t="s">
        <v>426</v>
      </c>
      <c r="R22" s="10" t="s">
        <v>400</v>
      </c>
      <c r="S22" s="25"/>
      <c r="T22" s="9" t="str">
        <f>"367,5"</f>
        <v>367,5</v>
      </c>
      <c r="U22" s="10" t="str">
        <f>"359,7090"</f>
        <v>359,7090</v>
      </c>
      <c r="V22" s="9" t="s">
        <v>1031</v>
      </c>
    </row>
    <row r="23" spans="1:22" x14ac:dyDescent="0.2">
      <c r="A23" s="14" t="s">
        <v>1032</v>
      </c>
      <c r="B23" s="14" t="s">
        <v>1437</v>
      </c>
      <c r="C23" s="14" t="s">
        <v>1033</v>
      </c>
      <c r="D23" s="14" t="s">
        <v>1034</v>
      </c>
      <c r="E23" s="14" t="str">
        <f>"0,9621"</f>
        <v>0,9621</v>
      </c>
      <c r="F23" s="14" t="s">
        <v>65</v>
      </c>
      <c r="G23" s="14" t="s">
        <v>66</v>
      </c>
      <c r="H23" s="16" t="s">
        <v>79</v>
      </c>
      <c r="I23" s="15" t="s">
        <v>175</v>
      </c>
      <c r="J23" s="16" t="s">
        <v>175</v>
      </c>
      <c r="K23" s="15"/>
      <c r="L23" s="16" t="s">
        <v>598</v>
      </c>
      <c r="M23" s="16" t="s">
        <v>236</v>
      </c>
      <c r="N23" s="16" t="s">
        <v>237</v>
      </c>
      <c r="O23" s="15"/>
      <c r="P23" s="16" t="s">
        <v>68</v>
      </c>
      <c r="Q23" s="16" t="s">
        <v>83</v>
      </c>
      <c r="R23" s="16" t="s">
        <v>94</v>
      </c>
      <c r="S23" s="15"/>
      <c r="T23" s="14" t="str">
        <f>"282,5"</f>
        <v>282,5</v>
      </c>
      <c r="U23" s="16" t="str">
        <f>"271,7933"</f>
        <v>271,7933</v>
      </c>
      <c r="V23" s="14" t="s">
        <v>1035</v>
      </c>
    </row>
    <row r="25" spans="1:22" ht="15" x14ac:dyDescent="0.2">
      <c r="A25" s="32" t="s">
        <v>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x14ac:dyDescent="0.2">
      <c r="A26" s="6" t="s">
        <v>1036</v>
      </c>
      <c r="B26" s="6" t="s">
        <v>1441</v>
      </c>
      <c r="C26" s="6" t="s">
        <v>1037</v>
      </c>
      <c r="D26" s="6" t="s">
        <v>1038</v>
      </c>
      <c r="E26" s="6" t="str">
        <f>"0,7775"</f>
        <v>0,7775</v>
      </c>
      <c r="F26" s="6" t="s">
        <v>65</v>
      </c>
      <c r="G26" s="6" t="s">
        <v>66</v>
      </c>
      <c r="H26" s="8" t="s">
        <v>323</v>
      </c>
      <c r="I26" s="8" t="s">
        <v>329</v>
      </c>
      <c r="J26" s="7" t="s">
        <v>355</v>
      </c>
      <c r="K26" s="7"/>
      <c r="L26" s="8" t="s">
        <v>175</v>
      </c>
      <c r="M26" s="7" t="s">
        <v>179</v>
      </c>
      <c r="N26" s="7" t="s">
        <v>179</v>
      </c>
      <c r="O26" s="7"/>
      <c r="P26" s="8" t="s">
        <v>304</v>
      </c>
      <c r="Q26" s="7" t="s">
        <v>356</v>
      </c>
      <c r="R26" s="7" t="s">
        <v>356</v>
      </c>
      <c r="S26" s="7"/>
      <c r="T26" s="6" t="str">
        <f>"355,0"</f>
        <v>355,0</v>
      </c>
      <c r="U26" s="8" t="str">
        <f>"276,0125"</f>
        <v>276,0125</v>
      </c>
      <c r="V26" s="6" t="s">
        <v>770</v>
      </c>
    </row>
    <row r="28" spans="1:22" ht="15" x14ac:dyDescent="0.2">
      <c r="A28" s="32" t="s">
        <v>19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2">
      <c r="A29" s="9" t="s">
        <v>1039</v>
      </c>
      <c r="B29" s="9" t="s">
        <v>1443</v>
      </c>
      <c r="C29" s="9" t="s">
        <v>1040</v>
      </c>
      <c r="D29" s="9" t="s">
        <v>1041</v>
      </c>
      <c r="E29" s="9" t="str">
        <f>"0,7214"</f>
        <v>0,7214</v>
      </c>
      <c r="F29" s="9" t="s">
        <v>14</v>
      </c>
      <c r="G29" s="9" t="s">
        <v>495</v>
      </c>
      <c r="H29" s="10" t="s">
        <v>382</v>
      </c>
      <c r="I29" s="10" t="s">
        <v>270</v>
      </c>
      <c r="J29" s="25" t="s">
        <v>280</v>
      </c>
      <c r="K29" s="25"/>
      <c r="L29" s="10" t="s">
        <v>323</v>
      </c>
      <c r="M29" s="10" t="s">
        <v>304</v>
      </c>
      <c r="N29" s="25"/>
      <c r="O29" s="25"/>
      <c r="P29" s="10" t="s">
        <v>412</v>
      </c>
      <c r="Q29" s="10" t="s">
        <v>413</v>
      </c>
      <c r="R29" s="25"/>
      <c r="S29" s="25"/>
      <c r="T29" s="9" t="str">
        <f>"530,0"</f>
        <v>530,0</v>
      </c>
      <c r="U29" s="10" t="str">
        <f>"382,3420"</f>
        <v>382,3420</v>
      </c>
      <c r="V29" s="9" t="s">
        <v>62</v>
      </c>
    </row>
    <row r="30" spans="1:22" x14ac:dyDescent="0.2">
      <c r="A30" s="14" t="s">
        <v>126</v>
      </c>
      <c r="B30" s="14" t="s">
        <v>1437</v>
      </c>
      <c r="C30" s="14" t="s">
        <v>127</v>
      </c>
      <c r="D30" s="14" t="s">
        <v>1041</v>
      </c>
      <c r="E30" s="14" t="str">
        <f>"0,7214"</f>
        <v>0,7214</v>
      </c>
      <c r="F30" s="14" t="s">
        <v>14</v>
      </c>
      <c r="G30" s="14" t="s">
        <v>15</v>
      </c>
      <c r="H30" s="16" t="s">
        <v>664</v>
      </c>
      <c r="I30" s="15" t="s">
        <v>400</v>
      </c>
      <c r="J30" s="16" t="s">
        <v>400</v>
      </c>
      <c r="K30" s="15"/>
      <c r="L30" s="16" t="s">
        <v>74</v>
      </c>
      <c r="M30" s="16" t="s">
        <v>175</v>
      </c>
      <c r="N30" s="15" t="s">
        <v>179</v>
      </c>
      <c r="O30" s="15"/>
      <c r="P30" s="16" t="s">
        <v>467</v>
      </c>
      <c r="Q30" s="15" t="s">
        <v>290</v>
      </c>
      <c r="R30" s="15" t="s">
        <v>290</v>
      </c>
      <c r="S30" s="15"/>
      <c r="T30" s="14" t="str">
        <f>"425,0"</f>
        <v>425,0</v>
      </c>
      <c r="U30" s="16" t="str">
        <f>"306,5950"</f>
        <v>306,5950</v>
      </c>
      <c r="V30" s="14" t="s">
        <v>62</v>
      </c>
    </row>
    <row r="32" spans="1:22" ht="15" x14ac:dyDescent="0.2">
      <c r="A32" s="32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9" t="s">
        <v>1042</v>
      </c>
      <c r="B33" s="9" t="s">
        <v>1443</v>
      </c>
      <c r="C33" s="9" t="s">
        <v>1043</v>
      </c>
      <c r="D33" s="9" t="s">
        <v>1044</v>
      </c>
      <c r="E33" s="9" t="str">
        <f>"0,6849"</f>
        <v>0,6849</v>
      </c>
      <c r="F33" s="9" t="s">
        <v>65</v>
      </c>
      <c r="G33" s="9" t="s">
        <v>66</v>
      </c>
      <c r="H33" s="10" t="s">
        <v>255</v>
      </c>
      <c r="I33" s="25" t="s">
        <v>279</v>
      </c>
      <c r="J33" s="10" t="s">
        <v>279</v>
      </c>
      <c r="K33" s="25"/>
      <c r="L33" s="10" t="s">
        <v>356</v>
      </c>
      <c r="M33" s="10" t="s">
        <v>664</v>
      </c>
      <c r="N33" s="25" t="s">
        <v>665</v>
      </c>
      <c r="O33" s="25"/>
      <c r="P33" s="10" t="s">
        <v>412</v>
      </c>
      <c r="Q33" s="10" t="s">
        <v>413</v>
      </c>
      <c r="R33" s="10" t="s">
        <v>535</v>
      </c>
      <c r="S33" s="25"/>
      <c r="T33" s="9" t="str">
        <f>"565,0"</f>
        <v>565,0</v>
      </c>
      <c r="U33" s="10" t="str">
        <f>"386,9685"</f>
        <v>386,9685</v>
      </c>
      <c r="V33" s="9" t="s">
        <v>1031</v>
      </c>
    </row>
    <row r="34" spans="1:22" x14ac:dyDescent="0.2">
      <c r="A34" s="11" t="s">
        <v>1045</v>
      </c>
      <c r="B34" s="11" t="s">
        <v>1438</v>
      </c>
      <c r="C34" s="11" t="s">
        <v>1046</v>
      </c>
      <c r="D34" s="11" t="s">
        <v>360</v>
      </c>
      <c r="E34" s="11" t="str">
        <f>"0,6795"</f>
        <v>0,6795</v>
      </c>
      <c r="F34" s="11" t="s">
        <v>14</v>
      </c>
      <c r="G34" s="11" t="s">
        <v>15</v>
      </c>
      <c r="H34" s="12" t="s">
        <v>304</v>
      </c>
      <c r="I34" s="13" t="s">
        <v>304</v>
      </c>
      <c r="J34" s="13" t="s">
        <v>183</v>
      </c>
      <c r="K34" s="12"/>
      <c r="L34" s="13" t="s">
        <v>79</v>
      </c>
      <c r="M34" s="13" t="s">
        <v>175</v>
      </c>
      <c r="N34" s="13" t="s">
        <v>179</v>
      </c>
      <c r="O34" s="12"/>
      <c r="P34" s="13" t="s">
        <v>304</v>
      </c>
      <c r="Q34" s="13" t="s">
        <v>356</v>
      </c>
      <c r="R34" s="12" t="s">
        <v>265</v>
      </c>
      <c r="S34" s="12"/>
      <c r="T34" s="11" t="str">
        <f>"377,5"</f>
        <v>377,5</v>
      </c>
      <c r="U34" s="13" t="str">
        <f>"256,5112"</f>
        <v>256,5112</v>
      </c>
      <c r="V34" s="11" t="s">
        <v>1047</v>
      </c>
    </row>
    <row r="35" spans="1:22" x14ac:dyDescent="0.2">
      <c r="A35" s="11" t="s">
        <v>1048</v>
      </c>
      <c r="B35" s="11" t="s">
        <v>1439</v>
      </c>
      <c r="C35" s="11" t="s">
        <v>1049</v>
      </c>
      <c r="D35" s="11" t="s">
        <v>1050</v>
      </c>
      <c r="E35" s="11" t="str">
        <f>"0,6922"</f>
        <v>0,6922</v>
      </c>
      <c r="F35" s="11" t="s">
        <v>14</v>
      </c>
      <c r="G35" s="11" t="s">
        <v>512</v>
      </c>
      <c r="H35" s="13" t="s">
        <v>68</v>
      </c>
      <c r="I35" s="13" t="s">
        <v>114</v>
      </c>
      <c r="J35" s="13" t="s">
        <v>83</v>
      </c>
      <c r="K35" s="12"/>
      <c r="L35" s="13" t="s">
        <v>49</v>
      </c>
      <c r="M35" s="13" t="s">
        <v>231</v>
      </c>
      <c r="N35" s="12" t="s">
        <v>594</v>
      </c>
      <c r="O35" s="12"/>
      <c r="P35" s="13" t="s">
        <v>313</v>
      </c>
      <c r="Q35" s="13" t="s">
        <v>88</v>
      </c>
      <c r="R35" s="13" t="s">
        <v>183</v>
      </c>
      <c r="S35" s="12"/>
      <c r="T35" s="11" t="str">
        <f>"292,5"</f>
        <v>292,5</v>
      </c>
      <c r="U35" s="13" t="str">
        <f>"202,4685"</f>
        <v>202,4685</v>
      </c>
      <c r="V35" s="11" t="s">
        <v>513</v>
      </c>
    </row>
    <row r="36" spans="1:22" x14ac:dyDescent="0.2">
      <c r="A36" s="11" t="s">
        <v>1051</v>
      </c>
      <c r="B36" s="11" t="s">
        <v>1443</v>
      </c>
      <c r="C36" s="11" t="s">
        <v>1052</v>
      </c>
      <c r="D36" s="11" t="s">
        <v>461</v>
      </c>
      <c r="E36" s="11" t="str">
        <f>"0,6714"</f>
        <v>0,6714</v>
      </c>
      <c r="F36" s="11" t="s">
        <v>65</v>
      </c>
      <c r="G36" s="11" t="s">
        <v>877</v>
      </c>
      <c r="H36" s="13" t="s">
        <v>270</v>
      </c>
      <c r="I36" s="12" t="s">
        <v>280</v>
      </c>
      <c r="J36" s="13" t="s">
        <v>280</v>
      </c>
      <c r="K36" s="12"/>
      <c r="L36" s="13" t="s">
        <v>664</v>
      </c>
      <c r="M36" s="13" t="s">
        <v>264</v>
      </c>
      <c r="N36" s="12" t="s">
        <v>426</v>
      </c>
      <c r="O36" s="12"/>
      <c r="P36" s="13" t="s">
        <v>508</v>
      </c>
      <c r="Q36" s="12" t="s">
        <v>395</v>
      </c>
      <c r="R36" s="12" t="s">
        <v>395</v>
      </c>
      <c r="S36" s="12"/>
      <c r="T36" s="11" t="str">
        <f>"600,0"</f>
        <v>600,0</v>
      </c>
      <c r="U36" s="13" t="str">
        <f>"402,8400"</f>
        <v>402,8400</v>
      </c>
      <c r="V36" s="11" t="s">
        <v>62</v>
      </c>
    </row>
    <row r="37" spans="1:22" x14ac:dyDescent="0.2">
      <c r="A37" s="11" t="s">
        <v>1053</v>
      </c>
      <c r="B37" s="11" t="s">
        <v>1442</v>
      </c>
      <c r="C37" s="11" t="s">
        <v>1054</v>
      </c>
      <c r="D37" s="11" t="s">
        <v>1055</v>
      </c>
      <c r="E37" s="11" t="str">
        <f>"0,6769"</f>
        <v>0,6769</v>
      </c>
      <c r="F37" s="11" t="s">
        <v>14</v>
      </c>
      <c r="G37" s="11" t="s">
        <v>512</v>
      </c>
      <c r="H37" s="13" t="s">
        <v>264</v>
      </c>
      <c r="I37" s="12" t="s">
        <v>241</v>
      </c>
      <c r="J37" s="13" t="s">
        <v>242</v>
      </c>
      <c r="K37" s="12"/>
      <c r="L37" s="13" t="s">
        <v>355</v>
      </c>
      <c r="M37" s="13" t="s">
        <v>664</v>
      </c>
      <c r="N37" s="13" t="s">
        <v>264</v>
      </c>
      <c r="O37" s="12"/>
      <c r="P37" s="13" t="s">
        <v>400</v>
      </c>
      <c r="Q37" s="13" t="s">
        <v>242</v>
      </c>
      <c r="R37" s="13" t="s">
        <v>255</v>
      </c>
      <c r="S37" s="12"/>
      <c r="T37" s="11" t="str">
        <f>"510,0"</f>
        <v>510,0</v>
      </c>
      <c r="U37" s="13" t="str">
        <f>"345,2190"</f>
        <v>345,2190</v>
      </c>
      <c r="V37" s="11" t="s">
        <v>62</v>
      </c>
    </row>
    <row r="38" spans="1:22" x14ac:dyDescent="0.2">
      <c r="A38" s="11" t="s">
        <v>1056</v>
      </c>
      <c r="B38" s="11" t="s">
        <v>1442</v>
      </c>
      <c r="C38" s="11" t="s">
        <v>1057</v>
      </c>
      <c r="D38" s="11" t="s">
        <v>1058</v>
      </c>
      <c r="E38" s="11" t="str">
        <f>"0,6704"</f>
        <v>0,6704</v>
      </c>
      <c r="F38" s="27" t="s">
        <v>14</v>
      </c>
      <c r="G38" s="11" t="s">
        <v>1059</v>
      </c>
      <c r="H38" s="13" t="s">
        <v>241</v>
      </c>
      <c r="I38" s="13" t="s">
        <v>382</v>
      </c>
      <c r="J38" s="13" t="s">
        <v>270</v>
      </c>
      <c r="K38" s="12"/>
      <c r="L38" s="13" t="s">
        <v>83</v>
      </c>
      <c r="M38" s="13" t="s">
        <v>94</v>
      </c>
      <c r="N38" s="12" t="s">
        <v>323</v>
      </c>
      <c r="O38" s="12"/>
      <c r="P38" s="13" t="s">
        <v>270</v>
      </c>
      <c r="Q38" s="12" t="s">
        <v>422</v>
      </c>
      <c r="R38" s="13" t="s">
        <v>422</v>
      </c>
      <c r="S38" s="12"/>
      <c r="T38" s="11" t="str">
        <f>"507,5"</f>
        <v>507,5</v>
      </c>
      <c r="U38" s="13" t="str">
        <f>"340,2280"</f>
        <v>340,2280</v>
      </c>
      <c r="V38" s="11" t="s">
        <v>1060</v>
      </c>
    </row>
    <row r="39" spans="1:22" x14ac:dyDescent="0.2">
      <c r="A39" s="14" t="s">
        <v>1061</v>
      </c>
      <c r="B39" s="14" t="s">
        <v>1443</v>
      </c>
      <c r="C39" s="14" t="s">
        <v>1062</v>
      </c>
      <c r="D39" s="14" t="s">
        <v>453</v>
      </c>
      <c r="E39" s="14" t="str">
        <f>"0,6719"</f>
        <v>0,6719</v>
      </c>
      <c r="F39" s="14" t="s">
        <v>65</v>
      </c>
      <c r="G39" s="14" t="s">
        <v>66</v>
      </c>
      <c r="H39" s="16" t="s">
        <v>242</v>
      </c>
      <c r="I39" s="16" t="s">
        <v>255</v>
      </c>
      <c r="J39" s="16" t="s">
        <v>449</v>
      </c>
      <c r="K39" s="15"/>
      <c r="L39" s="15" t="s">
        <v>308</v>
      </c>
      <c r="M39" s="15" t="s">
        <v>308</v>
      </c>
      <c r="N39" s="16" t="s">
        <v>308</v>
      </c>
      <c r="O39" s="15"/>
      <c r="P39" s="16" t="s">
        <v>422</v>
      </c>
      <c r="Q39" s="16" t="s">
        <v>388</v>
      </c>
      <c r="R39" s="16" t="s">
        <v>462</v>
      </c>
      <c r="S39" s="15"/>
      <c r="T39" s="14" t="str">
        <f>"517,5"</f>
        <v>517,5</v>
      </c>
      <c r="U39" s="16" t="str">
        <f>"366,8322"</f>
        <v>366,8322</v>
      </c>
      <c r="V39" s="14" t="s">
        <v>62</v>
      </c>
    </row>
    <row r="41" spans="1:22" ht="15" x14ac:dyDescent="0.2">
      <c r="A41" s="32" t="s">
        <v>50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2" x14ac:dyDescent="0.2">
      <c r="A42" s="6" t="s">
        <v>1063</v>
      </c>
      <c r="B42" s="6" t="s">
        <v>1443</v>
      </c>
      <c r="C42" s="6" t="s">
        <v>1064</v>
      </c>
      <c r="D42" s="6" t="s">
        <v>137</v>
      </c>
      <c r="E42" s="6" t="str">
        <f>"0,6424"</f>
        <v>0,6424</v>
      </c>
      <c r="F42" s="6" t="s">
        <v>721</v>
      </c>
      <c r="G42" s="6" t="s">
        <v>1065</v>
      </c>
      <c r="H42" s="8" t="s">
        <v>270</v>
      </c>
      <c r="I42" s="8" t="s">
        <v>388</v>
      </c>
      <c r="J42" s="7" t="s">
        <v>442</v>
      </c>
      <c r="K42" s="7"/>
      <c r="L42" s="8" t="s">
        <v>264</v>
      </c>
      <c r="M42" s="7" t="s">
        <v>400</v>
      </c>
      <c r="N42" s="7"/>
      <c r="O42" s="7"/>
      <c r="P42" s="8" t="s">
        <v>388</v>
      </c>
      <c r="Q42" s="8" t="s">
        <v>442</v>
      </c>
      <c r="R42" s="8" t="s">
        <v>394</v>
      </c>
      <c r="S42" s="7"/>
      <c r="T42" s="6" t="str">
        <f>"600,0"</f>
        <v>600,0</v>
      </c>
      <c r="U42" s="8" t="str">
        <f>"385,4400"</f>
        <v>385,4400</v>
      </c>
      <c r="V42" s="6" t="s">
        <v>62</v>
      </c>
    </row>
    <row r="44" spans="1:22" ht="15" x14ac:dyDescent="0.2">
      <c r="A44" s="32" t="s">
        <v>70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x14ac:dyDescent="0.2">
      <c r="A45" s="9" t="s">
        <v>1066</v>
      </c>
      <c r="B45" s="9" t="s">
        <v>1441</v>
      </c>
      <c r="C45" s="9" t="s">
        <v>1067</v>
      </c>
      <c r="D45" s="9" t="s">
        <v>1068</v>
      </c>
      <c r="E45" s="9" t="str">
        <f>"0,6177"</f>
        <v>0,6177</v>
      </c>
      <c r="F45" s="9" t="s">
        <v>14</v>
      </c>
      <c r="G45" s="9" t="s">
        <v>370</v>
      </c>
      <c r="H45" s="10" t="s">
        <v>400</v>
      </c>
      <c r="I45" s="10" t="s">
        <v>774</v>
      </c>
      <c r="J45" s="25" t="s">
        <v>279</v>
      </c>
      <c r="K45" s="25"/>
      <c r="L45" s="10" t="s">
        <v>350</v>
      </c>
      <c r="M45" s="10" t="s">
        <v>329</v>
      </c>
      <c r="N45" s="25" t="s">
        <v>183</v>
      </c>
      <c r="O45" s="25"/>
      <c r="P45" s="10" t="s">
        <v>270</v>
      </c>
      <c r="Q45" s="25" t="s">
        <v>280</v>
      </c>
      <c r="R45" s="25"/>
      <c r="S45" s="25"/>
      <c r="T45" s="9" t="str">
        <f>"495,0"</f>
        <v>495,0</v>
      </c>
      <c r="U45" s="10" t="str">
        <f>"305,7615"</f>
        <v>305,7615</v>
      </c>
      <c r="V45" s="9"/>
    </row>
    <row r="46" spans="1:22" x14ac:dyDescent="0.2">
      <c r="A46" s="11" t="s">
        <v>1069</v>
      </c>
      <c r="B46" s="11" t="s">
        <v>1443</v>
      </c>
      <c r="C46" s="11" t="s">
        <v>1070</v>
      </c>
      <c r="D46" s="11" t="s">
        <v>1071</v>
      </c>
      <c r="E46" s="11" t="str">
        <f>"0,6136"</f>
        <v>0,6136</v>
      </c>
      <c r="F46" s="11" t="s">
        <v>721</v>
      </c>
      <c r="G46" s="11" t="s">
        <v>1065</v>
      </c>
      <c r="H46" s="13" t="s">
        <v>412</v>
      </c>
      <c r="I46" s="13" t="s">
        <v>413</v>
      </c>
      <c r="J46" s="13" t="s">
        <v>442</v>
      </c>
      <c r="K46" s="12"/>
      <c r="L46" s="13" t="s">
        <v>264</v>
      </c>
      <c r="M46" s="13" t="s">
        <v>426</v>
      </c>
      <c r="N46" s="13" t="s">
        <v>400</v>
      </c>
      <c r="O46" s="12"/>
      <c r="P46" s="13" t="s">
        <v>508</v>
      </c>
      <c r="Q46" s="13" t="s">
        <v>1072</v>
      </c>
      <c r="R46" s="12" t="s">
        <v>543</v>
      </c>
      <c r="S46" s="12"/>
      <c r="T46" s="11" t="str">
        <f>"637,5"</f>
        <v>637,5</v>
      </c>
      <c r="U46" s="13" t="str">
        <f>"391,1700"</f>
        <v>391,1700</v>
      </c>
      <c r="V46" s="11" t="s">
        <v>1073</v>
      </c>
    </row>
    <row r="47" spans="1:22" x14ac:dyDescent="0.2">
      <c r="A47" s="11" t="s">
        <v>1074</v>
      </c>
      <c r="B47" s="11" t="s">
        <v>1437</v>
      </c>
      <c r="C47" s="11" t="s">
        <v>1075</v>
      </c>
      <c r="D47" s="11" t="s">
        <v>1076</v>
      </c>
      <c r="E47" s="11" t="str">
        <f>"0,6194"</f>
        <v>0,6194</v>
      </c>
      <c r="F47" s="11" t="s">
        <v>65</v>
      </c>
      <c r="G47" s="11" t="s">
        <v>66</v>
      </c>
      <c r="H47" s="13" t="s">
        <v>264</v>
      </c>
      <c r="I47" s="13" t="s">
        <v>269</v>
      </c>
      <c r="J47" s="13" t="s">
        <v>241</v>
      </c>
      <c r="K47" s="12"/>
      <c r="L47" s="13" t="s">
        <v>94</v>
      </c>
      <c r="M47" s="13" t="s">
        <v>323</v>
      </c>
      <c r="N47" s="12" t="s">
        <v>304</v>
      </c>
      <c r="O47" s="12"/>
      <c r="P47" s="13" t="s">
        <v>382</v>
      </c>
      <c r="Q47" s="12" t="s">
        <v>280</v>
      </c>
      <c r="R47" s="13" t="s">
        <v>388</v>
      </c>
      <c r="S47" s="12"/>
      <c r="T47" s="11" t="str">
        <f>"500,0"</f>
        <v>500,0</v>
      </c>
      <c r="U47" s="13" t="str">
        <f>"309,7000"</f>
        <v>309,7000</v>
      </c>
      <c r="V47" s="11" t="s">
        <v>334</v>
      </c>
    </row>
    <row r="48" spans="1:22" x14ac:dyDescent="0.2">
      <c r="A48" s="14" t="s">
        <v>1077</v>
      </c>
      <c r="B48" s="14" t="s">
        <v>1436</v>
      </c>
      <c r="C48" s="14" t="s">
        <v>1078</v>
      </c>
      <c r="D48" s="14" t="s">
        <v>1079</v>
      </c>
      <c r="E48" s="14" t="str">
        <f>"0,6166"</f>
        <v>0,6166</v>
      </c>
      <c r="F48" s="14" t="s">
        <v>65</v>
      </c>
      <c r="G48" s="14" t="s">
        <v>66</v>
      </c>
      <c r="H48" s="15" t="s">
        <v>183</v>
      </c>
      <c r="I48" s="15" t="s">
        <v>426</v>
      </c>
      <c r="J48" s="15" t="s">
        <v>426</v>
      </c>
      <c r="K48" s="15"/>
      <c r="L48" s="15" t="s">
        <v>114</v>
      </c>
      <c r="M48" s="15"/>
      <c r="N48" s="15"/>
      <c r="O48" s="15"/>
      <c r="P48" s="15" t="s">
        <v>264</v>
      </c>
      <c r="Q48" s="15"/>
      <c r="R48" s="15"/>
      <c r="S48" s="15"/>
      <c r="T48" s="14" t="str">
        <f>"0,0"</f>
        <v>0,0</v>
      </c>
      <c r="U48" s="16" t="str">
        <f>"0,0000"</f>
        <v>0,0000</v>
      </c>
      <c r="V48" s="14"/>
    </row>
    <row r="50" spans="1:22" ht="15" x14ac:dyDescent="0.2">
      <c r="A50" s="32" t="s">
        <v>81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x14ac:dyDescent="0.2">
      <c r="A51" s="9" t="s">
        <v>1080</v>
      </c>
      <c r="B51" s="9" t="s">
        <v>1442</v>
      </c>
      <c r="C51" s="9" t="s">
        <v>1081</v>
      </c>
      <c r="D51" s="9" t="s">
        <v>1082</v>
      </c>
      <c r="E51" s="9" t="str">
        <f>"0,6050"</f>
        <v>0,6050</v>
      </c>
      <c r="F51" s="9" t="s">
        <v>721</v>
      </c>
      <c r="G51" s="9" t="s">
        <v>1065</v>
      </c>
      <c r="H51" s="10" t="s">
        <v>382</v>
      </c>
      <c r="I51" s="10" t="s">
        <v>280</v>
      </c>
      <c r="J51" s="10" t="s">
        <v>412</v>
      </c>
      <c r="K51" s="25"/>
      <c r="L51" s="10" t="s">
        <v>241</v>
      </c>
      <c r="M51" s="10" t="s">
        <v>242</v>
      </c>
      <c r="N51" s="10" t="s">
        <v>382</v>
      </c>
      <c r="O51" s="25"/>
      <c r="P51" s="10" t="s">
        <v>388</v>
      </c>
      <c r="Q51" s="10" t="s">
        <v>442</v>
      </c>
      <c r="R51" s="10" t="s">
        <v>536</v>
      </c>
      <c r="S51" s="25"/>
      <c r="T51" s="9" t="str">
        <f>"620,0"</f>
        <v>620,0</v>
      </c>
      <c r="U51" s="10" t="str">
        <f>"375,1000"</f>
        <v>375,1000</v>
      </c>
      <c r="V51" s="9" t="s">
        <v>62</v>
      </c>
    </row>
    <row r="52" spans="1:22" x14ac:dyDescent="0.2">
      <c r="A52" s="14" t="s">
        <v>1083</v>
      </c>
      <c r="B52" s="14" t="s">
        <v>1443</v>
      </c>
      <c r="C52" s="14" t="s">
        <v>1084</v>
      </c>
      <c r="D52" s="14" t="s">
        <v>1085</v>
      </c>
      <c r="E52" s="14" t="str">
        <f>"0,6057"</f>
        <v>0,6057</v>
      </c>
      <c r="F52" s="14" t="s">
        <v>65</v>
      </c>
      <c r="G52" s="14" t="s">
        <v>66</v>
      </c>
      <c r="H52" s="16" t="s">
        <v>241</v>
      </c>
      <c r="I52" s="16" t="s">
        <v>382</v>
      </c>
      <c r="J52" s="15" t="s">
        <v>270</v>
      </c>
      <c r="K52" s="15"/>
      <c r="L52" s="16" t="s">
        <v>114</v>
      </c>
      <c r="M52" s="16" t="s">
        <v>83</v>
      </c>
      <c r="N52" s="15" t="s">
        <v>94</v>
      </c>
      <c r="O52" s="15"/>
      <c r="P52" s="16" t="s">
        <v>519</v>
      </c>
      <c r="Q52" s="16" t="s">
        <v>502</v>
      </c>
      <c r="R52" s="16" t="s">
        <v>405</v>
      </c>
      <c r="S52" s="15"/>
      <c r="T52" s="14" t="str">
        <f>"565,0"</f>
        <v>565,0</v>
      </c>
      <c r="U52" s="16" t="str">
        <f>"458,5755"</f>
        <v>458,5755</v>
      </c>
      <c r="V52" s="14" t="s">
        <v>1086</v>
      </c>
    </row>
    <row r="54" spans="1:22" ht="15" x14ac:dyDescent="0.2">
      <c r="A54" s="32" t="s">
        <v>84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x14ac:dyDescent="0.2">
      <c r="A55" s="9" t="s">
        <v>1087</v>
      </c>
      <c r="B55" s="9" t="s">
        <v>1438</v>
      </c>
      <c r="C55" s="9" t="s">
        <v>1088</v>
      </c>
      <c r="D55" s="9" t="s">
        <v>546</v>
      </c>
      <c r="E55" s="9" t="str">
        <f>"0,5788"</f>
        <v>0,5788</v>
      </c>
      <c r="F55" s="9" t="s">
        <v>65</v>
      </c>
      <c r="G55" s="9" t="s">
        <v>66</v>
      </c>
      <c r="H55" s="25" t="s">
        <v>400</v>
      </c>
      <c r="I55" s="25" t="s">
        <v>241</v>
      </c>
      <c r="J55" s="10" t="s">
        <v>241</v>
      </c>
      <c r="K55" s="25"/>
      <c r="L55" s="10" t="s">
        <v>68</v>
      </c>
      <c r="M55" s="10" t="s">
        <v>114</v>
      </c>
      <c r="N55" s="25" t="s">
        <v>83</v>
      </c>
      <c r="O55" s="25"/>
      <c r="P55" s="10" t="s">
        <v>356</v>
      </c>
      <c r="Q55" s="10" t="s">
        <v>264</v>
      </c>
      <c r="R55" s="10" t="s">
        <v>400</v>
      </c>
      <c r="S55" s="25"/>
      <c r="T55" s="9" t="str">
        <f>"430,0"</f>
        <v>430,0</v>
      </c>
      <c r="U55" s="10" t="str">
        <f>"248,8840"</f>
        <v>248,8840</v>
      </c>
      <c r="V55" s="9" t="s">
        <v>1089</v>
      </c>
    </row>
    <row r="56" spans="1:22" x14ac:dyDescent="0.2">
      <c r="A56" s="14" t="s">
        <v>1090</v>
      </c>
      <c r="B56" s="14" t="s">
        <v>1443</v>
      </c>
      <c r="C56" s="14" t="s">
        <v>1091</v>
      </c>
      <c r="D56" s="14" t="s">
        <v>1092</v>
      </c>
      <c r="E56" s="14" t="str">
        <f>"0,5754"</f>
        <v>0,5754</v>
      </c>
      <c r="F56" s="14" t="s">
        <v>65</v>
      </c>
      <c r="G56" s="14" t="s">
        <v>66</v>
      </c>
      <c r="H56" s="16" t="s">
        <v>472</v>
      </c>
      <c r="I56" s="16" t="s">
        <v>394</v>
      </c>
      <c r="J56" s="16" t="s">
        <v>576</v>
      </c>
      <c r="K56" s="15"/>
      <c r="L56" s="16" t="s">
        <v>269</v>
      </c>
      <c r="M56" s="16" t="s">
        <v>241</v>
      </c>
      <c r="N56" s="16" t="s">
        <v>290</v>
      </c>
      <c r="O56" s="15"/>
      <c r="P56" s="16" t="s">
        <v>508</v>
      </c>
      <c r="Q56" s="16" t="s">
        <v>502</v>
      </c>
      <c r="R56" s="16" t="s">
        <v>1093</v>
      </c>
      <c r="S56" s="15"/>
      <c r="T56" s="14" t="str">
        <f>"700,0"</f>
        <v>700,0</v>
      </c>
      <c r="U56" s="16" t="str">
        <f>"402,7800"</f>
        <v>402,7800</v>
      </c>
      <c r="V56" s="14" t="s">
        <v>770</v>
      </c>
    </row>
    <row r="58" spans="1:22" ht="15" x14ac:dyDescent="0.2">
      <c r="F58" s="17" t="s">
        <v>96</v>
      </c>
    </row>
    <row r="59" spans="1:22" ht="15" x14ac:dyDescent="0.2">
      <c r="F59" s="17" t="s">
        <v>97</v>
      </c>
    </row>
    <row r="60" spans="1:22" ht="15" x14ac:dyDescent="0.2">
      <c r="F60" s="17" t="s">
        <v>98</v>
      </c>
    </row>
    <row r="61" spans="1:22" ht="15" x14ac:dyDescent="0.2">
      <c r="F61" s="17" t="s">
        <v>1094</v>
      </c>
    </row>
    <row r="62" spans="1:22" ht="15" x14ac:dyDescent="0.2">
      <c r="F62" s="17" t="s">
        <v>1094</v>
      </c>
    </row>
    <row r="63" spans="1:22" ht="15" x14ac:dyDescent="0.2">
      <c r="F63" s="17" t="s">
        <v>1095</v>
      </c>
    </row>
    <row r="64" spans="1:22" ht="15" x14ac:dyDescent="0.2">
      <c r="F64" s="17"/>
    </row>
    <row r="65" spans="1:22" x14ac:dyDescent="0.2">
      <c r="G65" s="3"/>
      <c r="T65" s="3"/>
      <c r="V65" s="3"/>
    </row>
    <row r="66" spans="1:22" ht="18" x14ac:dyDescent="0.25">
      <c r="A66" s="18" t="s">
        <v>99</v>
      </c>
      <c r="B66" s="18"/>
      <c r="C66" s="18"/>
      <c r="G66" s="3"/>
      <c r="T66" s="3"/>
      <c r="V66" s="3"/>
    </row>
    <row r="67" spans="1:22" ht="15" x14ac:dyDescent="0.2">
      <c r="A67" s="19" t="s">
        <v>547</v>
      </c>
      <c r="B67" s="19"/>
      <c r="C67" s="19"/>
      <c r="G67" s="3"/>
      <c r="T67" s="3"/>
      <c r="V67" s="3"/>
    </row>
    <row r="68" spans="1:22" ht="14.25" x14ac:dyDescent="0.2">
      <c r="A68" s="21"/>
      <c r="B68" s="21"/>
      <c r="C68" s="22" t="s">
        <v>107</v>
      </c>
      <c r="G68" s="3"/>
      <c r="T68" s="3"/>
      <c r="V68" s="3"/>
    </row>
    <row r="69" spans="1:22" ht="15" x14ac:dyDescent="0.2">
      <c r="A69" s="23" t="s">
        <v>101</v>
      </c>
      <c r="B69" s="23"/>
      <c r="C69" s="23" t="s">
        <v>102</v>
      </c>
      <c r="D69" s="23" t="s">
        <v>103</v>
      </c>
      <c r="E69" s="23" t="s">
        <v>104</v>
      </c>
      <c r="F69" s="23" t="s">
        <v>291</v>
      </c>
      <c r="G69" s="3"/>
      <c r="T69" s="3"/>
      <c r="V69" s="3"/>
    </row>
    <row r="70" spans="1:22" x14ac:dyDescent="0.2">
      <c r="A70" s="20" t="s">
        <v>1096</v>
      </c>
      <c r="B70" s="20"/>
      <c r="C70" s="4" t="s">
        <v>107</v>
      </c>
      <c r="D70" s="4" t="s">
        <v>16</v>
      </c>
      <c r="E70" s="4" t="s">
        <v>1097</v>
      </c>
      <c r="F70" s="24" t="s">
        <v>1098</v>
      </c>
      <c r="G70" s="3"/>
      <c r="T70" s="3"/>
      <c r="V70" s="3"/>
    </row>
    <row r="71" spans="1:22" x14ac:dyDescent="0.2">
      <c r="G71" s="3"/>
      <c r="T71" s="3"/>
      <c r="V71" s="3"/>
    </row>
    <row r="72" spans="1:22" x14ac:dyDescent="0.2">
      <c r="G72" s="3"/>
      <c r="T72" s="3"/>
      <c r="V72" s="3"/>
    </row>
    <row r="73" spans="1:22" ht="15" x14ac:dyDescent="0.2">
      <c r="A73" s="19" t="s">
        <v>100</v>
      </c>
      <c r="B73" s="19"/>
      <c r="C73" s="19"/>
      <c r="G73" s="3"/>
      <c r="T73" s="3"/>
      <c r="V73" s="3"/>
    </row>
    <row r="74" spans="1:22" ht="14.25" x14ac:dyDescent="0.2">
      <c r="A74" s="21"/>
      <c r="B74" s="21"/>
      <c r="C74" s="22" t="s">
        <v>107</v>
      </c>
      <c r="G74" s="3"/>
      <c r="T74" s="3"/>
      <c r="V74" s="3"/>
    </row>
    <row r="75" spans="1:22" ht="15" x14ac:dyDescent="0.2">
      <c r="A75" s="23" t="s">
        <v>101</v>
      </c>
      <c r="B75" s="23"/>
      <c r="C75" s="23" t="s">
        <v>102</v>
      </c>
      <c r="D75" s="23" t="s">
        <v>103</v>
      </c>
      <c r="E75" s="23" t="s">
        <v>104</v>
      </c>
      <c r="F75" s="23" t="s">
        <v>291</v>
      </c>
      <c r="G75" s="3"/>
      <c r="T75" s="3"/>
      <c r="V75" s="3"/>
    </row>
    <row r="76" spans="1:22" x14ac:dyDescent="0.2">
      <c r="A76" s="20" t="s">
        <v>1099</v>
      </c>
      <c r="B76" s="20"/>
      <c r="C76" s="4" t="s">
        <v>107</v>
      </c>
      <c r="D76" s="4" t="s">
        <v>41</v>
      </c>
      <c r="E76" s="4" t="s">
        <v>1100</v>
      </c>
      <c r="F76" s="24" t="s">
        <v>1101</v>
      </c>
      <c r="G76" s="3"/>
      <c r="T76" s="3"/>
      <c r="V76" s="3"/>
    </row>
    <row r="77" spans="1:22" x14ac:dyDescent="0.2">
      <c r="A77" s="20" t="s">
        <v>1102</v>
      </c>
      <c r="B77" s="20"/>
      <c r="C77" s="4" t="s">
        <v>107</v>
      </c>
      <c r="D77" s="4" t="s">
        <v>304</v>
      </c>
      <c r="E77" s="4" t="s">
        <v>1103</v>
      </c>
      <c r="F77" s="24" t="s">
        <v>1104</v>
      </c>
      <c r="G77" s="3"/>
      <c r="T77" s="3"/>
      <c r="V77" s="3"/>
    </row>
    <row r="78" spans="1:22" x14ac:dyDescent="0.2">
      <c r="A78" s="20" t="s">
        <v>1105</v>
      </c>
      <c r="B78" s="20"/>
      <c r="C78" s="4" t="s">
        <v>107</v>
      </c>
      <c r="D78" s="4" t="s">
        <v>114</v>
      </c>
      <c r="E78" s="4" t="s">
        <v>1106</v>
      </c>
      <c r="F78" s="24" t="s">
        <v>1107</v>
      </c>
      <c r="G78" s="3"/>
      <c r="T78" s="3"/>
      <c r="V78" s="3"/>
    </row>
    <row r="79" spans="1:22" x14ac:dyDescent="0.2">
      <c r="G79" s="3"/>
      <c r="T79" s="3"/>
      <c r="V79" s="3"/>
    </row>
    <row r="80" spans="1:22" x14ac:dyDescent="0.2">
      <c r="G80" s="3"/>
      <c r="T80" s="3"/>
      <c r="V80" s="3"/>
    </row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26">
    <mergeCell ref="A54:V54"/>
    <mergeCell ref="A50:V50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5:U5"/>
    <mergeCell ref="A25:V25"/>
    <mergeCell ref="A28:V28"/>
    <mergeCell ref="A32:V32"/>
    <mergeCell ref="A41:V41"/>
    <mergeCell ref="A44:V44"/>
    <mergeCell ref="B3:B4"/>
    <mergeCell ref="A8:V8"/>
    <mergeCell ref="A14:V14"/>
    <mergeCell ref="A18:V18"/>
    <mergeCell ref="A21:V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topLeftCell="A21" zoomScale="80" zoomScaleNormal="80" workbookViewId="0">
      <selection activeCell="A28" sqref="A28"/>
    </sheetView>
  </sheetViews>
  <sheetFormatPr defaultRowHeight="12.75" x14ac:dyDescent="0.2"/>
  <cols>
    <col min="1" max="1" width="26" style="4" bestFit="1" customWidth="1"/>
    <col min="2" max="2" width="12.710937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3.5703125" style="4" bestFit="1" customWidth="1"/>
    <col min="8" max="10" width="5.5703125" style="3" bestFit="1" customWidth="1"/>
    <col min="11" max="11" width="4.85546875" style="3" bestFit="1" customWidth="1"/>
    <col min="12" max="19" width="5.5703125" style="3" bestFit="1" customWidth="1"/>
    <col min="20" max="20" width="7.85546875" style="4" bestFit="1" customWidth="1"/>
    <col min="21" max="21" width="8.5703125" style="3" bestFit="1" customWidth="1"/>
    <col min="22" max="22" width="26.85546875" style="4" bestFit="1" customWidth="1"/>
    <col min="23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3.5703125" style="3" bestFit="1" customWidth="1"/>
    <col min="264" max="266" width="5.5703125" style="3" bestFit="1" customWidth="1"/>
    <col min="267" max="267" width="4.85546875" style="3" bestFit="1" customWidth="1"/>
    <col min="268" max="275" width="5.5703125" style="3" bestFit="1" customWidth="1"/>
    <col min="276" max="276" width="7.85546875" style="3" bestFit="1" customWidth="1"/>
    <col min="277" max="277" width="8.5703125" style="3" bestFit="1" customWidth="1"/>
    <col min="278" max="278" width="26.85546875" style="3" bestFit="1" customWidth="1"/>
    <col min="279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3.5703125" style="3" bestFit="1" customWidth="1"/>
    <col min="520" max="522" width="5.5703125" style="3" bestFit="1" customWidth="1"/>
    <col min="523" max="523" width="4.85546875" style="3" bestFit="1" customWidth="1"/>
    <col min="524" max="531" width="5.5703125" style="3" bestFit="1" customWidth="1"/>
    <col min="532" max="532" width="7.85546875" style="3" bestFit="1" customWidth="1"/>
    <col min="533" max="533" width="8.5703125" style="3" bestFit="1" customWidth="1"/>
    <col min="534" max="534" width="26.85546875" style="3" bestFit="1" customWidth="1"/>
    <col min="535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3.5703125" style="3" bestFit="1" customWidth="1"/>
    <col min="776" max="778" width="5.5703125" style="3" bestFit="1" customWidth="1"/>
    <col min="779" max="779" width="4.85546875" style="3" bestFit="1" customWidth="1"/>
    <col min="780" max="787" width="5.5703125" style="3" bestFit="1" customWidth="1"/>
    <col min="788" max="788" width="7.85546875" style="3" bestFit="1" customWidth="1"/>
    <col min="789" max="789" width="8.5703125" style="3" bestFit="1" customWidth="1"/>
    <col min="790" max="790" width="26.85546875" style="3" bestFit="1" customWidth="1"/>
    <col min="791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3.5703125" style="3" bestFit="1" customWidth="1"/>
    <col min="1032" max="1034" width="5.5703125" style="3" bestFit="1" customWidth="1"/>
    <col min="1035" max="1035" width="4.85546875" style="3" bestFit="1" customWidth="1"/>
    <col min="1036" max="1043" width="5.5703125" style="3" bestFit="1" customWidth="1"/>
    <col min="1044" max="1044" width="7.85546875" style="3" bestFit="1" customWidth="1"/>
    <col min="1045" max="1045" width="8.5703125" style="3" bestFit="1" customWidth="1"/>
    <col min="1046" max="1046" width="26.85546875" style="3" bestFit="1" customWidth="1"/>
    <col min="1047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3.5703125" style="3" bestFit="1" customWidth="1"/>
    <col min="1288" max="1290" width="5.5703125" style="3" bestFit="1" customWidth="1"/>
    <col min="1291" max="1291" width="4.85546875" style="3" bestFit="1" customWidth="1"/>
    <col min="1292" max="1299" width="5.5703125" style="3" bestFit="1" customWidth="1"/>
    <col min="1300" max="1300" width="7.85546875" style="3" bestFit="1" customWidth="1"/>
    <col min="1301" max="1301" width="8.5703125" style="3" bestFit="1" customWidth="1"/>
    <col min="1302" max="1302" width="26.85546875" style="3" bestFit="1" customWidth="1"/>
    <col min="1303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3.5703125" style="3" bestFit="1" customWidth="1"/>
    <col min="1544" max="1546" width="5.5703125" style="3" bestFit="1" customWidth="1"/>
    <col min="1547" max="1547" width="4.85546875" style="3" bestFit="1" customWidth="1"/>
    <col min="1548" max="1555" width="5.5703125" style="3" bestFit="1" customWidth="1"/>
    <col min="1556" max="1556" width="7.85546875" style="3" bestFit="1" customWidth="1"/>
    <col min="1557" max="1557" width="8.5703125" style="3" bestFit="1" customWidth="1"/>
    <col min="1558" max="1558" width="26.85546875" style="3" bestFit="1" customWidth="1"/>
    <col min="1559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3.5703125" style="3" bestFit="1" customWidth="1"/>
    <col min="1800" max="1802" width="5.5703125" style="3" bestFit="1" customWidth="1"/>
    <col min="1803" max="1803" width="4.85546875" style="3" bestFit="1" customWidth="1"/>
    <col min="1804" max="1811" width="5.5703125" style="3" bestFit="1" customWidth="1"/>
    <col min="1812" max="1812" width="7.85546875" style="3" bestFit="1" customWidth="1"/>
    <col min="1813" max="1813" width="8.5703125" style="3" bestFit="1" customWidth="1"/>
    <col min="1814" max="1814" width="26.85546875" style="3" bestFit="1" customWidth="1"/>
    <col min="1815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3.5703125" style="3" bestFit="1" customWidth="1"/>
    <col min="2056" max="2058" width="5.5703125" style="3" bestFit="1" customWidth="1"/>
    <col min="2059" max="2059" width="4.85546875" style="3" bestFit="1" customWidth="1"/>
    <col min="2060" max="2067" width="5.5703125" style="3" bestFit="1" customWidth="1"/>
    <col min="2068" max="2068" width="7.85546875" style="3" bestFit="1" customWidth="1"/>
    <col min="2069" max="2069" width="8.5703125" style="3" bestFit="1" customWidth="1"/>
    <col min="2070" max="2070" width="26.85546875" style="3" bestFit="1" customWidth="1"/>
    <col min="2071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3.5703125" style="3" bestFit="1" customWidth="1"/>
    <col min="2312" max="2314" width="5.5703125" style="3" bestFit="1" customWidth="1"/>
    <col min="2315" max="2315" width="4.85546875" style="3" bestFit="1" customWidth="1"/>
    <col min="2316" max="2323" width="5.5703125" style="3" bestFit="1" customWidth="1"/>
    <col min="2324" max="2324" width="7.85546875" style="3" bestFit="1" customWidth="1"/>
    <col min="2325" max="2325" width="8.5703125" style="3" bestFit="1" customWidth="1"/>
    <col min="2326" max="2326" width="26.85546875" style="3" bestFit="1" customWidth="1"/>
    <col min="2327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3.5703125" style="3" bestFit="1" customWidth="1"/>
    <col min="2568" max="2570" width="5.5703125" style="3" bestFit="1" customWidth="1"/>
    <col min="2571" max="2571" width="4.85546875" style="3" bestFit="1" customWidth="1"/>
    <col min="2572" max="2579" width="5.5703125" style="3" bestFit="1" customWidth="1"/>
    <col min="2580" max="2580" width="7.85546875" style="3" bestFit="1" customWidth="1"/>
    <col min="2581" max="2581" width="8.5703125" style="3" bestFit="1" customWidth="1"/>
    <col min="2582" max="2582" width="26.85546875" style="3" bestFit="1" customWidth="1"/>
    <col min="2583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3.5703125" style="3" bestFit="1" customWidth="1"/>
    <col min="2824" max="2826" width="5.5703125" style="3" bestFit="1" customWidth="1"/>
    <col min="2827" max="2827" width="4.85546875" style="3" bestFit="1" customWidth="1"/>
    <col min="2828" max="2835" width="5.5703125" style="3" bestFit="1" customWidth="1"/>
    <col min="2836" max="2836" width="7.85546875" style="3" bestFit="1" customWidth="1"/>
    <col min="2837" max="2837" width="8.5703125" style="3" bestFit="1" customWidth="1"/>
    <col min="2838" max="2838" width="26.85546875" style="3" bestFit="1" customWidth="1"/>
    <col min="2839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3.5703125" style="3" bestFit="1" customWidth="1"/>
    <col min="3080" max="3082" width="5.5703125" style="3" bestFit="1" customWidth="1"/>
    <col min="3083" max="3083" width="4.85546875" style="3" bestFit="1" customWidth="1"/>
    <col min="3084" max="3091" width="5.5703125" style="3" bestFit="1" customWidth="1"/>
    <col min="3092" max="3092" width="7.85546875" style="3" bestFit="1" customWidth="1"/>
    <col min="3093" max="3093" width="8.5703125" style="3" bestFit="1" customWidth="1"/>
    <col min="3094" max="3094" width="26.85546875" style="3" bestFit="1" customWidth="1"/>
    <col min="3095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3.5703125" style="3" bestFit="1" customWidth="1"/>
    <col min="3336" max="3338" width="5.5703125" style="3" bestFit="1" customWidth="1"/>
    <col min="3339" max="3339" width="4.85546875" style="3" bestFit="1" customWidth="1"/>
    <col min="3340" max="3347" width="5.5703125" style="3" bestFit="1" customWidth="1"/>
    <col min="3348" max="3348" width="7.85546875" style="3" bestFit="1" customWidth="1"/>
    <col min="3349" max="3349" width="8.5703125" style="3" bestFit="1" customWidth="1"/>
    <col min="3350" max="3350" width="26.85546875" style="3" bestFit="1" customWidth="1"/>
    <col min="3351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3.5703125" style="3" bestFit="1" customWidth="1"/>
    <col min="3592" max="3594" width="5.5703125" style="3" bestFit="1" customWidth="1"/>
    <col min="3595" max="3595" width="4.85546875" style="3" bestFit="1" customWidth="1"/>
    <col min="3596" max="3603" width="5.5703125" style="3" bestFit="1" customWidth="1"/>
    <col min="3604" max="3604" width="7.85546875" style="3" bestFit="1" customWidth="1"/>
    <col min="3605" max="3605" width="8.5703125" style="3" bestFit="1" customWidth="1"/>
    <col min="3606" max="3606" width="26.85546875" style="3" bestFit="1" customWidth="1"/>
    <col min="3607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3.5703125" style="3" bestFit="1" customWidth="1"/>
    <col min="3848" max="3850" width="5.5703125" style="3" bestFit="1" customWidth="1"/>
    <col min="3851" max="3851" width="4.85546875" style="3" bestFit="1" customWidth="1"/>
    <col min="3852" max="3859" width="5.5703125" style="3" bestFit="1" customWidth="1"/>
    <col min="3860" max="3860" width="7.85546875" style="3" bestFit="1" customWidth="1"/>
    <col min="3861" max="3861" width="8.5703125" style="3" bestFit="1" customWidth="1"/>
    <col min="3862" max="3862" width="26.85546875" style="3" bestFit="1" customWidth="1"/>
    <col min="3863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3.5703125" style="3" bestFit="1" customWidth="1"/>
    <col min="4104" max="4106" width="5.5703125" style="3" bestFit="1" customWidth="1"/>
    <col min="4107" max="4107" width="4.85546875" style="3" bestFit="1" customWidth="1"/>
    <col min="4108" max="4115" width="5.5703125" style="3" bestFit="1" customWidth="1"/>
    <col min="4116" max="4116" width="7.85546875" style="3" bestFit="1" customWidth="1"/>
    <col min="4117" max="4117" width="8.5703125" style="3" bestFit="1" customWidth="1"/>
    <col min="4118" max="4118" width="26.85546875" style="3" bestFit="1" customWidth="1"/>
    <col min="4119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3.5703125" style="3" bestFit="1" customWidth="1"/>
    <col min="4360" max="4362" width="5.5703125" style="3" bestFit="1" customWidth="1"/>
    <col min="4363" max="4363" width="4.85546875" style="3" bestFit="1" customWidth="1"/>
    <col min="4364" max="4371" width="5.5703125" style="3" bestFit="1" customWidth="1"/>
    <col min="4372" max="4372" width="7.85546875" style="3" bestFit="1" customWidth="1"/>
    <col min="4373" max="4373" width="8.5703125" style="3" bestFit="1" customWidth="1"/>
    <col min="4374" max="4374" width="26.85546875" style="3" bestFit="1" customWidth="1"/>
    <col min="4375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3.5703125" style="3" bestFit="1" customWidth="1"/>
    <col min="4616" max="4618" width="5.5703125" style="3" bestFit="1" customWidth="1"/>
    <col min="4619" max="4619" width="4.85546875" style="3" bestFit="1" customWidth="1"/>
    <col min="4620" max="4627" width="5.5703125" style="3" bestFit="1" customWidth="1"/>
    <col min="4628" max="4628" width="7.85546875" style="3" bestFit="1" customWidth="1"/>
    <col min="4629" max="4629" width="8.5703125" style="3" bestFit="1" customWidth="1"/>
    <col min="4630" max="4630" width="26.85546875" style="3" bestFit="1" customWidth="1"/>
    <col min="4631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3.5703125" style="3" bestFit="1" customWidth="1"/>
    <col min="4872" max="4874" width="5.5703125" style="3" bestFit="1" customWidth="1"/>
    <col min="4875" max="4875" width="4.85546875" style="3" bestFit="1" customWidth="1"/>
    <col min="4876" max="4883" width="5.5703125" style="3" bestFit="1" customWidth="1"/>
    <col min="4884" max="4884" width="7.85546875" style="3" bestFit="1" customWidth="1"/>
    <col min="4885" max="4885" width="8.5703125" style="3" bestFit="1" customWidth="1"/>
    <col min="4886" max="4886" width="26.85546875" style="3" bestFit="1" customWidth="1"/>
    <col min="4887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3.5703125" style="3" bestFit="1" customWidth="1"/>
    <col min="5128" max="5130" width="5.5703125" style="3" bestFit="1" customWidth="1"/>
    <col min="5131" max="5131" width="4.85546875" style="3" bestFit="1" customWidth="1"/>
    <col min="5132" max="5139" width="5.5703125" style="3" bestFit="1" customWidth="1"/>
    <col min="5140" max="5140" width="7.85546875" style="3" bestFit="1" customWidth="1"/>
    <col min="5141" max="5141" width="8.5703125" style="3" bestFit="1" customWidth="1"/>
    <col min="5142" max="5142" width="26.85546875" style="3" bestFit="1" customWidth="1"/>
    <col min="5143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3.5703125" style="3" bestFit="1" customWidth="1"/>
    <col min="5384" max="5386" width="5.5703125" style="3" bestFit="1" customWidth="1"/>
    <col min="5387" max="5387" width="4.85546875" style="3" bestFit="1" customWidth="1"/>
    <col min="5388" max="5395" width="5.5703125" style="3" bestFit="1" customWidth="1"/>
    <col min="5396" max="5396" width="7.85546875" style="3" bestFit="1" customWidth="1"/>
    <col min="5397" max="5397" width="8.5703125" style="3" bestFit="1" customWidth="1"/>
    <col min="5398" max="5398" width="26.85546875" style="3" bestFit="1" customWidth="1"/>
    <col min="5399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3.5703125" style="3" bestFit="1" customWidth="1"/>
    <col min="5640" max="5642" width="5.5703125" style="3" bestFit="1" customWidth="1"/>
    <col min="5643" max="5643" width="4.85546875" style="3" bestFit="1" customWidth="1"/>
    <col min="5644" max="5651" width="5.5703125" style="3" bestFit="1" customWidth="1"/>
    <col min="5652" max="5652" width="7.85546875" style="3" bestFit="1" customWidth="1"/>
    <col min="5653" max="5653" width="8.5703125" style="3" bestFit="1" customWidth="1"/>
    <col min="5654" max="5654" width="26.85546875" style="3" bestFit="1" customWidth="1"/>
    <col min="5655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3.5703125" style="3" bestFit="1" customWidth="1"/>
    <col min="5896" max="5898" width="5.5703125" style="3" bestFit="1" customWidth="1"/>
    <col min="5899" max="5899" width="4.85546875" style="3" bestFit="1" customWidth="1"/>
    <col min="5900" max="5907" width="5.5703125" style="3" bestFit="1" customWidth="1"/>
    <col min="5908" max="5908" width="7.85546875" style="3" bestFit="1" customWidth="1"/>
    <col min="5909" max="5909" width="8.5703125" style="3" bestFit="1" customWidth="1"/>
    <col min="5910" max="5910" width="26.85546875" style="3" bestFit="1" customWidth="1"/>
    <col min="5911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3.5703125" style="3" bestFit="1" customWidth="1"/>
    <col min="6152" max="6154" width="5.5703125" style="3" bestFit="1" customWidth="1"/>
    <col min="6155" max="6155" width="4.85546875" style="3" bestFit="1" customWidth="1"/>
    <col min="6156" max="6163" width="5.5703125" style="3" bestFit="1" customWidth="1"/>
    <col min="6164" max="6164" width="7.85546875" style="3" bestFit="1" customWidth="1"/>
    <col min="6165" max="6165" width="8.5703125" style="3" bestFit="1" customWidth="1"/>
    <col min="6166" max="6166" width="26.85546875" style="3" bestFit="1" customWidth="1"/>
    <col min="6167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3.5703125" style="3" bestFit="1" customWidth="1"/>
    <col min="6408" max="6410" width="5.5703125" style="3" bestFit="1" customWidth="1"/>
    <col min="6411" max="6411" width="4.85546875" style="3" bestFit="1" customWidth="1"/>
    <col min="6412" max="6419" width="5.5703125" style="3" bestFit="1" customWidth="1"/>
    <col min="6420" max="6420" width="7.85546875" style="3" bestFit="1" customWidth="1"/>
    <col min="6421" max="6421" width="8.5703125" style="3" bestFit="1" customWidth="1"/>
    <col min="6422" max="6422" width="26.85546875" style="3" bestFit="1" customWidth="1"/>
    <col min="6423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3.5703125" style="3" bestFit="1" customWidth="1"/>
    <col min="6664" max="6666" width="5.5703125" style="3" bestFit="1" customWidth="1"/>
    <col min="6667" max="6667" width="4.85546875" style="3" bestFit="1" customWidth="1"/>
    <col min="6668" max="6675" width="5.5703125" style="3" bestFit="1" customWidth="1"/>
    <col min="6676" max="6676" width="7.85546875" style="3" bestFit="1" customWidth="1"/>
    <col min="6677" max="6677" width="8.5703125" style="3" bestFit="1" customWidth="1"/>
    <col min="6678" max="6678" width="26.85546875" style="3" bestFit="1" customWidth="1"/>
    <col min="6679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3.5703125" style="3" bestFit="1" customWidth="1"/>
    <col min="6920" max="6922" width="5.5703125" style="3" bestFit="1" customWidth="1"/>
    <col min="6923" max="6923" width="4.85546875" style="3" bestFit="1" customWidth="1"/>
    <col min="6924" max="6931" width="5.5703125" style="3" bestFit="1" customWidth="1"/>
    <col min="6932" max="6932" width="7.85546875" style="3" bestFit="1" customWidth="1"/>
    <col min="6933" max="6933" width="8.5703125" style="3" bestFit="1" customWidth="1"/>
    <col min="6934" max="6934" width="26.85546875" style="3" bestFit="1" customWidth="1"/>
    <col min="6935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3.5703125" style="3" bestFit="1" customWidth="1"/>
    <col min="7176" max="7178" width="5.5703125" style="3" bestFit="1" customWidth="1"/>
    <col min="7179" max="7179" width="4.85546875" style="3" bestFit="1" customWidth="1"/>
    <col min="7180" max="7187" width="5.5703125" style="3" bestFit="1" customWidth="1"/>
    <col min="7188" max="7188" width="7.85546875" style="3" bestFit="1" customWidth="1"/>
    <col min="7189" max="7189" width="8.5703125" style="3" bestFit="1" customWidth="1"/>
    <col min="7190" max="7190" width="26.85546875" style="3" bestFit="1" customWidth="1"/>
    <col min="7191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3.5703125" style="3" bestFit="1" customWidth="1"/>
    <col min="7432" max="7434" width="5.5703125" style="3" bestFit="1" customWidth="1"/>
    <col min="7435" max="7435" width="4.85546875" style="3" bestFit="1" customWidth="1"/>
    <col min="7436" max="7443" width="5.5703125" style="3" bestFit="1" customWidth="1"/>
    <col min="7444" max="7444" width="7.85546875" style="3" bestFit="1" customWidth="1"/>
    <col min="7445" max="7445" width="8.5703125" style="3" bestFit="1" customWidth="1"/>
    <col min="7446" max="7446" width="26.85546875" style="3" bestFit="1" customWidth="1"/>
    <col min="7447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3.5703125" style="3" bestFit="1" customWidth="1"/>
    <col min="7688" max="7690" width="5.5703125" style="3" bestFit="1" customWidth="1"/>
    <col min="7691" max="7691" width="4.85546875" style="3" bestFit="1" customWidth="1"/>
    <col min="7692" max="7699" width="5.5703125" style="3" bestFit="1" customWidth="1"/>
    <col min="7700" max="7700" width="7.85546875" style="3" bestFit="1" customWidth="1"/>
    <col min="7701" max="7701" width="8.5703125" style="3" bestFit="1" customWidth="1"/>
    <col min="7702" max="7702" width="26.85546875" style="3" bestFit="1" customWidth="1"/>
    <col min="7703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3.5703125" style="3" bestFit="1" customWidth="1"/>
    <col min="7944" max="7946" width="5.5703125" style="3" bestFit="1" customWidth="1"/>
    <col min="7947" max="7947" width="4.85546875" style="3" bestFit="1" customWidth="1"/>
    <col min="7948" max="7955" width="5.5703125" style="3" bestFit="1" customWidth="1"/>
    <col min="7956" max="7956" width="7.85546875" style="3" bestFit="1" customWidth="1"/>
    <col min="7957" max="7957" width="8.5703125" style="3" bestFit="1" customWidth="1"/>
    <col min="7958" max="7958" width="26.85546875" style="3" bestFit="1" customWidth="1"/>
    <col min="7959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3.5703125" style="3" bestFit="1" customWidth="1"/>
    <col min="8200" max="8202" width="5.5703125" style="3" bestFit="1" customWidth="1"/>
    <col min="8203" max="8203" width="4.85546875" style="3" bestFit="1" customWidth="1"/>
    <col min="8204" max="8211" width="5.5703125" style="3" bestFit="1" customWidth="1"/>
    <col min="8212" max="8212" width="7.85546875" style="3" bestFit="1" customWidth="1"/>
    <col min="8213" max="8213" width="8.5703125" style="3" bestFit="1" customWidth="1"/>
    <col min="8214" max="8214" width="26.85546875" style="3" bestFit="1" customWidth="1"/>
    <col min="8215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3.5703125" style="3" bestFit="1" customWidth="1"/>
    <col min="8456" max="8458" width="5.5703125" style="3" bestFit="1" customWidth="1"/>
    <col min="8459" max="8459" width="4.85546875" style="3" bestFit="1" customWidth="1"/>
    <col min="8460" max="8467" width="5.5703125" style="3" bestFit="1" customWidth="1"/>
    <col min="8468" max="8468" width="7.85546875" style="3" bestFit="1" customWidth="1"/>
    <col min="8469" max="8469" width="8.5703125" style="3" bestFit="1" customWidth="1"/>
    <col min="8470" max="8470" width="26.85546875" style="3" bestFit="1" customWidth="1"/>
    <col min="8471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3.5703125" style="3" bestFit="1" customWidth="1"/>
    <col min="8712" max="8714" width="5.5703125" style="3" bestFit="1" customWidth="1"/>
    <col min="8715" max="8715" width="4.85546875" style="3" bestFit="1" customWidth="1"/>
    <col min="8716" max="8723" width="5.5703125" style="3" bestFit="1" customWidth="1"/>
    <col min="8724" max="8724" width="7.85546875" style="3" bestFit="1" customWidth="1"/>
    <col min="8725" max="8725" width="8.5703125" style="3" bestFit="1" customWidth="1"/>
    <col min="8726" max="8726" width="26.85546875" style="3" bestFit="1" customWidth="1"/>
    <col min="8727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3.5703125" style="3" bestFit="1" customWidth="1"/>
    <col min="8968" max="8970" width="5.5703125" style="3" bestFit="1" customWidth="1"/>
    <col min="8971" max="8971" width="4.85546875" style="3" bestFit="1" customWidth="1"/>
    <col min="8972" max="8979" width="5.5703125" style="3" bestFit="1" customWidth="1"/>
    <col min="8980" max="8980" width="7.85546875" style="3" bestFit="1" customWidth="1"/>
    <col min="8981" max="8981" width="8.5703125" style="3" bestFit="1" customWidth="1"/>
    <col min="8982" max="8982" width="26.85546875" style="3" bestFit="1" customWidth="1"/>
    <col min="8983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3.5703125" style="3" bestFit="1" customWidth="1"/>
    <col min="9224" max="9226" width="5.5703125" style="3" bestFit="1" customWidth="1"/>
    <col min="9227" max="9227" width="4.85546875" style="3" bestFit="1" customWidth="1"/>
    <col min="9228" max="9235" width="5.5703125" style="3" bestFit="1" customWidth="1"/>
    <col min="9236" max="9236" width="7.85546875" style="3" bestFit="1" customWidth="1"/>
    <col min="9237" max="9237" width="8.5703125" style="3" bestFit="1" customWidth="1"/>
    <col min="9238" max="9238" width="26.85546875" style="3" bestFit="1" customWidth="1"/>
    <col min="9239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3.5703125" style="3" bestFit="1" customWidth="1"/>
    <col min="9480" max="9482" width="5.5703125" style="3" bestFit="1" customWidth="1"/>
    <col min="9483" max="9483" width="4.85546875" style="3" bestFit="1" customWidth="1"/>
    <col min="9484" max="9491" width="5.5703125" style="3" bestFit="1" customWidth="1"/>
    <col min="9492" max="9492" width="7.85546875" style="3" bestFit="1" customWidth="1"/>
    <col min="9493" max="9493" width="8.5703125" style="3" bestFit="1" customWidth="1"/>
    <col min="9494" max="9494" width="26.85546875" style="3" bestFit="1" customWidth="1"/>
    <col min="9495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3.5703125" style="3" bestFit="1" customWidth="1"/>
    <col min="9736" max="9738" width="5.5703125" style="3" bestFit="1" customWidth="1"/>
    <col min="9739" max="9739" width="4.85546875" style="3" bestFit="1" customWidth="1"/>
    <col min="9740" max="9747" width="5.5703125" style="3" bestFit="1" customWidth="1"/>
    <col min="9748" max="9748" width="7.85546875" style="3" bestFit="1" customWidth="1"/>
    <col min="9749" max="9749" width="8.5703125" style="3" bestFit="1" customWidth="1"/>
    <col min="9750" max="9750" width="26.85546875" style="3" bestFit="1" customWidth="1"/>
    <col min="9751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3.5703125" style="3" bestFit="1" customWidth="1"/>
    <col min="9992" max="9994" width="5.5703125" style="3" bestFit="1" customWidth="1"/>
    <col min="9995" max="9995" width="4.85546875" style="3" bestFit="1" customWidth="1"/>
    <col min="9996" max="10003" width="5.5703125" style="3" bestFit="1" customWidth="1"/>
    <col min="10004" max="10004" width="7.85546875" style="3" bestFit="1" customWidth="1"/>
    <col min="10005" max="10005" width="8.5703125" style="3" bestFit="1" customWidth="1"/>
    <col min="10006" max="10006" width="26.85546875" style="3" bestFit="1" customWidth="1"/>
    <col min="10007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3.5703125" style="3" bestFit="1" customWidth="1"/>
    <col min="10248" max="10250" width="5.5703125" style="3" bestFit="1" customWidth="1"/>
    <col min="10251" max="10251" width="4.85546875" style="3" bestFit="1" customWidth="1"/>
    <col min="10252" max="10259" width="5.5703125" style="3" bestFit="1" customWidth="1"/>
    <col min="10260" max="10260" width="7.85546875" style="3" bestFit="1" customWidth="1"/>
    <col min="10261" max="10261" width="8.5703125" style="3" bestFit="1" customWidth="1"/>
    <col min="10262" max="10262" width="26.85546875" style="3" bestFit="1" customWidth="1"/>
    <col min="10263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3.5703125" style="3" bestFit="1" customWidth="1"/>
    <col min="10504" max="10506" width="5.5703125" style="3" bestFit="1" customWidth="1"/>
    <col min="10507" max="10507" width="4.85546875" style="3" bestFit="1" customWidth="1"/>
    <col min="10508" max="10515" width="5.5703125" style="3" bestFit="1" customWidth="1"/>
    <col min="10516" max="10516" width="7.85546875" style="3" bestFit="1" customWidth="1"/>
    <col min="10517" max="10517" width="8.5703125" style="3" bestFit="1" customWidth="1"/>
    <col min="10518" max="10518" width="26.85546875" style="3" bestFit="1" customWidth="1"/>
    <col min="10519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3.5703125" style="3" bestFit="1" customWidth="1"/>
    <col min="10760" max="10762" width="5.5703125" style="3" bestFit="1" customWidth="1"/>
    <col min="10763" max="10763" width="4.85546875" style="3" bestFit="1" customWidth="1"/>
    <col min="10764" max="10771" width="5.5703125" style="3" bestFit="1" customWidth="1"/>
    <col min="10772" max="10772" width="7.85546875" style="3" bestFit="1" customWidth="1"/>
    <col min="10773" max="10773" width="8.5703125" style="3" bestFit="1" customWidth="1"/>
    <col min="10774" max="10774" width="26.85546875" style="3" bestFit="1" customWidth="1"/>
    <col min="10775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3.5703125" style="3" bestFit="1" customWidth="1"/>
    <col min="11016" max="11018" width="5.5703125" style="3" bestFit="1" customWidth="1"/>
    <col min="11019" max="11019" width="4.85546875" style="3" bestFit="1" customWidth="1"/>
    <col min="11020" max="11027" width="5.5703125" style="3" bestFit="1" customWidth="1"/>
    <col min="11028" max="11028" width="7.85546875" style="3" bestFit="1" customWidth="1"/>
    <col min="11029" max="11029" width="8.5703125" style="3" bestFit="1" customWidth="1"/>
    <col min="11030" max="11030" width="26.85546875" style="3" bestFit="1" customWidth="1"/>
    <col min="11031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3.5703125" style="3" bestFit="1" customWidth="1"/>
    <col min="11272" max="11274" width="5.5703125" style="3" bestFit="1" customWidth="1"/>
    <col min="11275" max="11275" width="4.85546875" style="3" bestFit="1" customWidth="1"/>
    <col min="11276" max="11283" width="5.5703125" style="3" bestFit="1" customWidth="1"/>
    <col min="11284" max="11284" width="7.85546875" style="3" bestFit="1" customWidth="1"/>
    <col min="11285" max="11285" width="8.5703125" style="3" bestFit="1" customWidth="1"/>
    <col min="11286" max="11286" width="26.85546875" style="3" bestFit="1" customWidth="1"/>
    <col min="11287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3.5703125" style="3" bestFit="1" customWidth="1"/>
    <col min="11528" max="11530" width="5.5703125" style="3" bestFit="1" customWidth="1"/>
    <col min="11531" max="11531" width="4.85546875" style="3" bestFit="1" customWidth="1"/>
    <col min="11532" max="11539" width="5.5703125" style="3" bestFit="1" customWidth="1"/>
    <col min="11540" max="11540" width="7.85546875" style="3" bestFit="1" customWidth="1"/>
    <col min="11541" max="11541" width="8.5703125" style="3" bestFit="1" customWidth="1"/>
    <col min="11542" max="11542" width="26.85546875" style="3" bestFit="1" customWidth="1"/>
    <col min="11543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3.5703125" style="3" bestFit="1" customWidth="1"/>
    <col min="11784" max="11786" width="5.5703125" style="3" bestFit="1" customWidth="1"/>
    <col min="11787" max="11787" width="4.85546875" style="3" bestFit="1" customWidth="1"/>
    <col min="11788" max="11795" width="5.5703125" style="3" bestFit="1" customWidth="1"/>
    <col min="11796" max="11796" width="7.85546875" style="3" bestFit="1" customWidth="1"/>
    <col min="11797" max="11797" width="8.5703125" style="3" bestFit="1" customWidth="1"/>
    <col min="11798" max="11798" width="26.85546875" style="3" bestFit="1" customWidth="1"/>
    <col min="11799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3.5703125" style="3" bestFit="1" customWidth="1"/>
    <col min="12040" max="12042" width="5.5703125" style="3" bestFit="1" customWidth="1"/>
    <col min="12043" max="12043" width="4.85546875" style="3" bestFit="1" customWidth="1"/>
    <col min="12044" max="12051" width="5.5703125" style="3" bestFit="1" customWidth="1"/>
    <col min="12052" max="12052" width="7.85546875" style="3" bestFit="1" customWidth="1"/>
    <col min="12053" max="12053" width="8.5703125" style="3" bestFit="1" customWidth="1"/>
    <col min="12054" max="12054" width="26.85546875" style="3" bestFit="1" customWidth="1"/>
    <col min="12055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3.5703125" style="3" bestFit="1" customWidth="1"/>
    <col min="12296" max="12298" width="5.5703125" style="3" bestFit="1" customWidth="1"/>
    <col min="12299" max="12299" width="4.85546875" style="3" bestFit="1" customWidth="1"/>
    <col min="12300" max="12307" width="5.5703125" style="3" bestFit="1" customWidth="1"/>
    <col min="12308" max="12308" width="7.85546875" style="3" bestFit="1" customWidth="1"/>
    <col min="12309" max="12309" width="8.5703125" style="3" bestFit="1" customWidth="1"/>
    <col min="12310" max="12310" width="26.85546875" style="3" bestFit="1" customWidth="1"/>
    <col min="12311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3.5703125" style="3" bestFit="1" customWidth="1"/>
    <col min="12552" max="12554" width="5.5703125" style="3" bestFit="1" customWidth="1"/>
    <col min="12555" max="12555" width="4.85546875" style="3" bestFit="1" customWidth="1"/>
    <col min="12556" max="12563" width="5.5703125" style="3" bestFit="1" customWidth="1"/>
    <col min="12564" max="12564" width="7.85546875" style="3" bestFit="1" customWidth="1"/>
    <col min="12565" max="12565" width="8.5703125" style="3" bestFit="1" customWidth="1"/>
    <col min="12566" max="12566" width="26.85546875" style="3" bestFit="1" customWidth="1"/>
    <col min="12567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3.5703125" style="3" bestFit="1" customWidth="1"/>
    <col min="12808" max="12810" width="5.5703125" style="3" bestFit="1" customWidth="1"/>
    <col min="12811" max="12811" width="4.85546875" style="3" bestFit="1" customWidth="1"/>
    <col min="12812" max="12819" width="5.5703125" style="3" bestFit="1" customWidth="1"/>
    <col min="12820" max="12820" width="7.85546875" style="3" bestFit="1" customWidth="1"/>
    <col min="12821" max="12821" width="8.5703125" style="3" bestFit="1" customWidth="1"/>
    <col min="12822" max="12822" width="26.85546875" style="3" bestFit="1" customWidth="1"/>
    <col min="12823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3.5703125" style="3" bestFit="1" customWidth="1"/>
    <col min="13064" max="13066" width="5.5703125" style="3" bestFit="1" customWidth="1"/>
    <col min="13067" max="13067" width="4.85546875" style="3" bestFit="1" customWidth="1"/>
    <col min="13068" max="13075" width="5.5703125" style="3" bestFit="1" customWidth="1"/>
    <col min="13076" max="13076" width="7.85546875" style="3" bestFit="1" customWidth="1"/>
    <col min="13077" max="13077" width="8.5703125" style="3" bestFit="1" customWidth="1"/>
    <col min="13078" max="13078" width="26.85546875" style="3" bestFit="1" customWidth="1"/>
    <col min="13079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3.5703125" style="3" bestFit="1" customWidth="1"/>
    <col min="13320" max="13322" width="5.5703125" style="3" bestFit="1" customWidth="1"/>
    <col min="13323" max="13323" width="4.85546875" style="3" bestFit="1" customWidth="1"/>
    <col min="13324" max="13331" width="5.5703125" style="3" bestFit="1" customWidth="1"/>
    <col min="13332" max="13332" width="7.85546875" style="3" bestFit="1" customWidth="1"/>
    <col min="13333" max="13333" width="8.5703125" style="3" bestFit="1" customWidth="1"/>
    <col min="13334" max="13334" width="26.85546875" style="3" bestFit="1" customWidth="1"/>
    <col min="13335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3.5703125" style="3" bestFit="1" customWidth="1"/>
    <col min="13576" max="13578" width="5.5703125" style="3" bestFit="1" customWidth="1"/>
    <col min="13579" max="13579" width="4.85546875" style="3" bestFit="1" customWidth="1"/>
    <col min="13580" max="13587" width="5.5703125" style="3" bestFit="1" customWidth="1"/>
    <col min="13588" max="13588" width="7.85546875" style="3" bestFit="1" customWidth="1"/>
    <col min="13589" max="13589" width="8.5703125" style="3" bestFit="1" customWidth="1"/>
    <col min="13590" max="13590" width="26.85546875" style="3" bestFit="1" customWidth="1"/>
    <col min="13591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3.5703125" style="3" bestFit="1" customWidth="1"/>
    <col min="13832" max="13834" width="5.5703125" style="3" bestFit="1" customWidth="1"/>
    <col min="13835" max="13835" width="4.85546875" style="3" bestFit="1" customWidth="1"/>
    <col min="13836" max="13843" width="5.5703125" style="3" bestFit="1" customWidth="1"/>
    <col min="13844" max="13844" width="7.85546875" style="3" bestFit="1" customWidth="1"/>
    <col min="13845" max="13845" width="8.5703125" style="3" bestFit="1" customWidth="1"/>
    <col min="13846" max="13846" width="26.85546875" style="3" bestFit="1" customWidth="1"/>
    <col min="13847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3.5703125" style="3" bestFit="1" customWidth="1"/>
    <col min="14088" max="14090" width="5.5703125" style="3" bestFit="1" customWidth="1"/>
    <col min="14091" max="14091" width="4.85546875" style="3" bestFit="1" customWidth="1"/>
    <col min="14092" max="14099" width="5.5703125" style="3" bestFit="1" customWidth="1"/>
    <col min="14100" max="14100" width="7.85546875" style="3" bestFit="1" customWidth="1"/>
    <col min="14101" max="14101" width="8.5703125" style="3" bestFit="1" customWidth="1"/>
    <col min="14102" max="14102" width="26.85546875" style="3" bestFit="1" customWidth="1"/>
    <col min="14103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3.5703125" style="3" bestFit="1" customWidth="1"/>
    <col min="14344" max="14346" width="5.5703125" style="3" bestFit="1" customWidth="1"/>
    <col min="14347" max="14347" width="4.85546875" style="3" bestFit="1" customWidth="1"/>
    <col min="14348" max="14355" width="5.5703125" style="3" bestFit="1" customWidth="1"/>
    <col min="14356" max="14356" width="7.85546875" style="3" bestFit="1" customWidth="1"/>
    <col min="14357" max="14357" width="8.5703125" style="3" bestFit="1" customWidth="1"/>
    <col min="14358" max="14358" width="26.85546875" style="3" bestFit="1" customWidth="1"/>
    <col min="14359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3.5703125" style="3" bestFit="1" customWidth="1"/>
    <col min="14600" max="14602" width="5.5703125" style="3" bestFit="1" customWidth="1"/>
    <col min="14603" max="14603" width="4.85546875" style="3" bestFit="1" customWidth="1"/>
    <col min="14604" max="14611" width="5.5703125" style="3" bestFit="1" customWidth="1"/>
    <col min="14612" max="14612" width="7.85546875" style="3" bestFit="1" customWidth="1"/>
    <col min="14613" max="14613" width="8.5703125" style="3" bestFit="1" customWidth="1"/>
    <col min="14614" max="14614" width="26.85546875" style="3" bestFit="1" customWidth="1"/>
    <col min="14615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3.5703125" style="3" bestFit="1" customWidth="1"/>
    <col min="14856" max="14858" width="5.5703125" style="3" bestFit="1" customWidth="1"/>
    <col min="14859" max="14859" width="4.85546875" style="3" bestFit="1" customWidth="1"/>
    <col min="14860" max="14867" width="5.5703125" style="3" bestFit="1" customWidth="1"/>
    <col min="14868" max="14868" width="7.85546875" style="3" bestFit="1" customWidth="1"/>
    <col min="14869" max="14869" width="8.5703125" style="3" bestFit="1" customWidth="1"/>
    <col min="14870" max="14870" width="26.85546875" style="3" bestFit="1" customWidth="1"/>
    <col min="14871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3.5703125" style="3" bestFit="1" customWidth="1"/>
    <col min="15112" max="15114" width="5.5703125" style="3" bestFit="1" customWidth="1"/>
    <col min="15115" max="15115" width="4.85546875" style="3" bestFit="1" customWidth="1"/>
    <col min="15116" max="15123" width="5.5703125" style="3" bestFit="1" customWidth="1"/>
    <col min="15124" max="15124" width="7.85546875" style="3" bestFit="1" customWidth="1"/>
    <col min="15125" max="15125" width="8.5703125" style="3" bestFit="1" customWidth="1"/>
    <col min="15126" max="15126" width="26.85546875" style="3" bestFit="1" customWidth="1"/>
    <col min="15127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3.5703125" style="3" bestFit="1" customWidth="1"/>
    <col min="15368" max="15370" width="5.5703125" style="3" bestFit="1" customWidth="1"/>
    <col min="15371" max="15371" width="4.85546875" style="3" bestFit="1" customWidth="1"/>
    <col min="15372" max="15379" width="5.5703125" style="3" bestFit="1" customWidth="1"/>
    <col min="15380" max="15380" width="7.85546875" style="3" bestFit="1" customWidth="1"/>
    <col min="15381" max="15381" width="8.5703125" style="3" bestFit="1" customWidth="1"/>
    <col min="15382" max="15382" width="26.85546875" style="3" bestFit="1" customWidth="1"/>
    <col min="15383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3.5703125" style="3" bestFit="1" customWidth="1"/>
    <col min="15624" max="15626" width="5.5703125" style="3" bestFit="1" customWidth="1"/>
    <col min="15627" max="15627" width="4.85546875" style="3" bestFit="1" customWidth="1"/>
    <col min="15628" max="15635" width="5.5703125" style="3" bestFit="1" customWidth="1"/>
    <col min="15636" max="15636" width="7.85546875" style="3" bestFit="1" customWidth="1"/>
    <col min="15637" max="15637" width="8.5703125" style="3" bestFit="1" customWidth="1"/>
    <col min="15638" max="15638" width="26.85546875" style="3" bestFit="1" customWidth="1"/>
    <col min="15639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3.5703125" style="3" bestFit="1" customWidth="1"/>
    <col min="15880" max="15882" width="5.5703125" style="3" bestFit="1" customWidth="1"/>
    <col min="15883" max="15883" width="4.85546875" style="3" bestFit="1" customWidth="1"/>
    <col min="15884" max="15891" width="5.5703125" style="3" bestFit="1" customWidth="1"/>
    <col min="15892" max="15892" width="7.85546875" style="3" bestFit="1" customWidth="1"/>
    <col min="15893" max="15893" width="8.5703125" style="3" bestFit="1" customWidth="1"/>
    <col min="15894" max="15894" width="26.85546875" style="3" bestFit="1" customWidth="1"/>
    <col min="15895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3.5703125" style="3" bestFit="1" customWidth="1"/>
    <col min="16136" max="16138" width="5.5703125" style="3" bestFit="1" customWidth="1"/>
    <col min="16139" max="16139" width="4.85546875" style="3" bestFit="1" customWidth="1"/>
    <col min="16140" max="16147" width="5.5703125" style="3" bestFit="1" customWidth="1"/>
    <col min="16148" max="16148" width="7.85546875" style="3" bestFit="1" customWidth="1"/>
    <col min="16149" max="16149" width="8.5703125" style="3" bestFit="1" customWidth="1"/>
    <col min="16150" max="16150" width="26.85546875" style="3" bestFit="1" customWidth="1"/>
    <col min="16151" max="16384" width="9.140625" style="3"/>
  </cols>
  <sheetData>
    <row r="1" spans="1:22" s="2" customFormat="1" ht="29.1" customHeight="1" x14ac:dyDescent="0.2">
      <c r="A1" s="40" t="s">
        <v>1108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2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1000</v>
      </c>
      <c r="I3" s="37"/>
      <c r="J3" s="37"/>
      <c r="K3" s="37"/>
      <c r="L3" s="37" t="s">
        <v>1</v>
      </c>
      <c r="M3" s="37"/>
      <c r="N3" s="37"/>
      <c r="O3" s="37"/>
      <c r="P3" s="37" t="s">
        <v>295</v>
      </c>
      <c r="Q3" s="37"/>
      <c r="R3" s="37"/>
      <c r="S3" s="37"/>
      <c r="T3" s="37" t="s">
        <v>1001</v>
      </c>
      <c r="U3" s="37" t="s">
        <v>3</v>
      </c>
      <c r="V3" s="38" t="s">
        <v>2</v>
      </c>
    </row>
    <row r="4" spans="1:22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5">
        <v>1</v>
      </c>
      <c r="M4" s="5">
        <v>2</v>
      </c>
      <c r="N4" s="5">
        <v>3</v>
      </c>
      <c r="O4" s="5" t="s">
        <v>224</v>
      </c>
      <c r="P4" s="5">
        <v>1</v>
      </c>
      <c r="Q4" s="5">
        <v>2</v>
      </c>
      <c r="R4" s="5">
        <v>3</v>
      </c>
      <c r="S4" s="5" t="s">
        <v>224</v>
      </c>
      <c r="T4" s="36"/>
      <c r="U4" s="36"/>
      <c r="V4" s="39"/>
    </row>
    <row r="5" spans="1:22" ht="15" x14ac:dyDescent="0.2">
      <c r="A5" s="61" t="s">
        <v>793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x14ac:dyDescent="0.2">
      <c r="A6" s="6" t="s">
        <v>1109</v>
      </c>
      <c r="B6" s="6" t="s">
        <v>1442</v>
      </c>
      <c r="C6" s="6" t="s">
        <v>1110</v>
      </c>
      <c r="D6" s="6" t="s">
        <v>1111</v>
      </c>
      <c r="E6" s="6" t="str">
        <f>"1,4252"</f>
        <v>1,4252</v>
      </c>
      <c r="F6" s="6" t="s">
        <v>14</v>
      </c>
      <c r="G6" s="6" t="s">
        <v>152</v>
      </c>
      <c r="H6" s="8" t="s">
        <v>594</v>
      </c>
      <c r="I6" s="8" t="s">
        <v>236</v>
      </c>
      <c r="J6" s="8" t="s">
        <v>119</v>
      </c>
      <c r="K6" s="7"/>
      <c r="L6" s="8" t="s">
        <v>230</v>
      </c>
      <c r="M6" s="8" t="s">
        <v>231</v>
      </c>
      <c r="N6" s="7" t="s">
        <v>598</v>
      </c>
      <c r="O6" s="7"/>
      <c r="P6" s="7" t="s">
        <v>55</v>
      </c>
      <c r="Q6" s="8" t="s">
        <v>55</v>
      </c>
      <c r="R6" s="7" t="s">
        <v>68</v>
      </c>
      <c r="S6" s="7"/>
      <c r="T6" s="6" t="str">
        <f>"202,5"</f>
        <v>202,5</v>
      </c>
      <c r="U6" s="8" t="str">
        <f>"288,6030"</f>
        <v>288,6030</v>
      </c>
      <c r="V6" s="6"/>
    </row>
    <row r="8" spans="1:22" ht="15" x14ac:dyDescent="0.2">
      <c r="A8" s="32" t="s">
        <v>296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x14ac:dyDescent="0.2">
      <c r="A9" s="6" t="s">
        <v>1112</v>
      </c>
      <c r="B9" s="6" t="s">
        <v>1443</v>
      </c>
      <c r="C9" s="6" t="s">
        <v>1113</v>
      </c>
      <c r="D9" s="6" t="s">
        <v>1114</v>
      </c>
      <c r="E9" s="6" t="str">
        <f>"1,3387"</f>
        <v>1,3387</v>
      </c>
      <c r="F9" s="6" t="s">
        <v>65</v>
      </c>
      <c r="G9" s="6" t="s">
        <v>66</v>
      </c>
      <c r="H9" s="8" t="s">
        <v>68</v>
      </c>
      <c r="I9" s="8" t="s">
        <v>79</v>
      </c>
      <c r="J9" s="7"/>
      <c r="K9" s="7"/>
      <c r="L9" s="8" t="s">
        <v>333</v>
      </c>
      <c r="M9" s="7" t="s">
        <v>49</v>
      </c>
      <c r="N9" s="7" t="s">
        <v>49</v>
      </c>
      <c r="O9" s="7"/>
      <c r="P9" s="8" t="s">
        <v>308</v>
      </c>
      <c r="Q9" s="8" t="s">
        <v>88</v>
      </c>
      <c r="R9" s="7" t="s">
        <v>323</v>
      </c>
      <c r="S9" s="7"/>
      <c r="T9" s="6" t="str">
        <f>"252,5"</f>
        <v>252,5</v>
      </c>
      <c r="U9" s="8" t="str">
        <f>"338,0218"</f>
        <v>338,0218</v>
      </c>
      <c r="V9" s="6" t="s">
        <v>1115</v>
      </c>
    </row>
    <row r="11" spans="1:22" ht="15" x14ac:dyDescent="0.2">
      <c r="A11" s="32" t="s">
        <v>190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x14ac:dyDescent="0.2">
      <c r="A12" s="9" t="s">
        <v>1116</v>
      </c>
      <c r="B12" s="9" t="s">
        <v>1442</v>
      </c>
      <c r="C12" s="9" t="s">
        <v>1117</v>
      </c>
      <c r="D12" s="9" t="s">
        <v>1118</v>
      </c>
      <c r="E12" s="9" t="str">
        <f>"1,2808"</f>
        <v>1,2808</v>
      </c>
      <c r="F12" s="9" t="s">
        <v>65</v>
      </c>
      <c r="G12" s="9" t="s">
        <v>66</v>
      </c>
      <c r="H12" s="10" t="s">
        <v>79</v>
      </c>
      <c r="I12" s="10" t="s">
        <v>114</v>
      </c>
      <c r="J12" s="10" t="s">
        <v>175</v>
      </c>
      <c r="K12" s="25"/>
      <c r="L12" s="10" t="s">
        <v>230</v>
      </c>
      <c r="M12" s="25" t="s">
        <v>598</v>
      </c>
      <c r="N12" s="25" t="s">
        <v>598</v>
      </c>
      <c r="O12" s="25"/>
      <c r="P12" s="10" t="s">
        <v>83</v>
      </c>
      <c r="Q12" s="10" t="s">
        <v>94</v>
      </c>
      <c r="R12" s="25" t="s">
        <v>88</v>
      </c>
      <c r="S12" s="25"/>
      <c r="T12" s="9" t="str">
        <f>"267,5"</f>
        <v>267,5</v>
      </c>
      <c r="U12" s="10" t="str">
        <f>"342,6140"</f>
        <v>342,6140</v>
      </c>
      <c r="V12" s="9" t="s">
        <v>1119</v>
      </c>
    </row>
    <row r="13" spans="1:22" x14ac:dyDescent="0.2">
      <c r="A13" s="14" t="s">
        <v>1120</v>
      </c>
      <c r="B13" s="14" t="s">
        <v>1437</v>
      </c>
      <c r="C13" s="14" t="s">
        <v>1121</v>
      </c>
      <c r="D13" s="14" t="s">
        <v>1122</v>
      </c>
      <c r="E13" s="14" t="str">
        <f>"1,2730"</f>
        <v>1,2730</v>
      </c>
      <c r="F13" s="14" t="s">
        <v>65</v>
      </c>
      <c r="G13" s="14" t="s">
        <v>66</v>
      </c>
      <c r="H13" s="16" t="s">
        <v>659</v>
      </c>
      <c r="I13" s="16" t="s">
        <v>68</v>
      </c>
      <c r="J13" s="16" t="s">
        <v>79</v>
      </c>
      <c r="K13" s="15"/>
      <c r="L13" s="16" t="s">
        <v>797</v>
      </c>
      <c r="M13" s="16" t="s">
        <v>798</v>
      </c>
      <c r="N13" s="16" t="s">
        <v>49</v>
      </c>
      <c r="O13" s="15"/>
      <c r="P13" s="16" t="s">
        <v>659</v>
      </c>
      <c r="Q13" s="15" t="s">
        <v>68</v>
      </c>
      <c r="R13" s="16" t="s">
        <v>68</v>
      </c>
      <c r="S13" s="15"/>
      <c r="T13" s="14" t="str">
        <f>"230,0"</f>
        <v>230,0</v>
      </c>
      <c r="U13" s="16" t="str">
        <f>"292,7900"</f>
        <v>292,7900</v>
      </c>
      <c r="V13" s="14" t="s">
        <v>1123</v>
      </c>
    </row>
    <row r="15" spans="1:22" ht="15" x14ac:dyDescent="0.2">
      <c r="A15" s="32" t="s">
        <v>225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x14ac:dyDescent="0.2">
      <c r="A16" s="9" t="s">
        <v>1124</v>
      </c>
      <c r="B16" s="9" t="s">
        <v>1442</v>
      </c>
      <c r="C16" s="9" t="s">
        <v>1125</v>
      </c>
      <c r="D16" s="9" t="s">
        <v>1126</v>
      </c>
      <c r="E16" s="9" t="str">
        <f>"1,2106"</f>
        <v>1,2106</v>
      </c>
      <c r="F16" s="9" t="s">
        <v>65</v>
      </c>
      <c r="G16" s="9" t="s">
        <v>66</v>
      </c>
      <c r="H16" s="10" t="s">
        <v>659</v>
      </c>
      <c r="I16" s="10" t="s">
        <v>68</v>
      </c>
      <c r="J16" s="10" t="s">
        <v>79</v>
      </c>
      <c r="K16" s="25"/>
      <c r="L16" s="10" t="s">
        <v>594</v>
      </c>
      <c r="M16" s="25" t="s">
        <v>119</v>
      </c>
      <c r="N16" s="10" t="s">
        <v>119</v>
      </c>
      <c r="O16" s="25"/>
      <c r="P16" s="10" t="s">
        <v>313</v>
      </c>
      <c r="Q16" s="10" t="s">
        <v>83</v>
      </c>
      <c r="R16" s="25" t="s">
        <v>94</v>
      </c>
      <c r="S16" s="25"/>
      <c r="T16" s="9" t="str">
        <f>"267,5"</f>
        <v>267,5</v>
      </c>
      <c r="U16" s="10" t="str">
        <f>"323,8355"</f>
        <v>323,8355</v>
      </c>
      <c r="V16" s="9" t="s">
        <v>1127</v>
      </c>
    </row>
    <row r="17" spans="1:22" x14ac:dyDescent="0.2">
      <c r="A17" s="11" t="s">
        <v>1128</v>
      </c>
      <c r="B17" s="11" t="s">
        <v>1444</v>
      </c>
      <c r="C17" s="11" t="s">
        <v>1129</v>
      </c>
      <c r="D17" s="11" t="s">
        <v>1130</v>
      </c>
      <c r="E17" s="11" t="str">
        <f>"1,1985"</f>
        <v>1,1985</v>
      </c>
      <c r="F17" s="11" t="s">
        <v>65</v>
      </c>
      <c r="G17" s="11" t="s">
        <v>66</v>
      </c>
      <c r="H17" s="12" t="s">
        <v>323</v>
      </c>
      <c r="I17" s="13" t="s">
        <v>323</v>
      </c>
      <c r="J17" s="12" t="s">
        <v>183</v>
      </c>
      <c r="K17" s="12"/>
      <c r="L17" s="13" t="s">
        <v>236</v>
      </c>
      <c r="M17" s="13" t="s">
        <v>119</v>
      </c>
      <c r="N17" s="13" t="s">
        <v>237</v>
      </c>
      <c r="O17" s="12" t="s">
        <v>1131</v>
      </c>
      <c r="P17" s="13" t="s">
        <v>355</v>
      </c>
      <c r="Q17" s="13" t="s">
        <v>357</v>
      </c>
      <c r="R17" s="13" t="s">
        <v>665</v>
      </c>
      <c r="S17" s="12"/>
      <c r="T17" s="11" t="str">
        <f>"332,5"</f>
        <v>332,5</v>
      </c>
      <c r="U17" s="13" t="str">
        <f>"398,5013"</f>
        <v>398,5013</v>
      </c>
      <c r="V17" s="11" t="s">
        <v>613</v>
      </c>
    </row>
    <row r="18" spans="1:22" x14ac:dyDescent="0.2">
      <c r="A18" s="14" t="s">
        <v>1132</v>
      </c>
      <c r="B18" s="14" t="s">
        <v>1443</v>
      </c>
      <c r="C18" s="14" t="s">
        <v>1133</v>
      </c>
      <c r="D18" s="14" t="s">
        <v>1130</v>
      </c>
      <c r="E18" s="14" t="str">
        <f>"1,1985"</f>
        <v>1,1985</v>
      </c>
      <c r="F18" s="14" t="s">
        <v>65</v>
      </c>
      <c r="G18" s="14" t="s">
        <v>66</v>
      </c>
      <c r="H18" s="16" t="s">
        <v>114</v>
      </c>
      <c r="I18" s="16" t="s">
        <v>83</v>
      </c>
      <c r="J18" s="16" t="s">
        <v>94</v>
      </c>
      <c r="K18" s="15"/>
      <c r="L18" s="16" t="s">
        <v>236</v>
      </c>
      <c r="M18" s="15" t="s">
        <v>237</v>
      </c>
      <c r="N18" s="15" t="s">
        <v>237</v>
      </c>
      <c r="O18" s="15"/>
      <c r="P18" s="16" t="s">
        <v>323</v>
      </c>
      <c r="Q18" s="16" t="s">
        <v>183</v>
      </c>
      <c r="R18" s="15" t="s">
        <v>355</v>
      </c>
      <c r="S18" s="15"/>
      <c r="T18" s="14" t="str">
        <f>"305,0"</f>
        <v>305,0</v>
      </c>
      <c r="U18" s="16" t="str">
        <f>"365,5425"</f>
        <v>365,5425</v>
      </c>
      <c r="V18" s="14" t="s">
        <v>1123</v>
      </c>
    </row>
    <row r="20" spans="1:22" ht="15" x14ac:dyDescent="0.2">
      <c r="A20" s="32" t="s">
        <v>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x14ac:dyDescent="0.2">
      <c r="A21" s="9" t="s">
        <v>1134</v>
      </c>
      <c r="B21" s="9" t="s">
        <v>1444</v>
      </c>
      <c r="C21" s="9" t="s">
        <v>1135</v>
      </c>
      <c r="D21" s="9" t="s">
        <v>1136</v>
      </c>
      <c r="E21" s="9" t="str">
        <f>"1,0467"</f>
        <v>1,0467</v>
      </c>
      <c r="F21" s="9" t="s">
        <v>65</v>
      </c>
      <c r="G21" s="9" t="s">
        <v>66</v>
      </c>
      <c r="H21" s="10" t="s">
        <v>356</v>
      </c>
      <c r="I21" s="10" t="s">
        <v>665</v>
      </c>
      <c r="J21" s="25" t="s">
        <v>466</v>
      </c>
      <c r="K21" s="25"/>
      <c r="L21" s="10" t="s">
        <v>48</v>
      </c>
      <c r="M21" s="10" t="s">
        <v>41</v>
      </c>
      <c r="N21" s="25" t="s">
        <v>659</v>
      </c>
      <c r="O21" s="25"/>
      <c r="P21" s="10" t="s">
        <v>357</v>
      </c>
      <c r="Q21" s="10" t="s">
        <v>264</v>
      </c>
      <c r="R21" s="10" t="s">
        <v>265</v>
      </c>
      <c r="S21" s="25"/>
      <c r="T21" s="9" t="str">
        <f>"387,5"</f>
        <v>387,5</v>
      </c>
      <c r="U21" s="10" t="str">
        <f>"405,5963"</f>
        <v>405,5963</v>
      </c>
      <c r="V21" s="9" t="s">
        <v>1137</v>
      </c>
    </row>
    <row r="22" spans="1:22" x14ac:dyDescent="0.2">
      <c r="A22" s="14" t="s">
        <v>1138</v>
      </c>
      <c r="B22" s="14" t="s">
        <v>1441</v>
      </c>
      <c r="C22" s="14" t="s">
        <v>1139</v>
      </c>
      <c r="D22" s="14" t="s">
        <v>1140</v>
      </c>
      <c r="E22" s="14" t="str">
        <f>"1,0339"</f>
        <v>1,0339</v>
      </c>
      <c r="F22" s="14" t="s">
        <v>14</v>
      </c>
      <c r="G22" s="14" t="s">
        <v>729</v>
      </c>
      <c r="H22" s="16" t="s">
        <v>248</v>
      </c>
      <c r="I22" s="16" t="s">
        <v>48</v>
      </c>
      <c r="J22" s="16" t="s">
        <v>41</v>
      </c>
      <c r="K22" s="15"/>
      <c r="L22" s="16" t="s">
        <v>593</v>
      </c>
      <c r="M22" s="15" t="s">
        <v>231</v>
      </c>
      <c r="N22" s="16" t="s">
        <v>231</v>
      </c>
      <c r="O22" s="15"/>
      <c r="P22" s="16" t="s">
        <v>32</v>
      </c>
      <c r="Q22" s="16" t="s">
        <v>68</v>
      </c>
      <c r="R22" s="16" t="s">
        <v>175</v>
      </c>
      <c r="S22" s="15"/>
      <c r="T22" s="14" t="str">
        <f>"237,5"</f>
        <v>237,5</v>
      </c>
      <c r="U22" s="16" t="str">
        <f>"245,5513"</f>
        <v>245,5513</v>
      </c>
      <c r="V22" s="14" t="s">
        <v>749</v>
      </c>
    </row>
    <row r="24" spans="1:22" ht="15" x14ac:dyDescent="0.2">
      <c r="A24" s="32" t="s">
        <v>50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x14ac:dyDescent="0.2">
      <c r="A25" s="6" t="s">
        <v>1141</v>
      </c>
      <c r="B25" s="6" t="s">
        <v>1442</v>
      </c>
      <c r="C25" s="6" t="s">
        <v>1142</v>
      </c>
      <c r="D25" s="6" t="s">
        <v>712</v>
      </c>
      <c r="E25" s="6" t="str">
        <f>"0,8716"</f>
        <v>0,8716</v>
      </c>
      <c r="F25" s="6" t="s">
        <v>14</v>
      </c>
      <c r="G25" s="6" t="s">
        <v>1143</v>
      </c>
      <c r="H25" s="8" t="s">
        <v>356</v>
      </c>
      <c r="I25" s="7" t="s">
        <v>264</v>
      </c>
      <c r="J25" s="7" t="s">
        <v>264</v>
      </c>
      <c r="K25" s="7"/>
      <c r="L25" s="8" t="s">
        <v>237</v>
      </c>
      <c r="M25" s="8" t="s">
        <v>106</v>
      </c>
      <c r="N25" s="8" t="s">
        <v>32</v>
      </c>
      <c r="O25" s="7"/>
      <c r="P25" s="8" t="s">
        <v>356</v>
      </c>
      <c r="Q25" s="8" t="s">
        <v>264</v>
      </c>
      <c r="R25" s="8" t="s">
        <v>467</v>
      </c>
      <c r="S25" s="7"/>
      <c r="T25" s="6" t="str">
        <f>"382,5"</f>
        <v>382,5</v>
      </c>
      <c r="U25" s="8" t="str">
        <f>"333,3870"</f>
        <v>333,3870</v>
      </c>
      <c r="V25" s="6" t="s">
        <v>1144</v>
      </c>
    </row>
    <row r="27" spans="1:22" ht="15" x14ac:dyDescent="0.2">
      <c r="A27" s="32" t="s">
        <v>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2">
      <c r="A28" s="9" t="s">
        <v>1145</v>
      </c>
      <c r="B28" s="9" t="s">
        <v>1442</v>
      </c>
      <c r="C28" s="9" t="s">
        <v>1146</v>
      </c>
      <c r="D28" s="9" t="s">
        <v>1147</v>
      </c>
      <c r="E28" s="9" t="str">
        <f>"0,8057"</f>
        <v>0,8057</v>
      </c>
      <c r="F28" s="9" t="s">
        <v>65</v>
      </c>
      <c r="G28" s="9" t="s">
        <v>66</v>
      </c>
      <c r="H28" s="10" t="s">
        <v>382</v>
      </c>
      <c r="I28" s="10" t="s">
        <v>270</v>
      </c>
      <c r="J28" s="25" t="s">
        <v>279</v>
      </c>
      <c r="K28" s="25"/>
      <c r="L28" s="10" t="s">
        <v>68</v>
      </c>
      <c r="M28" s="10" t="s">
        <v>318</v>
      </c>
      <c r="N28" s="10" t="s">
        <v>114</v>
      </c>
      <c r="O28" s="10" t="s">
        <v>175</v>
      </c>
      <c r="P28" s="10" t="s">
        <v>400</v>
      </c>
      <c r="Q28" s="10" t="s">
        <v>269</v>
      </c>
      <c r="R28" s="10" t="s">
        <v>241</v>
      </c>
      <c r="S28" s="10" t="s">
        <v>290</v>
      </c>
      <c r="T28" s="9" t="str">
        <f>"460,0"</f>
        <v>460,0</v>
      </c>
      <c r="U28" s="10" t="str">
        <f>"370,6220"</f>
        <v>370,6220</v>
      </c>
      <c r="V28" s="9" t="s">
        <v>1148</v>
      </c>
    </row>
    <row r="29" spans="1:22" x14ac:dyDescent="0.2">
      <c r="A29" s="11" t="s">
        <v>827</v>
      </c>
      <c r="B29" s="11" t="s">
        <v>1442</v>
      </c>
      <c r="C29" s="11" t="s">
        <v>828</v>
      </c>
      <c r="D29" s="11" t="s">
        <v>829</v>
      </c>
      <c r="E29" s="11" t="str">
        <f>"0,7766"</f>
        <v>0,7766</v>
      </c>
      <c r="F29" s="11" t="s">
        <v>14</v>
      </c>
      <c r="G29" s="11" t="s">
        <v>495</v>
      </c>
      <c r="H29" s="13" t="s">
        <v>264</v>
      </c>
      <c r="I29" s="13" t="s">
        <v>400</v>
      </c>
      <c r="J29" s="13" t="s">
        <v>269</v>
      </c>
      <c r="K29" s="12"/>
      <c r="L29" s="13" t="s">
        <v>304</v>
      </c>
      <c r="M29" s="13" t="s">
        <v>183</v>
      </c>
      <c r="N29" s="13" t="s">
        <v>355</v>
      </c>
      <c r="O29" s="12"/>
      <c r="P29" s="13" t="s">
        <v>400</v>
      </c>
      <c r="Q29" s="13" t="s">
        <v>241</v>
      </c>
      <c r="R29" s="12" t="s">
        <v>242</v>
      </c>
      <c r="S29" s="12"/>
      <c r="T29" s="11" t="str">
        <f>"470,0"</f>
        <v>470,0</v>
      </c>
      <c r="U29" s="13" t="str">
        <f>"365,0020"</f>
        <v>365,0020</v>
      </c>
      <c r="V29" s="11" t="s">
        <v>799</v>
      </c>
    </row>
    <row r="30" spans="1:22" x14ac:dyDescent="0.2">
      <c r="A30" s="11" t="s">
        <v>1149</v>
      </c>
      <c r="B30" s="11" t="s">
        <v>1437</v>
      </c>
      <c r="C30" s="11" t="s">
        <v>1150</v>
      </c>
      <c r="D30" s="11" t="s">
        <v>1038</v>
      </c>
      <c r="E30" s="11" t="str">
        <f>"0,7775"</f>
        <v>0,7775</v>
      </c>
      <c r="F30" s="11" t="s">
        <v>14</v>
      </c>
      <c r="G30" s="11" t="s">
        <v>495</v>
      </c>
      <c r="H30" s="13" t="s">
        <v>264</v>
      </c>
      <c r="I30" s="12" t="s">
        <v>426</v>
      </c>
      <c r="J30" s="12" t="s">
        <v>426</v>
      </c>
      <c r="K30" s="12"/>
      <c r="L30" s="13" t="s">
        <v>74</v>
      </c>
      <c r="M30" s="13" t="s">
        <v>79</v>
      </c>
      <c r="N30" s="12" t="s">
        <v>318</v>
      </c>
      <c r="O30" s="12"/>
      <c r="P30" s="13" t="s">
        <v>426</v>
      </c>
      <c r="Q30" s="12" t="s">
        <v>467</v>
      </c>
      <c r="R30" s="12" t="s">
        <v>467</v>
      </c>
      <c r="S30" s="12"/>
      <c r="T30" s="11" t="str">
        <f>"400,0"</f>
        <v>400,0</v>
      </c>
      <c r="U30" s="13" t="str">
        <f>"311,0000"</f>
        <v>311,0000</v>
      </c>
      <c r="V30" s="11" t="s">
        <v>799</v>
      </c>
    </row>
    <row r="31" spans="1:22" x14ac:dyDescent="0.2">
      <c r="A31" s="14" t="s">
        <v>1151</v>
      </c>
      <c r="B31" s="14" t="s">
        <v>1441</v>
      </c>
      <c r="C31" s="14" t="s">
        <v>1152</v>
      </c>
      <c r="D31" s="14" t="s">
        <v>1153</v>
      </c>
      <c r="E31" s="14" t="str">
        <f>"0,7973"</f>
        <v>0,7973</v>
      </c>
      <c r="F31" s="14" t="s">
        <v>65</v>
      </c>
      <c r="G31" s="14" t="s">
        <v>66</v>
      </c>
      <c r="H31" s="15" t="s">
        <v>94</v>
      </c>
      <c r="I31" s="16" t="s">
        <v>304</v>
      </c>
      <c r="J31" s="16" t="s">
        <v>183</v>
      </c>
      <c r="K31" s="15"/>
      <c r="L31" s="16" t="s">
        <v>106</v>
      </c>
      <c r="M31" s="15" t="s">
        <v>32</v>
      </c>
      <c r="N31" s="15" t="s">
        <v>32</v>
      </c>
      <c r="O31" s="15"/>
      <c r="P31" s="16" t="s">
        <v>664</v>
      </c>
      <c r="Q31" s="16" t="s">
        <v>400</v>
      </c>
      <c r="R31" s="15" t="s">
        <v>241</v>
      </c>
      <c r="S31" s="15"/>
      <c r="T31" s="14" t="str">
        <f>"365,0"</f>
        <v>365,0</v>
      </c>
      <c r="U31" s="16" t="str">
        <f>"291,0145"</f>
        <v>291,0145</v>
      </c>
      <c r="V31" s="14" t="s">
        <v>1123</v>
      </c>
    </row>
    <row r="33" spans="1:22" ht="15" x14ac:dyDescent="0.2">
      <c r="A33" s="32" t="s">
        <v>19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x14ac:dyDescent="0.2">
      <c r="A34" s="9" t="s">
        <v>1154</v>
      </c>
      <c r="B34" s="9" t="s">
        <v>1441</v>
      </c>
      <c r="C34" s="9" t="s">
        <v>1155</v>
      </c>
      <c r="D34" s="9" t="s">
        <v>399</v>
      </c>
      <c r="E34" s="9" t="str">
        <f>"0,7535"</f>
        <v>0,7535</v>
      </c>
      <c r="F34" s="9" t="s">
        <v>14</v>
      </c>
      <c r="G34" s="9" t="s">
        <v>495</v>
      </c>
      <c r="H34" s="10" t="s">
        <v>355</v>
      </c>
      <c r="I34" s="10" t="s">
        <v>664</v>
      </c>
      <c r="J34" s="10" t="s">
        <v>426</v>
      </c>
      <c r="K34" s="25"/>
      <c r="L34" s="10" t="s">
        <v>55</v>
      </c>
      <c r="M34" s="10" t="s">
        <v>74</v>
      </c>
      <c r="N34" s="25" t="s">
        <v>79</v>
      </c>
      <c r="O34" s="25"/>
      <c r="P34" s="10" t="s">
        <v>664</v>
      </c>
      <c r="Q34" s="25" t="s">
        <v>264</v>
      </c>
      <c r="R34" s="25" t="s">
        <v>264</v>
      </c>
      <c r="S34" s="25"/>
      <c r="T34" s="9" t="str">
        <f>"392,5"</f>
        <v>392,5</v>
      </c>
      <c r="U34" s="10" t="str">
        <f>"295,7487"</f>
        <v>295,7487</v>
      </c>
      <c r="V34" s="9" t="s">
        <v>799</v>
      </c>
    </row>
    <row r="35" spans="1:22" x14ac:dyDescent="0.2">
      <c r="A35" s="11" t="s">
        <v>1156</v>
      </c>
      <c r="B35" s="11" t="s">
        <v>1442</v>
      </c>
      <c r="C35" s="11" t="s">
        <v>1157</v>
      </c>
      <c r="D35" s="11" t="s">
        <v>1158</v>
      </c>
      <c r="E35" s="11" t="str">
        <f>"0,7146"</f>
        <v>0,7146</v>
      </c>
      <c r="F35" s="11" t="s">
        <v>65</v>
      </c>
      <c r="G35" s="11" t="s">
        <v>66</v>
      </c>
      <c r="H35" s="12" t="s">
        <v>279</v>
      </c>
      <c r="I35" s="13" t="s">
        <v>280</v>
      </c>
      <c r="J35" s="12" t="s">
        <v>388</v>
      </c>
      <c r="K35" s="12"/>
      <c r="L35" s="13" t="s">
        <v>323</v>
      </c>
      <c r="M35" s="13" t="s">
        <v>304</v>
      </c>
      <c r="N35" s="12" t="s">
        <v>329</v>
      </c>
      <c r="O35" s="12"/>
      <c r="P35" s="13" t="s">
        <v>242</v>
      </c>
      <c r="Q35" s="13" t="s">
        <v>280</v>
      </c>
      <c r="R35" s="12" t="s">
        <v>413</v>
      </c>
      <c r="S35" s="12"/>
      <c r="T35" s="11" t="str">
        <f>"525,0"</f>
        <v>525,0</v>
      </c>
      <c r="U35" s="13" t="str">
        <f>"375,1650"</f>
        <v>375,1650</v>
      </c>
      <c r="V35" s="11"/>
    </row>
    <row r="36" spans="1:22" x14ac:dyDescent="0.2">
      <c r="A36" s="14" t="s">
        <v>1159</v>
      </c>
      <c r="B36" s="14" t="s">
        <v>1441</v>
      </c>
      <c r="C36" s="14" t="s">
        <v>1160</v>
      </c>
      <c r="D36" s="14" t="s">
        <v>1161</v>
      </c>
      <c r="E36" s="14" t="str">
        <f>"0,7264"</f>
        <v>0,7264</v>
      </c>
      <c r="F36" s="14" t="s">
        <v>65</v>
      </c>
      <c r="G36" s="14" t="s">
        <v>66</v>
      </c>
      <c r="H36" s="15" t="s">
        <v>356</v>
      </c>
      <c r="I36" s="15" t="s">
        <v>356</v>
      </c>
      <c r="J36" s="16" t="s">
        <v>264</v>
      </c>
      <c r="K36" s="15"/>
      <c r="L36" s="16" t="s">
        <v>79</v>
      </c>
      <c r="M36" s="15" t="s">
        <v>114</v>
      </c>
      <c r="N36" s="15" t="s">
        <v>114</v>
      </c>
      <c r="O36" s="15"/>
      <c r="P36" s="16" t="s">
        <v>664</v>
      </c>
      <c r="Q36" s="16" t="s">
        <v>426</v>
      </c>
      <c r="R36" s="15" t="s">
        <v>400</v>
      </c>
      <c r="S36" s="15"/>
      <c r="T36" s="14" t="str">
        <f>"400,0"</f>
        <v>400,0</v>
      </c>
      <c r="U36" s="16" t="str">
        <f>"290,5600"</f>
        <v>290,5600</v>
      </c>
      <c r="V36" s="14"/>
    </row>
    <row r="38" spans="1:22" ht="15" x14ac:dyDescent="0.2">
      <c r="A38" s="32" t="s">
        <v>26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2" x14ac:dyDescent="0.2">
      <c r="A39" s="9" t="s">
        <v>434</v>
      </c>
      <c r="B39" s="9" t="s">
        <v>1442</v>
      </c>
      <c r="C39" s="9" t="s">
        <v>435</v>
      </c>
      <c r="D39" s="9" t="s">
        <v>465</v>
      </c>
      <c r="E39" s="9" t="str">
        <f>"0,6764"</f>
        <v>0,6764</v>
      </c>
      <c r="F39" s="9" t="s">
        <v>14</v>
      </c>
      <c r="G39" s="9" t="s">
        <v>437</v>
      </c>
      <c r="H39" s="10" t="s">
        <v>242</v>
      </c>
      <c r="I39" s="25" t="s">
        <v>255</v>
      </c>
      <c r="J39" s="10" t="s">
        <v>270</v>
      </c>
      <c r="K39" s="25"/>
      <c r="L39" s="10" t="s">
        <v>94</v>
      </c>
      <c r="M39" s="10" t="s">
        <v>323</v>
      </c>
      <c r="N39" s="10" t="s">
        <v>329</v>
      </c>
      <c r="O39" s="25"/>
      <c r="P39" s="10" t="s">
        <v>388</v>
      </c>
      <c r="Q39" s="10" t="s">
        <v>442</v>
      </c>
      <c r="R39" s="25" t="s">
        <v>471</v>
      </c>
      <c r="S39" s="25"/>
      <c r="T39" s="9" t="str">
        <f>"537,5"</f>
        <v>537,5</v>
      </c>
      <c r="U39" s="10" t="str">
        <f>"363,5650"</f>
        <v>363,5650</v>
      </c>
      <c r="V39" s="9"/>
    </row>
    <row r="40" spans="1:22" x14ac:dyDescent="0.2">
      <c r="A40" s="11" t="s">
        <v>1162</v>
      </c>
      <c r="B40" s="11" t="s">
        <v>1437</v>
      </c>
      <c r="C40" s="11" t="s">
        <v>1163</v>
      </c>
      <c r="D40" s="11" t="s">
        <v>575</v>
      </c>
      <c r="E40" s="11" t="str">
        <f>"0,6729"</f>
        <v>0,6729</v>
      </c>
      <c r="F40" s="11" t="s">
        <v>14</v>
      </c>
      <c r="G40" s="11" t="s">
        <v>495</v>
      </c>
      <c r="H40" s="13" t="s">
        <v>242</v>
      </c>
      <c r="I40" s="12" t="s">
        <v>382</v>
      </c>
      <c r="J40" s="13" t="s">
        <v>382</v>
      </c>
      <c r="K40" s="12"/>
      <c r="L40" s="13" t="s">
        <v>179</v>
      </c>
      <c r="M40" s="12" t="s">
        <v>83</v>
      </c>
      <c r="N40" s="12" t="s">
        <v>308</v>
      </c>
      <c r="O40" s="12"/>
      <c r="P40" s="13" t="s">
        <v>242</v>
      </c>
      <c r="Q40" s="13" t="s">
        <v>255</v>
      </c>
      <c r="R40" s="13" t="s">
        <v>279</v>
      </c>
      <c r="S40" s="12"/>
      <c r="T40" s="11" t="str">
        <f>"482,5"</f>
        <v>482,5</v>
      </c>
      <c r="U40" s="13" t="str">
        <f>"324,6743"</f>
        <v>324,6743</v>
      </c>
      <c r="V40" s="11" t="s">
        <v>799</v>
      </c>
    </row>
    <row r="41" spans="1:22" x14ac:dyDescent="0.2">
      <c r="A41" s="14" t="s">
        <v>1164</v>
      </c>
      <c r="B41" s="14" t="s">
        <v>1442</v>
      </c>
      <c r="C41" s="14" t="s">
        <v>1165</v>
      </c>
      <c r="D41" s="14" t="s">
        <v>1166</v>
      </c>
      <c r="E41" s="14" t="str">
        <f>"0,6790"</f>
        <v>0,6790</v>
      </c>
      <c r="F41" s="14" t="s">
        <v>14</v>
      </c>
      <c r="G41" s="14" t="s">
        <v>512</v>
      </c>
      <c r="H41" s="16" t="s">
        <v>255</v>
      </c>
      <c r="I41" s="16" t="s">
        <v>279</v>
      </c>
      <c r="J41" s="15" t="s">
        <v>383</v>
      </c>
      <c r="K41" s="15"/>
      <c r="L41" s="16" t="s">
        <v>183</v>
      </c>
      <c r="M41" s="15" t="s">
        <v>550</v>
      </c>
      <c r="N41" s="16" t="s">
        <v>550</v>
      </c>
      <c r="O41" s="15"/>
      <c r="P41" s="16" t="s">
        <v>243</v>
      </c>
      <c r="Q41" s="16" t="s">
        <v>270</v>
      </c>
      <c r="R41" s="16" t="s">
        <v>280</v>
      </c>
      <c r="S41" s="15"/>
      <c r="T41" s="14" t="str">
        <f>"532,5"</f>
        <v>532,5</v>
      </c>
      <c r="U41" s="16" t="str">
        <f>"361,5675"</f>
        <v>361,5675</v>
      </c>
      <c r="V41" s="14" t="s">
        <v>513</v>
      </c>
    </row>
    <row r="43" spans="1:22" ht="15" x14ac:dyDescent="0.2">
      <c r="A43" s="32" t="s">
        <v>50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2" x14ac:dyDescent="0.2">
      <c r="A44" s="9" t="s">
        <v>1167</v>
      </c>
      <c r="B44" s="9" t="s">
        <v>1443</v>
      </c>
      <c r="C44" s="9" t="s">
        <v>1168</v>
      </c>
      <c r="D44" s="9" t="s">
        <v>1169</v>
      </c>
      <c r="E44" s="9" t="str">
        <f>"0,6384"</f>
        <v>0,6384</v>
      </c>
      <c r="F44" s="9" t="s">
        <v>14</v>
      </c>
      <c r="G44" s="9" t="s">
        <v>729</v>
      </c>
      <c r="H44" s="10" t="s">
        <v>388</v>
      </c>
      <c r="I44" s="10" t="s">
        <v>442</v>
      </c>
      <c r="J44" s="10" t="s">
        <v>535</v>
      </c>
      <c r="K44" s="25"/>
      <c r="L44" s="10" t="s">
        <v>356</v>
      </c>
      <c r="M44" s="10" t="s">
        <v>664</v>
      </c>
      <c r="N44" s="25" t="s">
        <v>665</v>
      </c>
      <c r="O44" s="25"/>
      <c r="P44" s="10" t="s">
        <v>507</v>
      </c>
      <c r="Q44" s="10" t="s">
        <v>394</v>
      </c>
      <c r="R44" s="10" t="s">
        <v>576</v>
      </c>
      <c r="S44" s="25" t="s">
        <v>508</v>
      </c>
      <c r="T44" s="9" t="str">
        <f>"615,0"</f>
        <v>615,0</v>
      </c>
      <c r="U44" s="10" t="str">
        <f>"392,6160"</f>
        <v>392,6160</v>
      </c>
      <c r="V44" s="9" t="s">
        <v>749</v>
      </c>
    </row>
    <row r="45" spans="1:22" x14ac:dyDescent="0.2">
      <c r="A45" s="11" t="s">
        <v>1170</v>
      </c>
      <c r="B45" s="11" t="s">
        <v>1443</v>
      </c>
      <c r="C45" s="11" t="s">
        <v>1171</v>
      </c>
      <c r="D45" s="11" t="s">
        <v>1169</v>
      </c>
      <c r="E45" s="11" t="str">
        <f>"0,6384"</f>
        <v>0,6384</v>
      </c>
      <c r="F45" s="11" t="s">
        <v>277</v>
      </c>
      <c r="G45" s="11" t="s">
        <v>278</v>
      </c>
      <c r="H45" s="12" t="s">
        <v>535</v>
      </c>
      <c r="I45" s="13" t="s">
        <v>535</v>
      </c>
      <c r="J45" s="12" t="s">
        <v>536</v>
      </c>
      <c r="K45" s="12"/>
      <c r="L45" s="13" t="s">
        <v>264</v>
      </c>
      <c r="M45" s="13" t="s">
        <v>400</v>
      </c>
      <c r="N45" s="13" t="s">
        <v>887</v>
      </c>
      <c r="O45" s="12"/>
      <c r="P45" s="13" t="s">
        <v>388</v>
      </c>
      <c r="Q45" s="13" t="s">
        <v>442</v>
      </c>
      <c r="R45" s="13" t="s">
        <v>536</v>
      </c>
      <c r="S45" s="12"/>
      <c r="T45" s="11" t="str">
        <f>"627,5"</f>
        <v>627,5</v>
      </c>
      <c r="U45" s="13" t="str">
        <f>"400,5960"</f>
        <v>400,5960</v>
      </c>
      <c r="V45" s="11" t="s">
        <v>62</v>
      </c>
    </row>
    <row r="46" spans="1:22" x14ac:dyDescent="0.2">
      <c r="A46" s="11" t="s">
        <v>1172</v>
      </c>
      <c r="B46" s="11" t="s">
        <v>1443</v>
      </c>
      <c r="C46" s="11" t="s">
        <v>1173</v>
      </c>
      <c r="D46" s="11" t="s">
        <v>151</v>
      </c>
      <c r="E46" s="11" t="str">
        <f>"0,6479"</f>
        <v>0,6479</v>
      </c>
      <c r="F46" s="11" t="s">
        <v>14</v>
      </c>
      <c r="G46" s="11" t="s">
        <v>470</v>
      </c>
      <c r="H46" s="13" t="s">
        <v>507</v>
      </c>
      <c r="I46" s="12" t="s">
        <v>394</v>
      </c>
      <c r="J46" s="13" t="s">
        <v>394</v>
      </c>
      <c r="K46" s="12"/>
      <c r="L46" s="13" t="s">
        <v>304</v>
      </c>
      <c r="M46" s="12" t="s">
        <v>183</v>
      </c>
      <c r="N46" s="12" t="s">
        <v>183</v>
      </c>
      <c r="O46" s="12"/>
      <c r="P46" s="13" t="s">
        <v>536</v>
      </c>
      <c r="Q46" s="13" t="s">
        <v>576</v>
      </c>
      <c r="R46" s="13" t="s">
        <v>519</v>
      </c>
      <c r="S46" s="12"/>
      <c r="T46" s="11" t="str">
        <f>"620,0"</f>
        <v>620,0</v>
      </c>
      <c r="U46" s="13" t="str">
        <f>"401,6980"</f>
        <v>401,6980</v>
      </c>
      <c r="V46" s="11" t="s">
        <v>1174</v>
      </c>
    </row>
    <row r="47" spans="1:22" x14ac:dyDescent="0.2">
      <c r="A47" s="11" t="s">
        <v>1175</v>
      </c>
      <c r="B47" s="11" t="s">
        <v>1442</v>
      </c>
      <c r="C47" s="11" t="s">
        <v>1176</v>
      </c>
      <c r="D47" s="11" t="s">
        <v>1177</v>
      </c>
      <c r="E47" s="11" t="str">
        <f>"0,6428"</f>
        <v>0,6428</v>
      </c>
      <c r="F47" s="11" t="s">
        <v>14</v>
      </c>
      <c r="G47" s="11" t="s">
        <v>495</v>
      </c>
      <c r="H47" s="13" t="s">
        <v>270</v>
      </c>
      <c r="I47" s="12" t="s">
        <v>280</v>
      </c>
      <c r="J47" s="13" t="s">
        <v>957</v>
      </c>
      <c r="K47" s="12"/>
      <c r="L47" s="13" t="s">
        <v>183</v>
      </c>
      <c r="M47" s="13" t="s">
        <v>550</v>
      </c>
      <c r="N47" s="13" t="s">
        <v>357</v>
      </c>
      <c r="O47" s="12"/>
      <c r="P47" s="13" t="s">
        <v>270</v>
      </c>
      <c r="Q47" s="13" t="s">
        <v>388</v>
      </c>
      <c r="R47" s="12" t="s">
        <v>442</v>
      </c>
      <c r="S47" s="12"/>
      <c r="T47" s="11" t="str">
        <f>"560,0"</f>
        <v>560,0</v>
      </c>
      <c r="U47" s="13" t="str">
        <f>"359,9680"</f>
        <v>359,9680</v>
      </c>
      <c r="V47" s="11" t="s">
        <v>799</v>
      </c>
    </row>
    <row r="48" spans="1:22" x14ac:dyDescent="0.2">
      <c r="A48" s="14" t="s">
        <v>1178</v>
      </c>
      <c r="B48" s="14" t="s">
        <v>1437</v>
      </c>
      <c r="C48" s="14" t="s">
        <v>1179</v>
      </c>
      <c r="D48" s="14" t="s">
        <v>1180</v>
      </c>
      <c r="E48" s="14" t="str">
        <f>"0,6487"</f>
        <v>0,6487</v>
      </c>
      <c r="F48" s="14" t="s">
        <v>392</v>
      </c>
      <c r="G48" s="14" t="s">
        <v>393</v>
      </c>
      <c r="H48" s="16" t="s">
        <v>183</v>
      </c>
      <c r="I48" s="15"/>
      <c r="J48" s="15"/>
      <c r="K48" s="15"/>
      <c r="L48" s="15" t="s">
        <v>83</v>
      </c>
      <c r="M48" s="15" t="s">
        <v>83</v>
      </c>
      <c r="N48" s="16" t="s">
        <v>83</v>
      </c>
      <c r="O48" s="15"/>
      <c r="P48" s="16" t="s">
        <v>264</v>
      </c>
      <c r="Q48" s="16" t="s">
        <v>241</v>
      </c>
      <c r="R48" s="15"/>
      <c r="S48" s="15"/>
      <c r="T48" s="14" t="str">
        <f>"410,0"</f>
        <v>410,0</v>
      </c>
      <c r="U48" s="16" t="str">
        <f>"370,4920"</f>
        <v>370,4920</v>
      </c>
      <c r="V48" s="14" t="s">
        <v>1181</v>
      </c>
    </row>
    <row r="50" spans="1:22" ht="15" x14ac:dyDescent="0.2">
      <c r="A50" s="32" t="s">
        <v>70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x14ac:dyDescent="0.2">
      <c r="A51" s="9" t="s">
        <v>1182</v>
      </c>
      <c r="B51" s="9" t="s">
        <v>1438</v>
      </c>
      <c r="C51" s="9" t="s">
        <v>1183</v>
      </c>
      <c r="D51" s="9" t="s">
        <v>1184</v>
      </c>
      <c r="E51" s="9" t="str">
        <f>"0,6118"</f>
        <v>0,6118</v>
      </c>
      <c r="F51" s="9" t="s">
        <v>65</v>
      </c>
      <c r="G51" s="9" t="s">
        <v>66</v>
      </c>
      <c r="H51" s="10" t="s">
        <v>241</v>
      </c>
      <c r="I51" s="25" t="s">
        <v>382</v>
      </c>
      <c r="J51" s="25" t="s">
        <v>382</v>
      </c>
      <c r="K51" s="25"/>
      <c r="L51" s="10" t="s">
        <v>68</v>
      </c>
      <c r="M51" s="10" t="s">
        <v>114</v>
      </c>
      <c r="N51" s="25" t="s">
        <v>313</v>
      </c>
      <c r="O51" s="25"/>
      <c r="P51" s="10" t="s">
        <v>269</v>
      </c>
      <c r="Q51" s="10" t="s">
        <v>242</v>
      </c>
      <c r="R51" s="25" t="s">
        <v>382</v>
      </c>
      <c r="S51" s="25"/>
      <c r="T51" s="9" t="str">
        <f>"445,0"</f>
        <v>445,0</v>
      </c>
      <c r="U51" s="10" t="str">
        <f>"272,2510"</f>
        <v>272,2510</v>
      </c>
      <c r="V51" s="9" t="s">
        <v>1185</v>
      </c>
    </row>
    <row r="52" spans="1:22" x14ac:dyDescent="0.2">
      <c r="A52" s="11" t="s">
        <v>1186</v>
      </c>
      <c r="B52" s="11" t="s">
        <v>1443</v>
      </c>
      <c r="C52" s="11" t="s">
        <v>1187</v>
      </c>
      <c r="D52" s="11" t="s">
        <v>511</v>
      </c>
      <c r="E52" s="11" t="str">
        <f>"0,6200"</f>
        <v>0,6200</v>
      </c>
      <c r="F52" s="11" t="s">
        <v>65</v>
      </c>
      <c r="G52" s="11" t="s">
        <v>66</v>
      </c>
      <c r="H52" s="13" t="s">
        <v>394</v>
      </c>
      <c r="I52" s="13" t="s">
        <v>395</v>
      </c>
      <c r="J52" s="12" t="s">
        <v>404</v>
      </c>
      <c r="K52" s="12"/>
      <c r="L52" s="13" t="s">
        <v>241</v>
      </c>
      <c r="M52" s="12" t="s">
        <v>382</v>
      </c>
      <c r="N52" s="12" t="s">
        <v>382</v>
      </c>
      <c r="O52" s="12"/>
      <c r="P52" s="13" t="s">
        <v>507</v>
      </c>
      <c r="Q52" s="13" t="s">
        <v>508</v>
      </c>
      <c r="R52" s="12" t="s">
        <v>395</v>
      </c>
      <c r="S52" s="12"/>
      <c r="T52" s="11" t="str">
        <f>"680,0"</f>
        <v>680,0</v>
      </c>
      <c r="U52" s="13" t="str">
        <f>"421,6000"</f>
        <v>421,6000</v>
      </c>
      <c r="V52" s="11" t="s">
        <v>1188</v>
      </c>
    </row>
    <row r="53" spans="1:22" x14ac:dyDescent="0.2">
      <c r="A53" s="14" t="s">
        <v>1189</v>
      </c>
      <c r="B53" s="14" t="s">
        <v>1442</v>
      </c>
      <c r="C53" s="14" t="s">
        <v>1190</v>
      </c>
      <c r="D53" s="14" t="s">
        <v>983</v>
      </c>
      <c r="E53" s="14" t="str">
        <f>"0,6172"</f>
        <v>0,6172</v>
      </c>
      <c r="F53" s="14" t="s">
        <v>65</v>
      </c>
      <c r="G53" s="14" t="s">
        <v>66</v>
      </c>
      <c r="H53" s="16" t="s">
        <v>270</v>
      </c>
      <c r="I53" s="16" t="s">
        <v>388</v>
      </c>
      <c r="J53" s="16" t="s">
        <v>442</v>
      </c>
      <c r="K53" s="15"/>
      <c r="L53" s="16" t="s">
        <v>356</v>
      </c>
      <c r="M53" s="16" t="s">
        <v>664</v>
      </c>
      <c r="N53" s="15" t="s">
        <v>264</v>
      </c>
      <c r="O53" s="15"/>
      <c r="P53" s="16" t="s">
        <v>507</v>
      </c>
      <c r="Q53" s="15" t="s">
        <v>394</v>
      </c>
      <c r="R53" s="15" t="s">
        <v>394</v>
      </c>
      <c r="S53" s="15"/>
      <c r="T53" s="14" t="str">
        <f>"595,0"</f>
        <v>595,0</v>
      </c>
      <c r="U53" s="16" t="str">
        <f>"367,2340"</f>
        <v>367,2340</v>
      </c>
      <c r="V53" s="14"/>
    </row>
    <row r="55" spans="1:22" ht="15" x14ac:dyDescent="0.2">
      <c r="A55" s="32" t="s">
        <v>81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x14ac:dyDescent="0.2">
      <c r="A56" s="9" t="s">
        <v>1191</v>
      </c>
      <c r="B56" s="9" t="s">
        <v>1442</v>
      </c>
      <c r="C56" s="9" t="s">
        <v>1192</v>
      </c>
      <c r="D56" s="9" t="s">
        <v>523</v>
      </c>
      <c r="E56" s="9" t="str">
        <f>"0,5885"</f>
        <v>0,5885</v>
      </c>
      <c r="F56" s="9" t="s">
        <v>65</v>
      </c>
      <c r="G56" s="9" t="s">
        <v>66</v>
      </c>
      <c r="H56" s="10" t="s">
        <v>280</v>
      </c>
      <c r="I56" s="25" t="s">
        <v>413</v>
      </c>
      <c r="J56" s="10" t="s">
        <v>535</v>
      </c>
      <c r="K56" s="25"/>
      <c r="L56" s="10" t="s">
        <v>664</v>
      </c>
      <c r="M56" s="10" t="s">
        <v>426</v>
      </c>
      <c r="N56" s="25" t="s">
        <v>400</v>
      </c>
      <c r="O56" s="25"/>
      <c r="P56" s="10" t="s">
        <v>280</v>
      </c>
      <c r="Q56" s="10" t="s">
        <v>442</v>
      </c>
      <c r="R56" s="10" t="s">
        <v>507</v>
      </c>
      <c r="S56" s="25"/>
      <c r="T56" s="9" t="str">
        <f>"610,0"</f>
        <v>610,0</v>
      </c>
      <c r="U56" s="10" t="str">
        <f>"358,9850"</f>
        <v>358,9850</v>
      </c>
      <c r="V56" s="9" t="s">
        <v>799</v>
      </c>
    </row>
    <row r="57" spans="1:22" x14ac:dyDescent="0.2">
      <c r="A57" s="11" t="s">
        <v>1193</v>
      </c>
      <c r="B57" s="11" t="s">
        <v>1438</v>
      </c>
      <c r="C57" s="11" t="s">
        <v>1194</v>
      </c>
      <c r="D57" s="11" t="s">
        <v>1195</v>
      </c>
      <c r="E57" s="11" t="str">
        <f>"0,5933"</f>
        <v>0,5933</v>
      </c>
      <c r="F57" s="11" t="s">
        <v>65</v>
      </c>
      <c r="G57" s="11" t="s">
        <v>66</v>
      </c>
      <c r="H57" s="13" t="s">
        <v>355</v>
      </c>
      <c r="I57" s="13" t="s">
        <v>664</v>
      </c>
      <c r="J57" s="12" t="s">
        <v>466</v>
      </c>
      <c r="K57" s="12"/>
      <c r="L57" s="13" t="s">
        <v>659</v>
      </c>
      <c r="M57" s="13" t="s">
        <v>74</v>
      </c>
      <c r="N57" s="12" t="s">
        <v>318</v>
      </c>
      <c r="O57" s="12"/>
      <c r="P57" s="13" t="s">
        <v>264</v>
      </c>
      <c r="Q57" s="13" t="s">
        <v>400</v>
      </c>
      <c r="R57" s="13" t="s">
        <v>241</v>
      </c>
      <c r="S57" s="12"/>
      <c r="T57" s="11" t="str">
        <f>"407,5"</f>
        <v>407,5</v>
      </c>
      <c r="U57" s="13" t="str">
        <f>"241,7697"</f>
        <v>241,7697</v>
      </c>
      <c r="V57" s="11" t="s">
        <v>1196</v>
      </c>
    </row>
    <row r="58" spans="1:22" x14ac:dyDescent="0.2">
      <c r="A58" s="11" t="s">
        <v>1197</v>
      </c>
      <c r="B58" s="11" t="s">
        <v>1436</v>
      </c>
      <c r="C58" s="11" t="s">
        <v>1198</v>
      </c>
      <c r="D58" s="11" t="s">
        <v>1199</v>
      </c>
      <c r="E58" s="11" t="str">
        <f>"0,5888"</f>
        <v>0,5888</v>
      </c>
      <c r="F58" s="11" t="s">
        <v>65</v>
      </c>
      <c r="G58" s="11" t="s">
        <v>66</v>
      </c>
      <c r="H58" s="12" t="s">
        <v>442</v>
      </c>
      <c r="I58" s="12" t="s">
        <v>536</v>
      </c>
      <c r="J58" s="12" t="s">
        <v>536</v>
      </c>
      <c r="K58" s="12"/>
      <c r="L58" s="12" t="s">
        <v>356</v>
      </c>
      <c r="M58" s="12"/>
      <c r="N58" s="12"/>
      <c r="O58" s="12"/>
      <c r="P58" s="12" t="s">
        <v>507</v>
      </c>
      <c r="Q58" s="12"/>
      <c r="R58" s="12"/>
      <c r="S58" s="12"/>
      <c r="T58" s="11" t="str">
        <f>"0,0"</f>
        <v>0,0</v>
      </c>
      <c r="U58" s="13" t="str">
        <f>"0,0000"</f>
        <v>0,0000</v>
      </c>
      <c r="V58" s="11" t="s">
        <v>987</v>
      </c>
    </row>
    <row r="59" spans="1:22" x14ac:dyDescent="0.2">
      <c r="A59" s="11" t="s">
        <v>1200</v>
      </c>
      <c r="B59" s="11" t="s">
        <v>1442</v>
      </c>
      <c r="C59" s="11" t="s">
        <v>1201</v>
      </c>
      <c r="D59" s="11" t="s">
        <v>1202</v>
      </c>
      <c r="E59" s="11" t="str">
        <f>"0,5897"</f>
        <v>0,5897</v>
      </c>
      <c r="F59" s="11" t="s">
        <v>65</v>
      </c>
      <c r="G59" s="11" t="s">
        <v>66</v>
      </c>
      <c r="H59" s="13" t="s">
        <v>412</v>
      </c>
      <c r="I59" s="13" t="s">
        <v>413</v>
      </c>
      <c r="J59" s="13" t="s">
        <v>535</v>
      </c>
      <c r="K59" s="12"/>
      <c r="L59" s="13" t="s">
        <v>269</v>
      </c>
      <c r="M59" s="13" t="s">
        <v>241</v>
      </c>
      <c r="N59" s="13" t="s">
        <v>290</v>
      </c>
      <c r="O59" s="12"/>
      <c r="P59" s="13" t="s">
        <v>388</v>
      </c>
      <c r="Q59" s="13" t="s">
        <v>442</v>
      </c>
      <c r="R59" s="13" t="s">
        <v>471</v>
      </c>
      <c r="S59" s="12"/>
      <c r="T59" s="11" t="str">
        <f>"625,0"</f>
        <v>625,0</v>
      </c>
      <c r="U59" s="13" t="str">
        <f>"368,5625"</f>
        <v>368,5625</v>
      </c>
      <c r="V59" s="11" t="s">
        <v>62</v>
      </c>
    </row>
    <row r="60" spans="1:22" x14ac:dyDescent="0.2">
      <c r="A60" s="14" t="s">
        <v>1203</v>
      </c>
      <c r="B60" s="14" t="s">
        <v>1442</v>
      </c>
      <c r="C60" s="14" t="s">
        <v>1204</v>
      </c>
      <c r="D60" s="14" t="s">
        <v>1205</v>
      </c>
      <c r="E60" s="14" t="str">
        <f>"0,6048"</f>
        <v>0,6048</v>
      </c>
      <c r="F60" s="14" t="s">
        <v>14</v>
      </c>
      <c r="G60" s="14" t="s">
        <v>259</v>
      </c>
      <c r="H60" s="16" t="s">
        <v>280</v>
      </c>
      <c r="I60" s="16" t="s">
        <v>413</v>
      </c>
      <c r="J60" s="15" t="s">
        <v>507</v>
      </c>
      <c r="K60" s="15"/>
      <c r="L60" s="16" t="s">
        <v>356</v>
      </c>
      <c r="M60" s="16" t="s">
        <v>264</v>
      </c>
      <c r="N60" s="15" t="s">
        <v>426</v>
      </c>
      <c r="O60" s="15"/>
      <c r="P60" s="16" t="s">
        <v>442</v>
      </c>
      <c r="Q60" s="16" t="s">
        <v>507</v>
      </c>
      <c r="R60" s="16" t="s">
        <v>536</v>
      </c>
      <c r="S60" s="15"/>
      <c r="T60" s="14" t="str">
        <f>"600,0"</f>
        <v>600,0</v>
      </c>
      <c r="U60" s="16" t="str">
        <f>"374,1293"</f>
        <v>374,1293</v>
      </c>
      <c r="V60" s="14" t="s">
        <v>1206</v>
      </c>
    </row>
    <row r="62" spans="1:22" ht="15" x14ac:dyDescent="0.2">
      <c r="A62" s="32" t="s">
        <v>84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</row>
    <row r="63" spans="1:22" x14ac:dyDescent="0.2">
      <c r="A63" s="6" t="s">
        <v>1207</v>
      </c>
      <c r="B63" s="6" t="s">
        <v>1442</v>
      </c>
      <c r="C63" s="6" t="s">
        <v>1208</v>
      </c>
      <c r="D63" s="6" t="s">
        <v>773</v>
      </c>
      <c r="E63" s="6" t="str">
        <f>"0,5713"</f>
        <v>0,5713</v>
      </c>
      <c r="F63" s="6" t="s">
        <v>65</v>
      </c>
      <c r="G63" s="6" t="s">
        <v>66</v>
      </c>
      <c r="H63" s="7" t="s">
        <v>535</v>
      </c>
      <c r="I63" s="8" t="s">
        <v>535</v>
      </c>
      <c r="J63" s="7" t="s">
        <v>536</v>
      </c>
      <c r="K63" s="7"/>
      <c r="L63" s="8" t="s">
        <v>269</v>
      </c>
      <c r="M63" s="8" t="s">
        <v>241</v>
      </c>
      <c r="N63" s="7" t="s">
        <v>382</v>
      </c>
      <c r="O63" s="7"/>
      <c r="P63" s="8" t="s">
        <v>442</v>
      </c>
      <c r="Q63" s="8" t="s">
        <v>536</v>
      </c>
      <c r="R63" s="8" t="s">
        <v>508</v>
      </c>
      <c r="S63" s="7"/>
      <c r="T63" s="6" t="str">
        <f>"645,0"</f>
        <v>645,0</v>
      </c>
      <c r="U63" s="8" t="str">
        <f>"368,4885"</f>
        <v>368,4885</v>
      </c>
      <c r="V63" s="6" t="s">
        <v>62</v>
      </c>
    </row>
    <row r="65" spans="1:22" ht="15" x14ac:dyDescent="0.2">
      <c r="F65" s="17" t="s">
        <v>96</v>
      </c>
      <c r="G65" s="3"/>
      <c r="T65" s="3"/>
      <c r="V65" s="3"/>
    </row>
    <row r="66" spans="1:22" ht="15" x14ac:dyDescent="0.2">
      <c r="F66" s="17" t="s">
        <v>97</v>
      </c>
      <c r="G66" s="3"/>
      <c r="T66" s="3"/>
      <c r="V66" s="3"/>
    </row>
    <row r="67" spans="1:22" ht="15" x14ac:dyDescent="0.2">
      <c r="F67" s="17" t="s">
        <v>98</v>
      </c>
      <c r="G67" s="3"/>
      <c r="T67" s="3"/>
      <c r="V67" s="3"/>
    </row>
    <row r="68" spans="1:22" ht="15" x14ac:dyDescent="0.2">
      <c r="F68" s="17"/>
      <c r="G68" s="3"/>
      <c r="T68" s="3"/>
      <c r="V68" s="3"/>
    </row>
    <row r="69" spans="1:22" x14ac:dyDescent="0.2">
      <c r="G69" s="3"/>
      <c r="T69" s="3"/>
      <c r="V69" s="3"/>
    </row>
    <row r="70" spans="1:22" ht="18" x14ac:dyDescent="0.25">
      <c r="A70" s="18" t="s">
        <v>99</v>
      </c>
      <c r="B70" s="18"/>
      <c r="C70" s="18"/>
      <c r="G70" s="3"/>
      <c r="T70" s="3"/>
      <c r="V70" s="3"/>
    </row>
    <row r="71" spans="1:22" ht="15" x14ac:dyDescent="0.2">
      <c r="A71" s="19" t="s">
        <v>547</v>
      </c>
      <c r="B71" s="19"/>
      <c r="C71" s="19"/>
      <c r="G71" s="3"/>
      <c r="T71" s="3"/>
      <c r="V71" s="3"/>
    </row>
    <row r="72" spans="1:22" ht="14.25" x14ac:dyDescent="0.2">
      <c r="A72" s="21"/>
      <c r="B72" s="21"/>
      <c r="C72" s="22" t="s">
        <v>107</v>
      </c>
      <c r="G72" s="3"/>
      <c r="T72" s="3"/>
      <c r="V72" s="3"/>
    </row>
    <row r="73" spans="1:22" ht="15" x14ac:dyDescent="0.2">
      <c r="A73" s="23" t="s">
        <v>101</v>
      </c>
      <c r="B73" s="23"/>
      <c r="C73" s="23" t="s">
        <v>102</v>
      </c>
      <c r="D73" s="23" t="s">
        <v>103</v>
      </c>
      <c r="E73" s="23" t="s">
        <v>104</v>
      </c>
      <c r="F73" s="23" t="s">
        <v>291</v>
      </c>
      <c r="G73" s="3"/>
      <c r="T73" s="3"/>
      <c r="V73" s="3"/>
    </row>
    <row r="74" spans="1:22" x14ac:dyDescent="0.2">
      <c r="A74" s="20" t="s">
        <v>1209</v>
      </c>
      <c r="B74" s="20"/>
      <c r="C74" s="4" t="s">
        <v>107</v>
      </c>
      <c r="D74" s="4" t="s">
        <v>16</v>
      </c>
      <c r="E74" s="4" t="s">
        <v>1210</v>
      </c>
      <c r="F74" s="24" t="s">
        <v>1211</v>
      </c>
      <c r="G74" s="3"/>
      <c r="T74" s="3"/>
      <c r="V74" s="3"/>
    </row>
    <row r="75" spans="1:22" x14ac:dyDescent="0.2">
      <c r="G75" s="3"/>
      <c r="T75" s="3"/>
      <c r="V75" s="3"/>
    </row>
    <row r="76" spans="1:22" x14ac:dyDescent="0.2">
      <c r="G76" s="3"/>
      <c r="T76" s="3"/>
      <c r="V76" s="3"/>
    </row>
    <row r="77" spans="1:22" ht="15" x14ac:dyDescent="0.2">
      <c r="A77" s="19" t="s">
        <v>100</v>
      </c>
      <c r="B77" s="19"/>
      <c r="C77" s="19"/>
      <c r="G77" s="3"/>
      <c r="T77" s="3"/>
      <c r="V77" s="3"/>
    </row>
    <row r="78" spans="1:22" ht="14.25" x14ac:dyDescent="0.2">
      <c r="A78" s="21"/>
      <c r="B78" s="21"/>
      <c r="C78" s="22" t="s">
        <v>107</v>
      </c>
      <c r="G78" s="3"/>
      <c r="T78" s="3"/>
      <c r="V78" s="3"/>
    </row>
    <row r="79" spans="1:22" ht="15" x14ac:dyDescent="0.2">
      <c r="A79" s="23" t="s">
        <v>101</v>
      </c>
      <c r="B79" s="23"/>
      <c r="C79" s="23" t="s">
        <v>102</v>
      </c>
      <c r="D79" s="23" t="s">
        <v>103</v>
      </c>
      <c r="E79" s="23" t="s">
        <v>104</v>
      </c>
      <c r="F79" s="23" t="s">
        <v>291</v>
      </c>
      <c r="G79" s="3"/>
      <c r="T79" s="3"/>
      <c r="V79" s="3"/>
    </row>
    <row r="80" spans="1:22" x14ac:dyDescent="0.2">
      <c r="A80" s="20" t="s">
        <v>1212</v>
      </c>
      <c r="B80" s="20"/>
      <c r="C80" s="4" t="s">
        <v>107</v>
      </c>
      <c r="D80" s="4" t="s">
        <v>114</v>
      </c>
      <c r="E80" s="4" t="s">
        <v>1213</v>
      </c>
      <c r="F80" s="24" t="s">
        <v>1214</v>
      </c>
      <c r="G80" s="3"/>
      <c r="T80" s="3"/>
      <c r="V80" s="3"/>
    </row>
    <row r="81" spans="1:22" x14ac:dyDescent="0.2">
      <c r="A81" s="20" t="s">
        <v>1215</v>
      </c>
      <c r="B81" s="20"/>
      <c r="C81" s="4" t="s">
        <v>107</v>
      </c>
      <c r="D81" s="4" t="s">
        <v>68</v>
      </c>
      <c r="E81" s="4" t="s">
        <v>1216</v>
      </c>
      <c r="F81" s="24" t="s">
        <v>1217</v>
      </c>
      <c r="G81" s="3"/>
      <c r="T81" s="3"/>
      <c r="V81" s="3"/>
    </row>
    <row r="82" spans="1:22" x14ac:dyDescent="0.2">
      <c r="A82" s="20" t="s">
        <v>1218</v>
      </c>
      <c r="B82" s="20"/>
      <c r="C82" s="4" t="s">
        <v>107</v>
      </c>
      <c r="D82" s="4" t="s">
        <v>68</v>
      </c>
      <c r="E82" s="4" t="s">
        <v>1219</v>
      </c>
      <c r="F82" s="24" t="s">
        <v>1220</v>
      </c>
      <c r="G82" s="3"/>
      <c r="T82" s="3"/>
      <c r="V82" s="3"/>
    </row>
    <row r="83" spans="1:22" x14ac:dyDescent="0.2">
      <c r="G83" s="3"/>
      <c r="T83" s="3"/>
      <c r="V83" s="3"/>
    </row>
    <row r="84" spans="1:22" ht="14.25" x14ac:dyDescent="0.2">
      <c r="A84" s="21"/>
      <c r="B84" s="21"/>
      <c r="C84" s="22" t="s">
        <v>562</v>
      </c>
      <c r="G84" s="3"/>
      <c r="T84" s="3"/>
      <c r="V84" s="3"/>
    </row>
    <row r="85" spans="1:22" ht="15" x14ac:dyDescent="0.2">
      <c r="A85" s="23" t="s">
        <v>101</v>
      </c>
      <c r="B85" s="23"/>
      <c r="C85" s="23" t="s">
        <v>102</v>
      </c>
      <c r="D85" s="23" t="s">
        <v>103</v>
      </c>
      <c r="E85" s="23" t="s">
        <v>104</v>
      </c>
      <c r="F85" s="23" t="s">
        <v>291</v>
      </c>
      <c r="G85" s="3"/>
      <c r="T85" s="3"/>
      <c r="V85" s="3"/>
    </row>
    <row r="86" spans="1:22" x14ac:dyDescent="0.2">
      <c r="A86" s="20" t="s">
        <v>1221</v>
      </c>
      <c r="B86" s="20"/>
      <c r="C86" s="4" t="s">
        <v>1222</v>
      </c>
      <c r="D86" s="4" t="s">
        <v>83</v>
      </c>
      <c r="E86" s="4" t="s">
        <v>1100</v>
      </c>
      <c r="F86" s="24" t="s">
        <v>1223</v>
      </c>
      <c r="G86" s="3"/>
      <c r="T86" s="3"/>
      <c r="V86" s="3"/>
    </row>
    <row r="87" spans="1:22" x14ac:dyDescent="0.2">
      <c r="G87" s="3"/>
      <c r="T87" s="3"/>
      <c r="V87" s="3"/>
    </row>
    <row r="88" spans="1:22" x14ac:dyDescent="0.2">
      <c r="G88" s="3"/>
      <c r="T88" s="3"/>
      <c r="V88" s="3"/>
    </row>
    <row r="89" spans="1:22" x14ac:dyDescent="0.2">
      <c r="G89" s="3"/>
      <c r="T89" s="3"/>
      <c r="V89" s="3"/>
    </row>
    <row r="90" spans="1:22" x14ac:dyDescent="0.2">
      <c r="G90" s="3"/>
      <c r="T90" s="3"/>
      <c r="V90" s="3"/>
    </row>
    <row r="91" spans="1:22" x14ac:dyDescent="0.2">
      <c r="G91" s="3"/>
      <c r="T91" s="3"/>
      <c r="V91" s="3"/>
    </row>
    <row r="92" spans="1:22" x14ac:dyDescent="0.2">
      <c r="G92" s="3"/>
      <c r="T92" s="3"/>
      <c r="V92" s="3"/>
    </row>
    <row r="93" spans="1:22" x14ac:dyDescent="0.2">
      <c r="G93" s="3"/>
      <c r="T93" s="3"/>
      <c r="V93" s="3"/>
    </row>
    <row r="94" spans="1:22" x14ac:dyDescent="0.2">
      <c r="G94" s="3"/>
      <c r="T94" s="3"/>
      <c r="V94" s="3"/>
    </row>
    <row r="95" spans="1:22" x14ac:dyDescent="0.2">
      <c r="G95" s="3"/>
      <c r="T95" s="3"/>
      <c r="V95" s="3"/>
    </row>
    <row r="96" spans="1:22" x14ac:dyDescent="0.2">
      <c r="G96" s="3"/>
      <c r="T96" s="3"/>
      <c r="V96" s="3"/>
    </row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27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62:V62"/>
    <mergeCell ref="A55:V55"/>
    <mergeCell ref="B3:B4"/>
    <mergeCell ref="A20:V20"/>
    <mergeCell ref="A15:V15"/>
    <mergeCell ref="A11:V11"/>
    <mergeCell ref="A8:V8"/>
    <mergeCell ref="A50:V50"/>
    <mergeCell ref="A43:V43"/>
    <mergeCell ref="A38:V38"/>
    <mergeCell ref="A33:V33"/>
    <mergeCell ref="A27:V27"/>
    <mergeCell ref="A24:V24"/>
    <mergeCell ref="A5:U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workbookViewId="0">
      <selection activeCell="A9" sqref="A9"/>
    </sheetView>
  </sheetViews>
  <sheetFormatPr defaultRowHeight="12.75" x14ac:dyDescent="0.2"/>
  <cols>
    <col min="1" max="1" width="26" style="4" bestFit="1" customWidth="1"/>
    <col min="2" max="2" width="13.42578125" style="4" customWidth="1"/>
    <col min="3" max="3" width="28.4257812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28.5703125" style="4" bestFit="1" customWidth="1"/>
    <col min="8" max="10" width="5.5703125" style="3" bestFit="1" customWidth="1"/>
    <col min="11" max="11" width="4.85546875" style="3" bestFit="1" customWidth="1"/>
    <col min="12" max="14" width="5.5703125" style="3" bestFit="1" customWidth="1"/>
    <col min="15" max="15" width="4.85546875" style="3" bestFit="1" customWidth="1"/>
    <col min="16" max="18" width="5.5703125" style="3" bestFit="1" customWidth="1"/>
    <col min="19" max="19" width="4.85546875" style="3" bestFit="1" customWidth="1"/>
    <col min="20" max="20" width="7.85546875" style="4" bestFit="1" customWidth="1"/>
    <col min="21" max="21" width="8.5703125" style="3" bestFit="1" customWidth="1"/>
    <col min="22" max="22" width="15.140625" style="4" bestFit="1" customWidth="1"/>
    <col min="23" max="257" width="9.140625" style="3"/>
    <col min="258" max="258" width="26" style="3" bestFit="1" customWidth="1"/>
    <col min="259" max="259" width="28.4257812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28.5703125" style="3" bestFit="1" customWidth="1"/>
    <col min="264" max="266" width="5.5703125" style="3" bestFit="1" customWidth="1"/>
    <col min="267" max="267" width="4.85546875" style="3" bestFit="1" customWidth="1"/>
    <col min="268" max="270" width="5.5703125" style="3" bestFit="1" customWidth="1"/>
    <col min="271" max="271" width="4.85546875" style="3" bestFit="1" customWidth="1"/>
    <col min="272" max="274" width="5.5703125" style="3" bestFit="1" customWidth="1"/>
    <col min="275" max="275" width="4.85546875" style="3" bestFit="1" customWidth="1"/>
    <col min="276" max="276" width="7.85546875" style="3" bestFit="1" customWidth="1"/>
    <col min="277" max="277" width="8.5703125" style="3" bestFit="1" customWidth="1"/>
    <col min="278" max="278" width="15.140625" style="3" bestFit="1" customWidth="1"/>
    <col min="279" max="513" width="9.140625" style="3"/>
    <col min="514" max="514" width="26" style="3" bestFit="1" customWidth="1"/>
    <col min="515" max="515" width="28.4257812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28.5703125" style="3" bestFit="1" customWidth="1"/>
    <col min="520" max="522" width="5.5703125" style="3" bestFit="1" customWidth="1"/>
    <col min="523" max="523" width="4.85546875" style="3" bestFit="1" customWidth="1"/>
    <col min="524" max="526" width="5.5703125" style="3" bestFit="1" customWidth="1"/>
    <col min="527" max="527" width="4.85546875" style="3" bestFit="1" customWidth="1"/>
    <col min="528" max="530" width="5.5703125" style="3" bestFit="1" customWidth="1"/>
    <col min="531" max="531" width="4.85546875" style="3" bestFit="1" customWidth="1"/>
    <col min="532" max="532" width="7.85546875" style="3" bestFit="1" customWidth="1"/>
    <col min="533" max="533" width="8.5703125" style="3" bestFit="1" customWidth="1"/>
    <col min="534" max="534" width="15.140625" style="3" bestFit="1" customWidth="1"/>
    <col min="535" max="769" width="9.140625" style="3"/>
    <col min="770" max="770" width="26" style="3" bestFit="1" customWidth="1"/>
    <col min="771" max="771" width="28.4257812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28.5703125" style="3" bestFit="1" customWidth="1"/>
    <col min="776" max="778" width="5.5703125" style="3" bestFit="1" customWidth="1"/>
    <col min="779" max="779" width="4.85546875" style="3" bestFit="1" customWidth="1"/>
    <col min="780" max="782" width="5.5703125" style="3" bestFit="1" customWidth="1"/>
    <col min="783" max="783" width="4.85546875" style="3" bestFit="1" customWidth="1"/>
    <col min="784" max="786" width="5.5703125" style="3" bestFit="1" customWidth="1"/>
    <col min="787" max="787" width="4.85546875" style="3" bestFit="1" customWidth="1"/>
    <col min="788" max="788" width="7.85546875" style="3" bestFit="1" customWidth="1"/>
    <col min="789" max="789" width="8.5703125" style="3" bestFit="1" customWidth="1"/>
    <col min="790" max="790" width="15.140625" style="3" bestFit="1" customWidth="1"/>
    <col min="791" max="1025" width="9.140625" style="3"/>
    <col min="1026" max="1026" width="26" style="3" bestFit="1" customWidth="1"/>
    <col min="1027" max="1027" width="28.4257812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28.5703125" style="3" bestFit="1" customWidth="1"/>
    <col min="1032" max="1034" width="5.5703125" style="3" bestFit="1" customWidth="1"/>
    <col min="1035" max="1035" width="4.85546875" style="3" bestFit="1" customWidth="1"/>
    <col min="1036" max="1038" width="5.5703125" style="3" bestFit="1" customWidth="1"/>
    <col min="1039" max="1039" width="4.85546875" style="3" bestFit="1" customWidth="1"/>
    <col min="1040" max="1042" width="5.5703125" style="3" bestFit="1" customWidth="1"/>
    <col min="1043" max="1043" width="4.85546875" style="3" bestFit="1" customWidth="1"/>
    <col min="1044" max="1044" width="7.85546875" style="3" bestFit="1" customWidth="1"/>
    <col min="1045" max="1045" width="8.5703125" style="3" bestFit="1" customWidth="1"/>
    <col min="1046" max="1046" width="15.140625" style="3" bestFit="1" customWidth="1"/>
    <col min="1047" max="1281" width="9.140625" style="3"/>
    <col min="1282" max="1282" width="26" style="3" bestFit="1" customWidth="1"/>
    <col min="1283" max="1283" width="28.4257812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28.5703125" style="3" bestFit="1" customWidth="1"/>
    <col min="1288" max="1290" width="5.5703125" style="3" bestFit="1" customWidth="1"/>
    <col min="1291" max="1291" width="4.85546875" style="3" bestFit="1" customWidth="1"/>
    <col min="1292" max="1294" width="5.5703125" style="3" bestFit="1" customWidth="1"/>
    <col min="1295" max="1295" width="4.85546875" style="3" bestFit="1" customWidth="1"/>
    <col min="1296" max="1298" width="5.5703125" style="3" bestFit="1" customWidth="1"/>
    <col min="1299" max="1299" width="4.85546875" style="3" bestFit="1" customWidth="1"/>
    <col min="1300" max="1300" width="7.85546875" style="3" bestFit="1" customWidth="1"/>
    <col min="1301" max="1301" width="8.5703125" style="3" bestFit="1" customWidth="1"/>
    <col min="1302" max="1302" width="15.140625" style="3" bestFit="1" customWidth="1"/>
    <col min="1303" max="1537" width="9.140625" style="3"/>
    <col min="1538" max="1538" width="26" style="3" bestFit="1" customWidth="1"/>
    <col min="1539" max="1539" width="28.4257812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28.5703125" style="3" bestFit="1" customWidth="1"/>
    <col min="1544" max="1546" width="5.5703125" style="3" bestFit="1" customWidth="1"/>
    <col min="1547" max="1547" width="4.85546875" style="3" bestFit="1" customWidth="1"/>
    <col min="1548" max="1550" width="5.5703125" style="3" bestFit="1" customWidth="1"/>
    <col min="1551" max="1551" width="4.85546875" style="3" bestFit="1" customWidth="1"/>
    <col min="1552" max="1554" width="5.5703125" style="3" bestFit="1" customWidth="1"/>
    <col min="1555" max="1555" width="4.85546875" style="3" bestFit="1" customWidth="1"/>
    <col min="1556" max="1556" width="7.85546875" style="3" bestFit="1" customWidth="1"/>
    <col min="1557" max="1557" width="8.5703125" style="3" bestFit="1" customWidth="1"/>
    <col min="1558" max="1558" width="15.140625" style="3" bestFit="1" customWidth="1"/>
    <col min="1559" max="1793" width="9.140625" style="3"/>
    <col min="1794" max="1794" width="26" style="3" bestFit="1" customWidth="1"/>
    <col min="1795" max="1795" width="28.4257812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28.5703125" style="3" bestFit="1" customWidth="1"/>
    <col min="1800" max="1802" width="5.5703125" style="3" bestFit="1" customWidth="1"/>
    <col min="1803" max="1803" width="4.85546875" style="3" bestFit="1" customWidth="1"/>
    <col min="1804" max="1806" width="5.5703125" style="3" bestFit="1" customWidth="1"/>
    <col min="1807" max="1807" width="4.85546875" style="3" bestFit="1" customWidth="1"/>
    <col min="1808" max="1810" width="5.5703125" style="3" bestFit="1" customWidth="1"/>
    <col min="1811" max="1811" width="4.85546875" style="3" bestFit="1" customWidth="1"/>
    <col min="1812" max="1812" width="7.85546875" style="3" bestFit="1" customWidth="1"/>
    <col min="1813" max="1813" width="8.5703125" style="3" bestFit="1" customWidth="1"/>
    <col min="1814" max="1814" width="15.140625" style="3" bestFit="1" customWidth="1"/>
    <col min="1815" max="2049" width="9.140625" style="3"/>
    <col min="2050" max="2050" width="26" style="3" bestFit="1" customWidth="1"/>
    <col min="2051" max="2051" width="28.4257812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28.5703125" style="3" bestFit="1" customWidth="1"/>
    <col min="2056" max="2058" width="5.5703125" style="3" bestFit="1" customWidth="1"/>
    <col min="2059" max="2059" width="4.85546875" style="3" bestFit="1" customWidth="1"/>
    <col min="2060" max="2062" width="5.5703125" style="3" bestFit="1" customWidth="1"/>
    <col min="2063" max="2063" width="4.85546875" style="3" bestFit="1" customWidth="1"/>
    <col min="2064" max="2066" width="5.5703125" style="3" bestFit="1" customWidth="1"/>
    <col min="2067" max="2067" width="4.85546875" style="3" bestFit="1" customWidth="1"/>
    <col min="2068" max="2068" width="7.85546875" style="3" bestFit="1" customWidth="1"/>
    <col min="2069" max="2069" width="8.5703125" style="3" bestFit="1" customWidth="1"/>
    <col min="2070" max="2070" width="15.140625" style="3" bestFit="1" customWidth="1"/>
    <col min="2071" max="2305" width="9.140625" style="3"/>
    <col min="2306" max="2306" width="26" style="3" bestFit="1" customWidth="1"/>
    <col min="2307" max="2307" width="28.4257812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28.5703125" style="3" bestFit="1" customWidth="1"/>
    <col min="2312" max="2314" width="5.5703125" style="3" bestFit="1" customWidth="1"/>
    <col min="2315" max="2315" width="4.85546875" style="3" bestFit="1" customWidth="1"/>
    <col min="2316" max="2318" width="5.5703125" style="3" bestFit="1" customWidth="1"/>
    <col min="2319" max="2319" width="4.85546875" style="3" bestFit="1" customWidth="1"/>
    <col min="2320" max="2322" width="5.5703125" style="3" bestFit="1" customWidth="1"/>
    <col min="2323" max="2323" width="4.85546875" style="3" bestFit="1" customWidth="1"/>
    <col min="2324" max="2324" width="7.85546875" style="3" bestFit="1" customWidth="1"/>
    <col min="2325" max="2325" width="8.5703125" style="3" bestFit="1" customWidth="1"/>
    <col min="2326" max="2326" width="15.140625" style="3" bestFit="1" customWidth="1"/>
    <col min="2327" max="2561" width="9.140625" style="3"/>
    <col min="2562" max="2562" width="26" style="3" bestFit="1" customWidth="1"/>
    <col min="2563" max="2563" width="28.4257812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28.5703125" style="3" bestFit="1" customWidth="1"/>
    <col min="2568" max="2570" width="5.5703125" style="3" bestFit="1" customWidth="1"/>
    <col min="2571" max="2571" width="4.85546875" style="3" bestFit="1" customWidth="1"/>
    <col min="2572" max="2574" width="5.5703125" style="3" bestFit="1" customWidth="1"/>
    <col min="2575" max="2575" width="4.85546875" style="3" bestFit="1" customWidth="1"/>
    <col min="2576" max="2578" width="5.5703125" style="3" bestFit="1" customWidth="1"/>
    <col min="2579" max="2579" width="4.85546875" style="3" bestFit="1" customWidth="1"/>
    <col min="2580" max="2580" width="7.85546875" style="3" bestFit="1" customWidth="1"/>
    <col min="2581" max="2581" width="8.5703125" style="3" bestFit="1" customWidth="1"/>
    <col min="2582" max="2582" width="15.140625" style="3" bestFit="1" customWidth="1"/>
    <col min="2583" max="2817" width="9.140625" style="3"/>
    <col min="2818" max="2818" width="26" style="3" bestFit="1" customWidth="1"/>
    <col min="2819" max="2819" width="28.4257812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28.5703125" style="3" bestFit="1" customWidth="1"/>
    <col min="2824" max="2826" width="5.5703125" style="3" bestFit="1" customWidth="1"/>
    <col min="2827" max="2827" width="4.85546875" style="3" bestFit="1" customWidth="1"/>
    <col min="2828" max="2830" width="5.5703125" style="3" bestFit="1" customWidth="1"/>
    <col min="2831" max="2831" width="4.85546875" style="3" bestFit="1" customWidth="1"/>
    <col min="2832" max="2834" width="5.5703125" style="3" bestFit="1" customWidth="1"/>
    <col min="2835" max="2835" width="4.85546875" style="3" bestFit="1" customWidth="1"/>
    <col min="2836" max="2836" width="7.85546875" style="3" bestFit="1" customWidth="1"/>
    <col min="2837" max="2837" width="8.5703125" style="3" bestFit="1" customWidth="1"/>
    <col min="2838" max="2838" width="15.140625" style="3" bestFit="1" customWidth="1"/>
    <col min="2839" max="3073" width="9.140625" style="3"/>
    <col min="3074" max="3074" width="26" style="3" bestFit="1" customWidth="1"/>
    <col min="3075" max="3075" width="28.4257812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28.5703125" style="3" bestFit="1" customWidth="1"/>
    <col min="3080" max="3082" width="5.5703125" style="3" bestFit="1" customWidth="1"/>
    <col min="3083" max="3083" width="4.85546875" style="3" bestFit="1" customWidth="1"/>
    <col min="3084" max="3086" width="5.5703125" style="3" bestFit="1" customWidth="1"/>
    <col min="3087" max="3087" width="4.85546875" style="3" bestFit="1" customWidth="1"/>
    <col min="3088" max="3090" width="5.5703125" style="3" bestFit="1" customWidth="1"/>
    <col min="3091" max="3091" width="4.85546875" style="3" bestFit="1" customWidth="1"/>
    <col min="3092" max="3092" width="7.85546875" style="3" bestFit="1" customWidth="1"/>
    <col min="3093" max="3093" width="8.5703125" style="3" bestFit="1" customWidth="1"/>
    <col min="3094" max="3094" width="15.140625" style="3" bestFit="1" customWidth="1"/>
    <col min="3095" max="3329" width="9.140625" style="3"/>
    <col min="3330" max="3330" width="26" style="3" bestFit="1" customWidth="1"/>
    <col min="3331" max="3331" width="28.4257812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28.5703125" style="3" bestFit="1" customWidth="1"/>
    <col min="3336" max="3338" width="5.5703125" style="3" bestFit="1" customWidth="1"/>
    <col min="3339" max="3339" width="4.85546875" style="3" bestFit="1" customWidth="1"/>
    <col min="3340" max="3342" width="5.5703125" style="3" bestFit="1" customWidth="1"/>
    <col min="3343" max="3343" width="4.85546875" style="3" bestFit="1" customWidth="1"/>
    <col min="3344" max="3346" width="5.5703125" style="3" bestFit="1" customWidth="1"/>
    <col min="3347" max="3347" width="4.85546875" style="3" bestFit="1" customWidth="1"/>
    <col min="3348" max="3348" width="7.85546875" style="3" bestFit="1" customWidth="1"/>
    <col min="3349" max="3349" width="8.5703125" style="3" bestFit="1" customWidth="1"/>
    <col min="3350" max="3350" width="15.140625" style="3" bestFit="1" customWidth="1"/>
    <col min="3351" max="3585" width="9.140625" style="3"/>
    <col min="3586" max="3586" width="26" style="3" bestFit="1" customWidth="1"/>
    <col min="3587" max="3587" width="28.4257812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28.5703125" style="3" bestFit="1" customWidth="1"/>
    <col min="3592" max="3594" width="5.5703125" style="3" bestFit="1" customWidth="1"/>
    <col min="3595" max="3595" width="4.85546875" style="3" bestFit="1" customWidth="1"/>
    <col min="3596" max="3598" width="5.5703125" style="3" bestFit="1" customWidth="1"/>
    <col min="3599" max="3599" width="4.85546875" style="3" bestFit="1" customWidth="1"/>
    <col min="3600" max="3602" width="5.5703125" style="3" bestFit="1" customWidth="1"/>
    <col min="3603" max="3603" width="4.85546875" style="3" bestFit="1" customWidth="1"/>
    <col min="3604" max="3604" width="7.85546875" style="3" bestFit="1" customWidth="1"/>
    <col min="3605" max="3605" width="8.5703125" style="3" bestFit="1" customWidth="1"/>
    <col min="3606" max="3606" width="15.140625" style="3" bestFit="1" customWidth="1"/>
    <col min="3607" max="3841" width="9.140625" style="3"/>
    <col min="3842" max="3842" width="26" style="3" bestFit="1" customWidth="1"/>
    <col min="3843" max="3843" width="28.4257812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28.5703125" style="3" bestFit="1" customWidth="1"/>
    <col min="3848" max="3850" width="5.5703125" style="3" bestFit="1" customWidth="1"/>
    <col min="3851" max="3851" width="4.85546875" style="3" bestFit="1" customWidth="1"/>
    <col min="3852" max="3854" width="5.5703125" style="3" bestFit="1" customWidth="1"/>
    <col min="3855" max="3855" width="4.85546875" style="3" bestFit="1" customWidth="1"/>
    <col min="3856" max="3858" width="5.5703125" style="3" bestFit="1" customWidth="1"/>
    <col min="3859" max="3859" width="4.85546875" style="3" bestFit="1" customWidth="1"/>
    <col min="3860" max="3860" width="7.85546875" style="3" bestFit="1" customWidth="1"/>
    <col min="3861" max="3861" width="8.5703125" style="3" bestFit="1" customWidth="1"/>
    <col min="3862" max="3862" width="15.140625" style="3" bestFit="1" customWidth="1"/>
    <col min="3863" max="4097" width="9.140625" style="3"/>
    <col min="4098" max="4098" width="26" style="3" bestFit="1" customWidth="1"/>
    <col min="4099" max="4099" width="28.4257812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28.5703125" style="3" bestFit="1" customWidth="1"/>
    <col min="4104" max="4106" width="5.5703125" style="3" bestFit="1" customWidth="1"/>
    <col min="4107" max="4107" width="4.85546875" style="3" bestFit="1" customWidth="1"/>
    <col min="4108" max="4110" width="5.5703125" style="3" bestFit="1" customWidth="1"/>
    <col min="4111" max="4111" width="4.85546875" style="3" bestFit="1" customWidth="1"/>
    <col min="4112" max="4114" width="5.5703125" style="3" bestFit="1" customWidth="1"/>
    <col min="4115" max="4115" width="4.85546875" style="3" bestFit="1" customWidth="1"/>
    <col min="4116" max="4116" width="7.85546875" style="3" bestFit="1" customWidth="1"/>
    <col min="4117" max="4117" width="8.5703125" style="3" bestFit="1" customWidth="1"/>
    <col min="4118" max="4118" width="15.140625" style="3" bestFit="1" customWidth="1"/>
    <col min="4119" max="4353" width="9.140625" style="3"/>
    <col min="4354" max="4354" width="26" style="3" bestFit="1" customWidth="1"/>
    <col min="4355" max="4355" width="28.4257812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28.5703125" style="3" bestFit="1" customWidth="1"/>
    <col min="4360" max="4362" width="5.5703125" style="3" bestFit="1" customWidth="1"/>
    <col min="4363" max="4363" width="4.85546875" style="3" bestFit="1" customWidth="1"/>
    <col min="4364" max="4366" width="5.5703125" style="3" bestFit="1" customWidth="1"/>
    <col min="4367" max="4367" width="4.85546875" style="3" bestFit="1" customWidth="1"/>
    <col min="4368" max="4370" width="5.5703125" style="3" bestFit="1" customWidth="1"/>
    <col min="4371" max="4371" width="4.85546875" style="3" bestFit="1" customWidth="1"/>
    <col min="4372" max="4372" width="7.85546875" style="3" bestFit="1" customWidth="1"/>
    <col min="4373" max="4373" width="8.5703125" style="3" bestFit="1" customWidth="1"/>
    <col min="4374" max="4374" width="15.140625" style="3" bestFit="1" customWidth="1"/>
    <col min="4375" max="4609" width="9.140625" style="3"/>
    <col min="4610" max="4610" width="26" style="3" bestFit="1" customWidth="1"/>
    <col min="4611" max="4611" width="28.4257812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28.5703125" style="3" bestFit="1" customWidth="1"/>
    <col min="4616" max="4618" width="5.5703125" style="3" bestFit="1" customWidth="1"/>
    <col min="4619" max="4619" width="4.85546875" style="3" bestFit="1" customWidth="1"/>
    <col min="4620" max="4622" width="5.5703125" style="3" bestFit="1" customWidth="1"/>
    <col min="4623" max="4623" width="4.85546875" style="3" bestFit="1" customWidth="1"/>
    <col min="4624" max="4626" width="5.5703125" style="3" bestFit="1" customWidth="1"/>
    <col min="4627" max="4627" width="4.85546875" style="3" bestFit="1" customWidth="1"/>
    <col min="4628" max="4628" width="7.85546875" style="3" bestFit="1" customWidth="1"/>
    <col min="4629" max="4629" width="8.5703125" style="3" bestFit="1" customWidth="1"/>
    <col min="4630" max="4630" width="15.140625" style="3" bestFit="1" customWidth="1"/>
    <col min="4631" max="4865" width="9.140625" style="3"/>
    <col min="4866" max="4866" width="26" style="3" bestFit="1" customWidth="1"/>
    <col min="4867" max="4867" width="28.4257812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28.5703125" style="3" bestFit="1" customWidth="1"/>
    <col min="4872" max="4874" width="5.5703125" style="3" bestFit="1" customWidth="1"/>
    <col min="4875" max="4875" width="4.85546875" style="3" bestFit="1" customWidth="1"/>
    <col min="4876" max="4878" width="5.5703125" style="3" bestFit="1" customWidth="1"/>
    <col min="4879" max="4879" width="4.85546875" style="3" bestFit="1" customWidth="1"/>
    <col min="4880" max="4882" width="5.5703125" style="3" bestFit="1" customWidth="1"/>
    <col min="4883" max="4883" width="4.85546875" style="3" bestFit="1" customWidth="1"/>
    <col min="4884" max="4884" width="7.85546875" style="3" bestFit="1" customWidth="1"/>
    <col min="4885" max="4885" width="8.5703125" style="3" bestFit="1" customWidth="1"/>
    <col min="4886" max="4886" width="15.140625" style="3" bestFit="1" customWidth="1"/>
    <col min="4887" max="5121" width="9.140625" style="3"/>
    <col min="5122" max="5122" width="26" style="3" bestFit="1" customWidth="1"/>
    <col min="5123" max="5123" width="28.4257812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28.5703125" style="3" bestFit="1" customWidth="1"/>
    <col min="5128" max="5130" width="5.5703125" style="3" bestFit="1" customWidth="1"/>
    <col min="5131" max="5131" width="4.85546875" style="3" bestFit="1" customWidth="1"/>
    <col min="5132" max="5134" width="5.5703125" style="3" bestFit="1" customWidth="1"/>
    <col min="5135" max="5135" width="4.85546875" style="3" bestFit="1" customWidth="1"/>
    <col min="5136" max="5138" width="5.5703125" style="3" bestFit="1" customWidth="1"/>
    <col min="5139" max="5139" width="4.85546875" style="3" bestFit="1" customWidth="1"/>
    <col min="5140" max="5140" width="7.85546875" style="3" bestFit="1" customWidth="1"/>
    <col min="5141" max="5141" width="8.5703125" style="3" bestFit="1" customWidth="1"/>
    <col min="5142" max="5142" width="15.140625" style="3" bestFit="1" customWidth="1"/>
    <col min="5143" max="5377" width="9.140625" style="3"/>
    <col min="5378" max="5378" width="26" style="3" bestFit="1" customWidth="1"/>
    <col min="5379" max="5379" width="28.4257812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28.5703125" style="3" bestFit="1" customWidth="1"/>
    <col min="5384" max="5386" width="5.5703125" style="3" bestFit="1" customWidth="1"/>
    <col min="5387" max="5387" width="4.85546875" style="3" bestFit="1" customWidth="1"/>
    <col min="5388" max="5390" width="5.5703125" style="3" bestFit="1" customWidth="1"/>
    <col min="5391" max="5391" width="4.85546875" style="3" bestFit="1" customWidth="1"/>
    <col min="5392" max="5394" width="5.5703125" style="3" bestFit="1" customWidth="1"/>
    <col min="5395" max="5395" width="4.85546875" style="3" bestFit="1" customWidth="1"/>
    <col min="5396" max="5396" width="7.85546875" style="3" bestFit="1" customWidth="1"/>
    <col min="5397" max="5397" width="8.5703125" style="3" bestFit="1" customWidth="1"/>
    <col min="5398" max="5398" width="15.140625" style="3" bestFit="1" customWidth="1"/>
    <col min="5399" max="5633" width="9.140625" style="3"/>
    <col min="5634" max="5634" width="26" style="3" bestFit="1" customWidth="1"/>
    <col min="5635" max="5635" width="28.4257812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28.5703125" style="3" bestFit="1" customWidth="1"/>
    <col min="5640" max="5642" width="5.5703125" style="3" bestFit="1" customWidth="1"/>
    <col min="5643" max="5643" width="4.85546875" style="3" bestFit="1" customWidth="1"/>
    <col min="5644" max="5646" width="5.5703125" style="3" bestFit="1" customWidth="1"/>
    <col min="5647" max="5647" width="4.85546875" style="3" bestFit="1" customWidth="1"/>
    <col min="5648" max="5650" width="5.5703125" style="3" bestFit="1" customWidth="1"/>
    <col min="5651" max="5651" width="4.85546875" style="3" bestFit="1" customWidth="1"/>
    <col min="5652" max="5652" width="7.85546875" style="3" bestFit="1" customWidth="1"/>
    <col min="5653" max="5653" width="8.5703125" style="3" bestFit="1" customWidth="1"/>
    <col min="5654" max="5654" width="15.140625" style="3" bestFit="1" customWidth="1"/>
    <col min="5655" max="5889" width="9.140625" style="3"/>
    <col min="5890" max="5890" width="26" style="3" bestFit="1" customWidth="1"/>
    <col min="5891" max="5891" width="28.4257812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28.5703125" style="3" bestFit="1" customWidth="1"/>
    <col min="5896" max="5898" width="5.5703125" style="3" bestFit="1" customWidth="1"/>
    <col min="5899" max="5899" width="4.85546875" style="3" bestFit="1" customWidth="1"/>
    <col min="5900" max="5902" width="5.5703125" style="3" bestFit="1" customWidth="1"/>
    <col min="5903" max="5903" width="4.85546875" style="3" bestFit="1" customWidth="1"/>
    <col min="5904" max="5906" width="5.5703125" style="3" bestFit="1" customWidth="1"/>
    <col min="5907" max="5907" width="4.85546875" style="3" bestFit="1" customWidth="1"/>
    <col min="5908" max="5908" width="7.85546875" style="3" bestFit="1" customWidth="1"/>
    <col min="5909" max="5909" width="8.5703125" style="3" bestFit="1" customWidth="1"/>
    <col min="5910" max="5910" width="15.140625" style="3" bestFit="1" customWidth="1"/>
    <col min="5911" max="6145" width="9.140625" style="3"/>
    <col min="6146" max="6146" width="26" style="3" bestFit="1" customWidth="1"/>
    <col min="6147" max="6147" width="28.4257812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28.5703125" style="3" bestFit="1" customWidth="1"/>
    <col min="6152" max="6154" width="5.5703125" style="3" bestFit="1" customWidth="1"/>
    <col min="6155" max="6155" width="4.85546875" style="3" bestFit="1" customWidth="1"/>
    <col min="6156" max="6158" width="5.5703125" style="3" bestFit="1" customWidth="1"/>
    <col min="6159" max="6159" width="4.85546875" style="3" bestFit="1" customWidth="1"/>
    <col min="6160" max="6162" width="5.5703125" style="3" bestFit="1" customWidth="1"/>
    <col min="6163" max="6163" width="4.85546875" style="3" bestFit="1" customWidth="1"/>
    <col min="6164" max="6164" width="7.85546875" style="3" bestFit="1" customWidth="1"/>
    <col min="6165" max="6165" width="8.5703125" style="3" bestFit="1" customWidth="1"/>
    <col min="6166" max="6166" width="15.140625" style="3" bestFit="1" customWidth="1"/>
    <col min="6167" max="6401" width="9.140625" style="3"/>
    <col min="6402" max="6402" width="26" style="3" bestFit="1" customWidth="1"/>
    <col min="6403" max="6403" width="28.4257812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28.5703125" style="3" bestFit="1" customWidth="1"/>
    <col min="6408" max="6410" width="5.5703125" style="3" bestFit="1" customWidth="1"/>
    <col min="6411" max="6411" width="4.85546875" style="3" bestFit="1" customWidth="1"/>
    <col min="6412" max="6414" width="5.5703125" style="3" bestFit="1" customWidth="1"/>
    <col min="6415" max="6415" width="4.85546875" style="3" bestFit="1" customWidth="1"/>
    <col min="6416" max="6418" width="5.5703125" style="3" bestFit="1" customWidth="1"/>
    <col min="6419" max="6419" width="4.85546875" style="3" bestFit="1" customWidth="1"/>
    <col min="6420" max="6420" width="7.85546875" style="3" bestFit="1" customWidth="1"/>
    <col min="6421" max="6421" width="8.5703125" style="3" bestFit="1" customWidth="1"/>
    <col min="6422" max="6422" width="15.140625" style="3" bestFit="1" customWidth="1"/>
    <col min="6423" max="6657" width="9.140625" style="3"/>
    <col min="6658" max="6658" width="26" style="3" bestFit="1" customWidth="1"/>
    <col min="6659" max="6659" width="28.4257812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28.5703125" style="3" bestFit="1" customWidth="1"/>
    <col min="6664" max="6666" width="5.5703125" style="3" bestFit="1" customWidth="1"/>
    <col min="6667" max="6667" width="4.85546875" style="3" bestFit="1" customWidth="1"/>
    <col min="6668" max="6670" width="5.5703125" style="3" bestFit="1" customWidth="1"/>
    <col min="6671" max="6671" width="4.85546875" style="3" bestFit="1" customWidth="1"/>
    <col min="6672" max="6674" width="5.5703125" style="3" bestFit="1" customWidth="1"/>
    <col min="6675" max="6675" width="4.85546875" style="3" bestFit="1" customWidth="1"/>
    <col min="6676" max="6676" width="7.85546875" style="3" bestFit="1" customWidth="1"/>
    <col min="6677" max="6677" width="8.5703125" style="3" bestFit="1" customWidth="1"/>
    <col min="6678" max="6678" width="15.140625" style="3" bestFit="1" customWidth="1"/>
    <col min="6679" max="6913" width="9.140625" style="3"/>
    <col min="6914" max="6914" width="26" style="3" bestFit="1" customWidth="1"/>
    <col min="6915" max="6915" width="28.4257812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28.5703125" style="3" bestFit="1" customWidth="1"/>
    <col min="6920" max="6922" width="5.5703125" style="3" bestFit="1" customWidth="1"/>
    <col min="6923" max="6923" width="4.85546875" style="3" bestFit="1" customWidth="1"/>
    <col min="6924" max="6926" width="5.5703125" style="3" bestFit="1" customWidth="1"/>
    <col min="6927" max="6927" width="4.85546875" style="3" bestFit="1" customWidth="1"/>
    <col min="6928" max="6930" width="5.5703125" style="3" bestFit="1" customWidth="1"/>
    <col min="6931" max="6931" width="4.85546875" style="3" bestFit="1" customWidth="1"/>
    <col min="6932" max="6932" width="7.85546875" style="3" bestFit="1" customWidth="1"/>
    <col min="6933" max="6933" width="8.5703125" style="3" bestFit="1" customWidth="1"/>
    <col min="6934" max="6934" width="15.140625" style="3" bestFit="1" customWidth="1"/>
    <col min="6935" max="7169" width="9.140625" style="3"/>
    <col min="7170" max="7170" width="26" style="3" bestFit="1" customWidth="1"/>
    <col min="7171" max="7171" width="28.4257812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28.5703125" style="3" bestFit="1" customWidth="1"/>
    <col min="7176" max="7178" width="5.5703125" style="3" bestFit="1" customWidth="1"/>
    <col min="7179" max="7179" width="4.85546875" style="3" bestFit="1" customWidth="1"/>
    <col min="7180" max="7182" width="5.5703125" style="3" bestFit="1" customWidth="1"/>
    <col min="7183" max="7183" width="4.85546875" style="3" bestFit="1" customWidth="1"/>
    <col min="7184" max="7186" width="5.5703125" style="3" bestFit="1" customWidth="1"/>
    <col min="7187" max="7187" width="4.85546875" style="3" bestFit="1" customWidth="1"/>
    <col min="7188" max="7188" width="7.85546875" style="3" bestFit="1" customWidth="1"/>
    <col min="7189" max="7189" width="8.5703125" style="3" bestFit="1" customWidth="1"/>
    <col min="7190" max="7190" width="15.140625" style="3" bestFit="1" customWidth="1"/>
    <col min="7191" max="7425" width="9.140625" style="3"/>
    <col min="7426" max="7426" width="26" style="3" bestFit="1" customWidth="1"/>
    <col min="7427" max="7427" width="28.4257812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28.5703125" style="3" bestFit="1" customWidth="1"/>
    <col min="7432" max="7434" width="5.5703125" style="3" bestFit="1" customWidth="1"/>
    <col min="7435" max="7435" width="4.85546875" style="3" bestFit="1" customWidth="1"/>
    <col min="7436" max="7438" width="5.5703125" style="3" bestFit="1" customWidth="1"/>
    <col min="7439" max="7439" width="4.85546875" style="3" bestFit="1" customWidth="1"/>
    <col min="7440" max="7442" width="5.5703125" style="3" bestFit="1" customWidth="1"/>
    <col min="7443" max="7443" width="4.85546875" style="3" bestFit="1" customWidth="1"/>
    <col min="7444" max="7444" width="7.85546875" style="3" bestFit="1" customWidth="1"/>
    <col min="7445" max="7445" width="8.5703125" style="3" bestFit="1" customWidth="1"/>
    <col min="7446" max="7446" width="15.140625" style="3" bestFit="1" customWidth="1"/>
    <col min="7447" max="7681" width="9.140625" style="3"/>
    <col min="7682" max="7682" width="26" style="3" bestFit="1" customWidth="1"/>
    <col min="7683" max="7683" width="28.4257812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28.5703125" style="3" bestFit="1" customWidth="1"/>
    <col min="7688" max="7690" width="5.5703125" style="3" bestFit="1" customWidth="1"/>
    <col min="7691" max="7691" width="4.85546875" style="3" bestFit="1" customWidth="1"/>
    <col min="7692" max="7694" width="5.5703125" style="3" bestFit="1" customWidth="1"/>
    <col min="7695" max="7695" width="4.85546875" style="3" bestFit="1" customWidth="1"/>
    <col min="7696" max="7698" width="5.5703125" style="3" bestFit="1" customWidth="1"/>
    <col min="7699" max="7699" width="4.85546875" style="3" bestFit="1" customWidth="1"/>
    <col min="7700" max="7700" width="7.85546875" style="3" bestFit="1" customWidth="1"/>
    <col min="7701" max="7701" width="8.5703125" style="3" bestFit="1" customWidth="1"/>
    <col min="7702" max="7702" width="15.140625" style="3" bestFit="1" customWidth="1"/>
    <col min="7703" max="7937" width="9.140625" style="3"/>
    <col min="7938" max="7938" width="26" style="3" bestFit="1" customWidth="1"/>
    <col min="7939" max="7939" width="28.4257812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28.5703125" style="3" bestFit="1" customWidth="1"/>
    <col min="7944" max="7946" width="5.5703125" style="3" bestFit="1" customWidth="1"/>
    <col min="7947" max="7947" width="4.85546875" style="3" bestFit="1" customWidth="1"/>
    <col min="7948" max="7950" width="5.5703125" style="3" bestFit="1" customWidth="1"/>
    <col min="7951" max="7951" width="4.85546875" style="3" bestFit="1" customWidth="1"/>
    <col min="7952" max="7954" width="5.5703125" style="3" bestFit="1" customWidth="1"/>
    <col min="7955" max="7955" width="4.85546875" style="3" bestFit="1" customWidth="1"/>
    <col min="7956" max="7956" width="7.85546875" style="3" bestFit="1" customWidth="1"/>
    <col min="7957" max="7957" width="8.5703125" style="3" bestFit="1" customWidth="1"/>
    <col min="7958" max="7958" width="15.140625" style="3" bestFit="1" customWidth="1"/>
    <col min="7959" max="8193" width="9.140625" style="3"/>
    <col min="8194" max="8194" width="26" style="3" bestFit="1" customWidth="1"/>
    <col min="8195" max="8195" width="28.4257812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28.5703125" style="3" bestFit="1" customWidth="1"/>
    <col min="8200" max="8202" width="5.5703125" style="3" bestFit="1" customWidth="1"/>
    <col min="8203" max="8203" width="4.85546875" style="3" bestFit="1" customWidth="1"/>
    <col min="8204" max="8206" width="5.5703125" style="3" bestFit="1" customWidth="1"/>
    <col min="8207" max="8207" width="4.85546875" style="3" bestFit="1" customWidth="1"/>
    <col min="8208" max="8210" width="5.5703125" style="3" bestFit="1" customWidth="1"/>
    <col min="8211" max="8211" width="4.85546875" style="3" bestFit="1" customWidth="1"/>
    <col min="8212" max="8212" width="7.85546875" style="3" bestFit="1" customWidth="1"/>
    <col min="8213" max="8213" width="8.5703125" style="3" bestFit="1" customWidth="1"/>
    <col min="8214" max="8214" width="15.140625" style="3" bestFit="1" customWidth="1"/>
    <col min="8215" max="8449" width="9.140625" style="3"/>
    <col min="8450" max="8450" width="26" style="3" bestFit="1" customWidth="1"/>
    <col min="8451" max="8451" width="28.4257812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28.5703125" style="3" bestFit="1" customWidth="1"/>
    <col min="8456" max="8458" width="5.5703125" style="3" bestFit="1" customWidth="1"/>
    <col min="8459" max="8459" width="4.85546875" style="3" bestFit="1" customWidth="1"/>
    <col min="8460" max="8462" width="5.5703125" style="3" bestFit="1" customWidth="1"/>
    <col min="8463" max="8463" width="4.85546875" style="3" bestFit="1" customWidth="1"/>
    <col min="8464" max="8466" width="5.5703125" style="3" bestFit="1" customWidth="1"/>
    <col min="8467" max="8467" width="4.85546875" style="3" bestFit="1" customWidth="1"/>
    <col min="8468" max="8468" width="7.85546875" style="3" bestFit="1" customWidth="1"/>
    <col min="8469" max="8469" width="8.5703125" style="3" bestFit="1" customWidth="1"/>
    <col min="8470" max="8470" width="15.140625" style="3" bestFit="1" customWidth="1"/>
    <col min="8471" max="8705" width="9.140625" style="3"/>
    <col min="8706" max="8706" width="26" style="3" bestFit="1" customWidth="1"/>
    <col min="8707" max="8707" width="28.4257812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28.5703125" style="3" bestFit="1" customWidth="1"/>
    <col min="8712" max="8714" width="5.5703125" style="3" bestFit="1" customWidth="1"/>
    <col min="8715" max="8715" width="4.85546875" style="3" bestFit="1" customWidth="1"/>
    <col min="8716" max="8718" width="5.5703125" style="3" bestFit="1" customWidth="1"/>
    <col min="8719" max="8719" width="4.85546875" style="3" bestFit="1" customWidth="1"/>
    <col min="8720" max="8722" width="5.5703125" style="3" bestFit="1" customWidth="1"/>
    <col min="8723" max="8723" width="4.85546875" style="3" bestFit="1" customWidth="1"/>
    <col min="8724" max="8724" width="7.85546875" style="3" bestFit="1" customWidth="1"/>
    <col min="8725" max="8725" width="8.5703125" style="3" bestFit="1" customWidth="1"/>
    <col min="8726" max="8726" width="15.140625" style="3" bestFit="1" customWidth="1"/>
    <col min="8727" max="8961" width="9.140625" style="3"/>
    <col min="8962" max="8962" width="26" style="3" bestFit="1" customWidth="1"/>
    <col min="8963" max="8963" width="28.4257812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28.5703125" style="3" bestFit="1" customWidth="1"/>
    <col min="8968" max="8970" width="5.5703125" style="3" bestFit="1" customWidth="1"/>
    <col min="8971" max="8971" width="4.85546875" style="3" bestFit="1" customWidth="1"/>
    <col min="8972" max="8974" width="5.5703125" style="3" bestFit="1" customWidth="1"/>
    <col min="8975" max="8975" width="4.85546875" style="3" bestFit="1" customWidth="1"/>
    <col min="8976" max="8978" width="5.5703125" style="3" bestFit="1" customWidth="1"/>
    <col min="8979" max="8979" width="4.85546875" style="3" bestFit="1" customWidth="1"/>
    <col min="8980" max="8980" width="7.85546875" style="3" bestFit="1" customWidth="1"/>
    <col min="8981" max="8981" width="8.5703125" style="3" bestFit="1" customWidth="1"/>
    <col min="8982" max="8982" width="15.140625" style="3" bestFit="1" customWidth="1"/>
    <col min="8983" max="9217" width="9.140625" style="3"/>
    <col min="9218" max="9218" width="26" style="3" bestFit="1" customWidth="1"/>
    <col min="9219" max="9219" width="28.4257812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28.5703125" style="3" bestFit="1" customWidth="1"/>
    <col min="9224" max="9226" width="5.5703125" style="3" bestFit="1" customWidth="1"/>
    <col min="9227" max="9227" width="4.85546875" style="3" bestFit="1" customWidth="1"/>
    <col min="9228" max="9230" width="5.5703125" style="3" bestFit="1" customWidth="1"/>
    <col min="9231" max="9231" width="4.85546875" style="3" bestFit="1" customWidth="1"/>
    <col min="9232" max="9234" width="5.5703125" style="3" bestFit="1" customWidth="1"/>
    <col min="9235" max="9235" width="4.85546875" style="3" bestFit="1" customWidth="1"/>
    <col min="9236" max="9236" width="7.85546875" style="3" bestFit="1" customWidth="1"/>
    <col min="9237" max="9237" width="8.5703125" style="3" bestFit="1" customWidth="1"/>
    <col min="9238" max="9238" width="15.140625" style="3" bestFit="1" customWidth="1"/>
    <col min="9239" max="9473" width="9.140625" style="3"/>
    <col min="9474" max="9474" width="26" style="3" bestFit="1" customWidth="1"/>
    <col min="9475" max="9475" width="28.4257812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28.5703125" style="3" bestFit="1" customWidth="1"/>
    <col min="9480" max="9482" width="5.5703125" style="3" bestFit="1" customWidth="1"/>
    <col min="9483" max="9483" width="4.85546875" style="3" bestFit="1" customWidth="1"/>
    <col min="9484" max="9486" width="5.5703125" style="3" bestFit="1" customWidth="1"/>
    <col min="9487" max="9487" width="4.85546875" style="3" bestFit="1" customWidth="1"/>
    <col min="9488" max="9490" width="5.5703125" style="3" bestFit="1" customWidth="1"/>
    <col min="9491" max="9491" width="4.85546875" style="3" bestFit="1" customWidth="1"/>
    <col min="9492" max="9492" width="7.85546875" style="3" bestFit="1" customWidth="1"/>
    <col min="9493" max="9493" width="8.5703125" style="3" bestFit="1" customWidth="1"/>
    <col min="9494" max="9494" width="15.140625" style="3" bestFit="1" customWidth="1"/>
    <col min="9495" max="9729" width="9.140625" style="3"/>
    <col min="9730" max="9730" width="26" style="3" bestFit="1" customWidth="1"/>
    <col min="9731" max="9731" width="28.4257812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28.5703125" style="3" bestFit="1" customWidth="1"/>
    <col min="9736" max="9738" width="5.5703125" style="3" bestFit="1" customWidth="1"/>
    <col min="9739" max="9739" width="4.85546875" style="3" bestFit="1" customWidth="1"/>
    <col min="9740" max="9742" width="5.5703125" style="3" bestFit="1" customWidth="1"/>
    <col min="9743" max="9743" width="4.85546875" style="3" bestFit="1" customWidth="1"/>
    <col min="9744" max="9746" width="5.5703125" style="3" bestFit="1" customWidth="1"/>
    <col min="9747" max="9747" width="4.85546875" style="3" bestFit="1" customWidth="1"/>
    <col min="9748" max="9748" width="7.85546875" style="3" bestFit="1" customWidth="1"/>
    <col min="9749" max="9749" width="8.5703125" style="3" bestFit="1" customWidth="1"/>
    <col min="9750" max="9750" width="15.140625" style="3" bestFit="1" customWidth="1"/>
    <col min="9751" max="9985" width="9.140625" style="3"/>
    <col min="9986" max="9986" width="26" style="3" bestFit="1" customWidth="1"/>
    <col min="9987" max="9987" width="28.4257812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28.5703125" style="3" bestFit="1" customWidth="1"/>
    <col min="9992" max="9994" width="5.5703125" style="3" bestFit="1" customWidth="1"/>
    <col min="9995" max="9995" width="4.85546875" style="3" bestFit="1" customWidth="1"/>
    <col min="9996" max="9998" width="5.5703125" style="3" bestFit="1" customWidth="1"/>
    <col min="9999" max="9999" width="4.85546875" style="3" bestFit="1" customWidth="1"/>
    <col min="10000" max="10002" width="5.5703125" style="3" bestFit="1" customWidth="1"/>
    <col min="10003" max="10003" width="4.85546875" style="3" bestFit="1" customWidth="1"/>
    <col min="10004" max="10004" width="7.85546875" style="3" bestFit="1" customWidth="1"/>
    <col min="10005" max="10005" width="8.5703125" style="3" bestFit="1" customWidth="1"/>
    <col min="10006" max="10006" width="15.140625" style="3" bestFit="1" customWidth="1"/>
    <col min="10007" max="10241" width="9.140625" style="3"/>
    <col min="10242" max="10242" width="26" style="3" bestFit="1" customWidth="1"/>
    <col min="10243" max="10243" width="28.4257812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28.5703125" style="3" bestFit="1" customWidth="1"/>
    <col min="10248" max="10250" width="5.5703125" style="3" bestFit="1" customWidth="1"/>
    <col min="10251" max="10251" width="4.85546875" style="3" bestFit="1" customWidth="1"/>
    <col min="10252" max="10254" width="5.5703125" style="3" bestFit="1" customWidth="1"/>
    <col min="10255" max="10255" width="4.85546875" style="3" bestFit="1" customWidth="1"/>
    <col min="10256" max="10258" width="5.5703125" style="3" bestFit="1" customWidth="1"/>
    <col min="10259" max="10259" width="4.85546875" style="3" bestFit="1" customWidth="1"/>
    <col min="10260" max="10260" width="7.85546875" style="3" bestFit="1" customWidth="1"/>
    <col min="10261" max="10261" width="8.5703125" style="3" bestFit="1" customWidth="1"/>
    <col min="10262" max="10262" width="15.140625" style="3" bestFit="1" customWidth="1"/>
    <col min="10263" max="10497" width="9.140625" style="3"/>
    <col min="10498" max="10498" width="26" style="3" bestFit="1" customWidth="1"/>
    <col min="10499" max="10499" width="28.4257812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28.5703125" style="3" bestFit="1" customWidth="1"/>
    <col min="10504" max="10506" width="5.5703125" style="3" bestFit="1" customWidth="1"/>
    <col min="10507" max="10507" width="4.85546875" style="3" bestFit="1" customWidth="1"/>
    <col min="10508" max="10510" width="5.5703125" style="3" bestFit="1" customWidth="1"/>
    <col min="10511" max="10511" width="4.85546875" style="3" bestFit="1" customWidth="1"/>
    <col min="10512" max="10514" width="5.5703125" style="3" bestFit="1" customWidth="1"/>
    <col min="10515" max="10515" width="4.85546875" style="3" bestFit="1" customWidth="1"/>
    <col min="10516" max="10516" width="7.85546875" style="3" bestFit="1" customWidth="1"/>
    <col min="10517" max="10517" width="8.5703125" style="3" bestFit="1" customWidth="1"/>
    <col min="10518" max="10518" width="15.140625" style="3" bestFit="1" customWidth="1"/>
    <col min="10519" max="10753" width="9.140625" style="3"/>
    <col min="10754" max="10754" width="26" style="3" bestFit="1" customWidth="1"/>
    <col min="10755" max="10755" width="28.4257812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28.5703125" style="3" bestFit="1" customWidth="1"/>
    <col min="10760" max="10762" width="5.5703125" style="3" bestFit="1" customWidth="1"/>
    <col min="10763" max="10763" width="4.85546875" style="3" bestFit="1" customWidth="1"/>
    <col min="10764" max="10766" width="5.5703125" style="3" bestFit="1" customWidth="1"/>
    <col min="10767" max="10767" width="4.85546875" style="3" bestFit="1" customWidth="1"/>
    <col min="10768" max="10770" width="5.5703125" style="3" bestFit="1" customWidth="1"/>
    <col min="10771" max="10771" width="4.85546875" style="3" bestFit="1" customWidth="1"/>
    <col min="10772" max="10772" width="7.85546875" style="3" bestFit="1" customWidth="1"/>
    <col min="10773" max="10773" width="8.5703125" style="3" bestFit="1" customWidth="1"/>
    <col min="10774" max="10774" width="15.140625" style="3" bestFit="1" customWidth="1"/>
    <col min="10775" max="11009" width="9.140625" style="3"/>
    <col min="11010" max="11010" width="26" style="3" bestFit="1" customWidth="1"/>
    <col min="11011" max="11011" width="28.4257812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28.5703125" style="3" bestFit="1" customWidth="1"/>
    <col min="11016" max="11018" width="5.5703125" style="3" bestFit="1" customWidth="1"/>
    <col min="11019" max="11019" width="4.85546875" style="3" bestFit="1" customWidth="1"/>
    <col min="11020" max="11022" width="5.5703125" style="3" bestFit="1" customWidth="1"/>
    <col min="11023" max="11023" width="4.85546875" style="3" bestFit="1" customWidth="1"/>
    <col min="11024" max="11026" width="5.5703125" style="3" bestFit="1" customWidth="1"/>
    <col min="11027" max="11027" width="4.85546875" style="3" bestFit="1" customWidth="1"/>
    <col min="11028" max="11028" width="7.85546875" style="3" bestFit="1" customWidth="1"/>
    <col min="11029" max="11029" width="8.5703125" style="3" bestFit="1" customWidth="1"/>
    <col min="11030" max="11030" width="15.140625" style="3" bestFit="1" customWidth="1"/>
    <col min="11031" max="11265" width="9.140625" style="3"/>
    <col min="11266" max="11266" width="26" style="3" bestFit="1" customWidth="1"/>
    <col min="11267" max="11267" width="28.4257812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28.5703125" style="3" bestFit="1" customWidth="1"/>
    <col min="11272" max="11274" width="5.5703125" style="3" bestFit="1" customWidth="1"/>
    <col min="11275" max="11275" width="4.85546875" style="3" bestFit="1" customWidth="1"/>
    <col min="11276" max="11278" width="5.5703125" style="3" bestFit="1" customWidth="1"/>
    <col min="11279" max="11279" width="4.85546875" style="3" bestFit="1" customWidth="1"/>
    <col min="11280" max="11282" width="5.5703125" style="3" bestFit="1" customWidth="1"/>
    <col min="11283" max="11283" width="4.85546875" style="3" bestFit="1" customWidth="1"/>
    <col min="11284" max="11284" width="7.85546875" style="3" bestFit="1" customWidth="1"/>
    <col min="11285" max="11285" width="8.5703125" style="3" bestFit="1" customWidth="1"/>
    <col min="11286" max="11286" width="15.140625" style="3" bestFit="1" customWidth="1"/>
    <col min="11287" max="11521" width="9.140625" style="3"/>
    <col min="11522" max="11522" width="26" style="3" bestFit="1" customWidth="1"/>
    <col min="11523" max="11523" width="28.4257812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28.5703125" style="3" bestFit="1" customWidth="1"/>
    <col min="11528" max="11530" width="5.5703125" style="3" bestFit="1" customWidth="1"/>
    <col min="11531" max="11531" width="4.85546875" style="3" bestFit="1" customWidth="1"/>
    <col min="11532" max="11534" width="5.5703125" style="3" bestFit="1" customWidth="1"/>
    <col min="11535" max="11535" width="4.85546875" style="3" bestFit="1" customWidth="1"/>
    <col min="11536" max="11538" width="5.5703125" style="3" bestFit="1" customWidth="1"/>
    <col min="11539" max="11539" width="4.85546875" style="3" bestFit="1" customWidth="1"/>
    <col min="11540" max="11540" width="7.85546875" style="3" bestFit="1" customWidth="1"/>
    <col min="11541" max="11541" width="8.5703125" style="3" bestFit="1" customWidth="1"/>
    <col min="11542" max="11542" width="15.140625" style="3" bestFit="1" customWidth="1"/>
    <col min="11543" max="11777" width="9.140625" style="3"/>
    <col min="11778" max="11778" width="26" style="3" bestFit="1" customWidth="1"/>
    <col min="11779" max="11779" width="28.4257812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28.5703125" style="3" bestFit="1" customWidth="1"/>
    <col min="11784" max="11786" width="5.5703125" style="3" bestFit="1" customWidth="1"/>
    <col min="11787" max="11787" width="4.85546875" style="3" bestFit="1" customWidth="1"/>
    <col min="11788" max="11790" width="5.5703125" style="3" bestFit="1" customWidth="1"/>
    <col min="11791" max="11791" width="4.85546875" style="3" bestFit="1" customWidth="1"/>
    <col min="11792" max="11794" width="5.5703125" style="3" bestFit="1" customWidth="1"/>
    <col min="11795" max="11795" width="4.85546875" style="3" bestFit="1" customWidth="1"/>
    <col min="11796" max="11796" width="7.85546875" style="3" bestFit="1" customWidth="1"/>
    <col min="11797" max="11797" width="8.5703125" style="3" bestFit="1" customWidth="1"/>
    <col min="11798" max="11798" width="15.140625" style="3" bestFit="1" customWidth="1"/>
    <col min="11799" max="12033" width="9.140625" style="3"/>
    <col min="12034" max="12034" width="26" style="3" bestFit="1" customWidth="1"/>
    <col min="12035" max="12035" width="28.4257812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28.5703125" style="3" bestFit="1" customWidth="1"/>
    <col min="12040" max="12042" width="5.5703125" style="3" bestFit="1" customWidth="1"/>
    <col min="12043" max="12043" width="4.85546875" style="3" bestFit="1" customWidth="1"/>
    <col min="12044" max="12046" width="5.5703125" style="3" bestFit="1" customWidth="1"/>
    <col min="12047" max="12047" width="4.85546875" style="3" bestFit="1" customWidth="1"/>
    <col min="12048" max="12050" width="5.5703125" style="3" bestFit="1" customWidth="1"/>
    <col min="12051" max="12051" width="4.85546875" style="3" bestFit="1" customWidth="1"/>
    <col min="12052" max="12052" width="7.85546875" style="3" bestFit="1" customWidth="1"/>
    <col min="12053" max="12053" width="8.5703125" style="3" bestFit="1" customWidth="1"/>
    <col min="12054" max="12054" width="15.140625" style="3" bestFit="1" customWidth="1"/>
    <col min="12055" max="12289" width="9.140625" style="3"/>
    <col min="12290" max="12290" width="26" style="3" bestFit="1" customWidth="1"/>
    <col min="12291" max="12291" width="28.4257812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28.5703125" style="3" bestFit="1" customWidth="1"/>
    <col min="12296" max="12298" width="5.5703125" style="3" bestFit="1" customWidth="1"/>
    <col min="12299" max="12299" width="4.85546875" style="3" bestFit="1" customWidth="1"/>
    <col min="12300" max="12302" width="5.5703125" style="3" bestFit="1" customWidth="1"/>
    <col min="12303" max="12303" width="4.85546875" style="3" bestFit="1" customWidth="1"/>
    <col min="12304" max="12306" width="5.5703125" style="3" bestFit="1" customWidth="1"/>
    <col min="12307" max="12307" width="4.85546875" style="3" bestFit="1" customWidth="1"/>
    <col min="12308" max="12308" width="7.85546875" style="3" bestFit="1" customWidth="1"/>
    <col min="12309" max="12309" width="8.5703125" style="3" bestFit="1" customWidth="1"/>
    <col min="12310" max="12310" width="15.140625" style="3" bestFit="1" customWidth="1"/>
    <col min="12311" max="12545" width="9.140625" style="3"/>
    <col min="12546" max="12546" width="26" style="3" bestFit="1" customWidth="1"/>
    <col min="12547" max="12547" width="28.4257812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28.5703125" style="3" bestFit="1" customWidth="1"/>
    <col min="12552" max="12554" width="5.5703125" style="3" bestFit="1" customWidth="1"/>
    <col min="12555" max="12555" width="4.85546875" style="3" bestFit="1" customWidth="1"/>
    <col min="12556" max="12558" width="5.5703125" style="3" bestFit="1" customWidth="1"/>
    <col min="12559" max="12559" width="4.85546875" style="3" bestFit="1" customWidth="1"/>
    <col min="12560" max="12562" width="5.5703125" style="3" bestFit="1" customWidth="1"/>
    <col min="12563" max="12563" width="4.85546875" style="3" bestFit="1" customWidth="1"/>
    <col min="12564" max="12564" width="7.85546875" style="3" bestFit="1" customWidth="1"/>
    <col min="12565" max="12565" width="8.5703125" style="3" bestFit="1" customWidth="1"/>
    <col min="12566" max="12566" width="15.140625" style="3" bestFit="1" customWidth="1"/>
    <col min="12567" max="12801" width="9.140625" style="3"/>
    <col min="12802" max="12802" width="26" style="3" bestFit="1" customWidth="1"/>
    <col min="12803" max="12803" width="28.4257812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28.5703125" style="3" bestFit="1" customWidth="1"/>
    <col min="12808" max="12810" width="5.5703125" style="3" bestFit="1" customWidth="1"/>
    <col min="12811" max="12811" width="4.85546875" style="3" bestFit="1" customWidth="1"/>
    <col min="12812" max="12814" width="5.5703125" style="3" bestFit="1" customWidth="1"/>
    <col min="12815" max="12815" width="4.85546875" style="3" bestFit="1" customWidth="1"/>
    <col min="12816" max="12818" width="5.5703125" style="3" bestFit="1" customWidth="1"/>
    <col min="12819" max="12819" width="4.85546875" style="3" bestFit="1" customWidth="1"/>
    <col min="12820" max="12820" width="7.85546875" style="3" bestFit="1" customWidth="1"/>
    <col min="12821" max="12821" width="8.5703125" style="3" bestFit="1" customWidth="1"/>
    <col min="12822" max="12822" width="15.140625" style="3" bestFit="1" customWidth="1"/>
    <col min="12823" max="13057" width="9.140625" style="3"/>
    <col min="13058" max="13058" width="26" style="3" bestFit="1" customWidth="1"/>
    <col min="13059" max="13059" width="28.4257812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28.5703125" style="3" bestFit="1" customWidth="1"/>
    <col min="13064" max="13066" width="5.5703125" style="3" bestFit="1" customWidth="1"/>
    <col min="13067" max="13067" width="4.85546875" style="3" bestFit="1" customWidth="1"/>
    <col min="13068" max="13070" width="5.5703125" style="3" bestFit="1" customWidth="1"/>
    <col min="13071" max="13071" width="4.85546875" style="3" bestFit="1" customWidth="1"/>
    <col min="13072" max="13074" width="5.5703125" style="3" bestFit="1" customWidth="1"/>
    <col min="13075" max="13075" width="4.85546875" style="3" bestFit="1" customWidth="1"/>
    <col min="13076" max="13076" width="7.85546875" style="3" bestFit="1" customWidth="1"/>
    <col min="13077" max="13077" width="8.5703125" style="3" bestFit="1" customWidth="1"/>
    <col min="13078" max="13078" width="15.140625" style="3" bestFit="1" customWidth="1"/>
    <col min="13079" max="13313" width="9.140625" style="3"/>
    <col min="13314" max="13314" width="26" style="3" bestFit="1" customWidth="1"/>
    <col min="13315" max="13315" width="28.4257812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28.5703125" style="3" bestFit="1" customWidth="1"/>
    <col min="13320" max="13322" width="5.5703125" style="3" bestFit="1" customWidth="1"/>
    <col min="13323" max="13323" width="4.85546875" style="3" bestFit="1" customWidth="1"/>
    <col min="13324" max="13326" width="5.5703125" style="3" bestFit="1" customWidth="1"/>
    <col min="13327" max="13327" width="4.85546875" style="3" bestFit="1" customWidth="1"/>
    <col min="13328" max="13330" width="5.5703125" style="3" bestFit="1" customWidth="1"/>
    <col min="13331" max="13331" width="4.85546875" style="3" bestFit="1" customWidth="1"/>
    <col min="13332" max="13332" width="7.85546875" style="3" bestFit="1" customWidth="1"/>
    <col min="13333" max="13333" width="8.5703125" style="3" bestFit="1" customWidth="1"/>
    <col min="13334" max="13334" width="15.140625" style="3" bestFit="1" customWidth="1"/>
    <col min="13335" max="13569" width="9.140625" style="3"/>
    <col min="13570" max="13570" width="26" style="3" bestFit="1" customWidth="1"/>
    <col min="13571" max="13571" width="28.4257812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28.5703125" style="3" bestFit="1" customWidth="1"/>
    <col min="13576" max="13578" width="5.5703125" style="3" bestFit="1" customWidth="1"/>
    <col min="13579" max="13579" width="4.85546875" style="3" bestFit="1" customWidth="1"/>
    <col min="13580" max="13582" width="5.5703125" style="3" bestFit="1" customWidth="1"/>
    <col min="13583" max="13583" width="4.85546875" style="3" bestFit="1" customWidth="1"/>
    <col min="13584" max="13586" width="5.5703125" style="3" bestFit="1" customWidth="1"/>
    <col min="13587" max="13587" width="4.85546875" style="3" bestFit="1" customWidth="1"/>
    <col min="13588" max="13588" width="7.85546875" style="3" bestFit="1" customWidth="1"/>
    <col min="13589" max="13589" width="8.5703125" style="3" bestFit="1" customWidth="1"/>
    <col min="13590" max="13590" width="15.140625" style="3" bestFit="1" customWidth="1"/>
    <col min="13591" max="13825" width="9.140625" style="3"/>
    <col min="13826" max="13826" width="26" style="3" bestFit="1" customWidth="1"/>
    <col min="13827" max="13827" width="28.4257812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28.5703125" style="3" bestFit="1" customWidth="1"/>
    <col min="13832" max="13834" width="5.5703125" style="3" bestFit="1" customWidth="1"/>
    <col min="13835" max="13835" width="4.85546875" style="3" bestFit="1" customWidth="1"/>
    <col min="13836" max="13838" width="5.5703125" style="3" bestFit="1" customWidth="1"/>
    <col min="13839" max="13839" width="4.85546875" style="3" bestFit="1" customWidth="1"/>
    <col min="13840" max="13842" width="5.5703125" style="3" bestFit="1" customWidth="1"/>
    <col min="13843" max="13843" width="4.85546875" style="3" bestFit="1" customWidth="1"/>
    <col min="13844" max="13844" width="7.85546875" style="3" bestFit="1" customWidth="1"/>
    <col min="13845" max="13845" width="8.5703125" style="3" bestFit="1" customWidth="1"/>
    <col min="13846" max="13846" width="15.140625" style="3" bestFit="1" customWidth="1"/>
    <col min="13847" max="14081" width="9.140625" style="3"/>
    <col min="14082" max="14082" width="26" style="3" bestFit="1" customWidth="1"/>
    <col min="14083" max="14083" width="28.4257812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28.5703125" style="3" bestFit="1" customWidth="1"/>
    <col min="14088" max="14090" width="5.5703125" style="3" bestFit="1" customWidth="1"/>
    <col min="14091" max="14091" width="4.85546875" style="3" bestFit="1" customWidth="1"/>
    <col min="14092" max="14094" width="5.5703125" style="3" bestFit="1" customWidth="1"/>
    <col min="14095" max="14095" width="4.85546875" style="3" bestFit="1" customWidth="1"/>
    <col min="14096" max="14098" width="5.5703125" style="3" bestFit="1" customWidth="1"/>
    <col min="14099" max="14099" width="4.85546875" style="3" bestFit="1" customWidth="1"/>
    <col min="14100" max="14100" width="7.85546875" style="3" bestFit="1" customWidth="1"/>
    <col min="14101" max="14101" width="8.5703125" style="3" bestFit="1" customWidth="1"/>
    <col min="14102" max="14102" width="15.140625" style="3" bestFit="1" customWidth="1"/>
    <col min="14103" max="14337" width="9.140625" style="3"/>
    <col min="14338" max="14338" width="26" style="3" bestFit="1" customWidth="1"/>
    <col min="14339" max="14339" width="28.4257812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28.5703125" style="3" bestFit="1" customWidth="1"/>
    <col min="14344" max="14346" width="5.5703125" style="3" bestFit="1" customWidth="1"/>
    <col min="14347" max="14347" width="4.85546875" style="3" bestFit="1" customWidth="1"/>
    <col min="14348" max="14350" width="5.5703125" style="3" bestFit="1" customWidth="1"/>
    <col min="14351" max="14351" width="4.85546875" style="3" bestFit="1" customWidth="1"/>
    <col min="14352" max="14354" width="5.5703125" style="3" bestFit="1" customWidth="1"/>
    <col min="14355" max="14355" width="4.85546875" style="3" bestFit="1" customWidth="1"/>
    <col min="14356" max="14356" width="7.85546875" style="3" bestFit="1" customWidth="1"/>
    <col min="14357" max="14357" width="8.5703125" style="3" bestFit="1" customWidth="1"/>
    <col min="14358" max="14358" width="15.140625" style="3" bestFit="1" customWidth="1"/>
    <col min="14359" max="14593" width="9.140625" style="3"/>
    <col min="14594" max="14594" width="26" style="3" bestFit="1" customWidth="1"/>
    <col min="14595" max="14595" width="28.4257812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28.5703125" style="3" bestFit="1" customWidth="1"/>
    <col min="14600" max="14602" width="5.5703125" style="3" bestFit="1" customWidth="1"/>
    <col min="14603" max="14603" width="4.85546875" style="3" bestFit="1" customWidth="1"/>
    <col min="14604" max="14606" width="5.5703125" style="3" bestFit="1" customWidth="1"/>
    <col min="14607" max="14607" width="4.85546875" style="3" bestFit="1" customWidth="1"/>
    <col min="14608" max="14610" width="5.5703125" style="3" bestFit="1" customWidth="1"/>
    <col min="14611" max="14611" width="4.85546875" style="3" bestFit="1" customWidth="1"/>
    <col min="14612" max="14612" width="7.85546875" style="3" bestFit="1" customWidth="1"/>
    <col min="14613" max="14613" width="8.5703125" style="3" bestFit="1" customWidth="1"/>
    <col min="14614" max="14614" width="15.140625" style="3" bestFit="1" customWidth="1"/>
    <col min="14615" max="14849" width="9.140625" style="3"/>
    <col min="14850" max="14850" width="26" style="3" bestFit="1" customWidth="1"/>
    <col min="14851" max="14851" width="28.4257812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28.5703125" style="3" bestFit="1" customWidth="1"/>
    <col min="14856" max="14858" width="5.5703125" style="3" bestFit="1" customWidth="1"/>
    <col min="14859" max="14859" width="4.85546875" style="3" bestFit="1" customWidth="1"/>
    <col min="14860" max="14862" width="5.5703125" style="3" bestFit="1" customWidth="1"/>
    <col min="14863" max="14863" width="4.85546875" style="3" bestFit="1" customWidth="1"/>
    <col min="14864" max="14866" width="5.5703125" style="3" bestFit="1" customWidth="1"/>
    <col min="14867" max="14867" width="4.85546875" style="3" bestFit="1" customWidth="1"/>
    <col min="14868" max="14868" width="7.85546875" style="3" bestFit="1" customWidth="1"/>
    <col min="14869" max="14869" width="8.5703125" style="3" bestFit="1" customWidth="1"/>
    <col min="14870" max="14870" width="15.140625" style="3" bestFit="1" customWidth="1"/>
    <col min="14871" max="15105" width="9.140625" style="3"/>
    <col min="15106" max="15106" width="26" style="3" bestFit="1" customWidth="1"/>
    <col min="15107" max="15107" width="28.4257812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28.5703125" style="3" bestFit="1" customWidth="1"/>
    <col min="15112" max="15114" width="5.5703125" style="3" bestFit="1" customWidth="1"/>
    <col min="15115" max="15115" width="4.85546875" style="3" bestFit="1" customWidth="1"/>
    <col min="15116" max="15118" width="5.5703125" style="3" bestFit="1" customWidth="1"/>
    <col min="15119" max="15119" width="4.85546875" style="3" bestFit="1" customWidth="1"/>
    <col min="15120" max="15122" width="5.5703125" style="3" bestFit="1" customWidth="1"/>
    <col min="15123" max="15123" width="4.85546875" style="3" bestFit="1" customWidth="1"/>
    <col min="15124" max="15124" width="7.85546875" style="3" bestFit="1" customWidth="1"/>
    <col min="15125" max="15125" width="8.5703125" style="3" bestFit="1" customWidth="1"/>
    <col min="15126" max="15126" width="15.140625" style="3" bestFit="1" customWidth="1"/>
    <col min="15127" max="15361" width="9.140625" style="3"/>
    <col min="15362" max="15362" width="26" style="3" bestFit="1" customWidth="1"/>
    <col min="15363" max="15363" width="28.4257812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28.5703125" style="3" bestFit="1" customWidth="1"/>
    <col min="15368" max="15370" width="5.5703125" style="3" bestFit="1" customWidth="1"/>
    <col min="15371" max="15371" width="4.85546875" style="3" bestFit="1" customWidth="1"/>
    <col min="15372" max="15374" width="5.5703125" style="3" bestFit="1" customWidth="1"/>
    <col min="15375" max="15375" width="4.85546875" style="3" bestFit="1" customWidth="1"/>
    <col min="15376" max="15378" width="5.5703125" style="3" bestFit="1" customWidth="1"/>
    <col min="15379" max="15379" width="4.85546875" style="3" bestFit="1" customWidth="1"/>
    <col min="15380" max="15380" width="7.85546875" style="3" bestFit="1" customWidth="1"/>
    <col min="15381" max="15381" width="8.5703125" style="3" bestFit="1" customWidth="1"/>
    <col min="15382" max="15382" width="15.140625" style="3" bestFit="1" customWidth="1"/>
    <col min="15383" max="15617" width="9.140625" style="3"/>
    <col min="15618" max="15618" width="26" style="3" bestFit="1" customWidth="1"/>
    <col min="15619" max="15619" width="28.4257812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28.5703125" style="3" bestFit="1" customWidth="1"/>
    <col min="15624" max="15626" width="5.5703125" style="3" bestFit="1" customWidth="1"/>
    <col min="15627" max="15627" width="4.85546875" style="3" bestFit="1" customWidth="1"/>
    <col min="15628" max="15630" width="5.5703125" style="3" bestFit="1" customWidth="1"/>
    <col min="15631" max="15631" width="4.85546875" style="3" bestFit="1" customWidth="1"/>
    <col min="15632" max="15634" width="5.5703125" style="3" bestFit="1" customWidth="1"/>
    <col min="15635" max="15635" width="4.85546875" style="3" bestFit="1" customWidth="1"/>
    <col min="15636" max="15636" width="7.85546875" style="3" bestFit="1" customWidth="1"/>
    <col min="15637" max="15637" width="8.5703125" style="3" bestFit="1" customWidth="1"/>
    <col min="15638" max="15638" width="15.140625" style="3" bestFit="1" customWidth="1"/>
    <col min="15639" max="15873" width="9.140625" style="3"/>
    <col min="15874" max="15874" width="26" style="3" bestFit="1" customWidth="1"/>
    <col min="15875" max="15875" width="28.4257812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28.5703125" style="3" bestFit="1" customWidth="1"/>
    <col min="15880" max="15882" width="5.5703125" style="3" bestFit="1" customWidth="1"/>
    <col min="15883" max="15883" width="4.85546875" style="3" bestFit="1" customWidth="1"/>
    <col min="15884" max="15886" width="5.5703125" style="3" bestFit="1" customWidth="1"/>
    <col min="15887" max="15887" width="4.85546875" style="3" bestFit="1" customWidth="1"/>
    <col min="15888" max="15890" width="5.5703125" style="3" bestFit="1" customWidth="1"/>
    <col min="15891" max="15891" width="4.85546875" style="3" bestFit="1" customWidth="1"/>
    <col min="15892" max="15892" width="7.85546875" style="3" bestFit="1" customWidth="1"/>
    <col min="15893" max="15893" width="8.5703125" style="3" bestFit="1" customWidth="1"/>
    <col min="15894" max="15894" width="15.140625" style="3" bestFit="1" customWidth="1"/>
    <col min="15895" max="16129" width="9.140625" style="3"/>
    <col min="16130" max="16130" width="26" style="3" bestFit="1" customWidth="1"/>
    <col min="16131" max="16131" width="28.4257812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28.5703125" style="3" bestFit="1" customWidth="1"/>
    <col min="16136" max="16138" width="5.5703125" style="3" bestFit="1" customWidth="1"/>
    <col min="16139" max="16139" width="4.85546875" style="3" bestFit="1" customWidth="1"/>
    <col min="16140" max="16142" width="5.5703125" style="3" bestFit="1" customWidth="1"/>
    <col min="16143" max="16143" width="4.85546875" style="3" bestFit="1" customWidth="1"/>
    <col min="16144" max="16146" width="5.5703125" style="3" bestFit="1" customWidth="1"/>
    <col min="16147" max="16147" width="4.85546875" style="3" bestFit="1" customWidth="1"/>
    <col min="16148" max="16148" width="7.85546875" style="3" bestFit="1" customWidth="1"/>
    <col min="16149" max="16149" width="8.5703125" style="3" bestFit="1" customWidth="1"/>
    <col min="16150" max="16150" width="15.140625" style="3" bestFit="1" customWidth="1"/>
    <col min="16151" max="16384" width="9.140625" style="3"/>
  </cols>
  <sheetData>
    <row r="1" spans="1:22" s="2" customFormat="1" ht="29.1" customHeight="1" x14ac:dyDescent="0.2">
      <c r="A1" s="40" t="s">
        <v>1224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2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1000</v>
      </c>
      <c r="I3" s="37"/>
      <c r="J3" s="37"/>
      <c r="K3" s="37"/>
      <c r="L3" s="37" t="s">
        <v>1</v>
      </c>
      <c r="M3" s="37"/>
      <c r="N3" s="37"/>
      <c r="O3" s="37"/>
      <c r="P3" s="37" t="s">
        <v>295</v>
      </c>
      <c r="Q3" s="37"/>
      <c r="R3" s="37"/>
      <c r="S3" s="37"/>
      <c r="T3" s="37" t="s">
        <v>1001</v>
      </c>
      <c r="U3" s="37" t="s">
        <v>3</v>
      </c>
      <c r="V3" s="38" t="s">
        <v>2</v>
      </c>
    </row>
    <row r="4" spans="1:22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5">
        <v>1</v>
      </c>
      <c r="M4" s="5">
        <v>2</v>
      </c>
      <c r="N4" s="5">
        <v>3</v>
      </c>
      <c r="O4" s="5" t="s">
        <v>224</v>
      </c>
      <c r="P4" s="5">
        <v>1</v>
      </c>
      <c r="Q4" s="5">
        <v>2</v>
      </c>
      <c r="R4" s="5">
        <v>3</v>
      </c>
      <c r="S4" s="5" t="s">
        <v>224</v>
      </c>
      <c r="T4" s="36"/>
      <c r="U4" s="36"/>
      <c r="V4" s="39"/>
    </row>
    <row r="5" spans="1:22" ht="15" x14ac:dyDescent="0.2">
      <c r="A5" s="61" t="s">
        <v>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x14ac:dyDescent="0.2">
      <c r="A6" s="6" t="s">
        <v>1225</v>
      </c>
      <c r="B6" s="6" t="s">
        <v>1443</v>
      </c>
      <c r="C6" s="6" t="s">
        <v>1226</v>
      </c>
      <c r="D6" s="6" t="s">
        <v>380</v>
      </c>
      <c r="E6" s="6" t="str">
        <f>"0,7710"</f>
        <v>0,7710</v>
      </c>
      <c r="F6" s="6" t="s">
        <v>14</v>
      </c>
      <c r="G6" s="6" t="s">
        <v>437</v>
      </c>
      <c r="H6" s="8" t="s">
        <v>279</v>
      </c>
      <c r="I6" s="8" t="s">
        <v>412</v>
      </c>
      <c r="J6" s="8" t="s">
        <v>462</v>
      </c>
      <c r="K6" s="7"/>
      <c r="L6" s="8" t="s">
        <v>83</v>
      </c>
      <c r="M6" s="8" t="s">
        <v>323</v>
      </c>
      <c r="N6" s="8" t="s">
        <v>350</v>
      </c>
      <c r="O6" s="7"/>
      <c r="P6" s="8" t="s">
        <v>280</v>
      </c>
      <c r="Q6" s="8" t="s">
        <v>388</v>
      </c>
      <c r="R6" s="7" t="s">
        <v>507</v>
      </c>
      <c r="S6" s="7"/>
      <c r="T6" s="6" t="str">
        <f>"545,0"</f>
        <v>545,0</v>
      </c>
      <c r="U6" s="8" t="str">
        <f>"420,1950"</f>
        <v>420,1950</v>
      </c>
      <c r="V6" s="6" t="s">
        <v>1196</v>
      </c>
    </row>
    <row r="8" spans="1:22" ht="15" x14ac:dyDescent="0.2">
      <c r="A8" s="62" t="s">
        <v>50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1:22" x14ac:dyDescent="0.2">
      <c r="A9" s="6" t="s">
        <v>1227</v>
      </c>
      <c r="B9" s="6" t="s">
        <v>1443</v>
      </c>
      <c r="C9" s="6" t="s">
        <v>1228</v>
      </c>
      <c r="D9" s="6" t="s">
        <v>882</v>
      </c>
      <c r="E9" s="6" t="str">
        <f>"0,6511"</f>
        <v>0,6511</v>
      </c>
      <c r="F9" s="6" t="s">
        <v>65</v>
      </c>
      <c r="G9" s="6" t="s">
        <v>66</v>
      </c>
      <c r="H9" s="8" t="s">
        <v>508</v>
      </c>
      <c r="I9" s="8" t="s">
        <v>502</v>
      </c>
      <c r="J9" s="8" t="s">
        <v>405</v>
      </c>
      <c r="K9" s="7"/>
      <c r="L9" s="8" t="s">
        <v>279</v>
      </c>
      <c r="M9" s="8" t="s">
        <v>412</v>
      </c>
      <c r="N9" s="7" t="s">
        <v>462</v>
      </c>
      <c r="O9" s="7"/>
      <c r="P9" s="8" t="s">
        <v>280</v>
      </c>
      <c r="Q9" s="8" t="s">
        <v>508</v>
      </c>
      <c r="R9" s="7" t="s">
        <v>405</v>
      </c>
      <c r="S9" s="7"/>
      <c r="T9" s="6" t="str">
        <f>"730,0"</f>
        <v>730,0</v>
      </c>
      <c r="U9" s="8" t="str">
        <f>"475,3030"</f>
        <v>475,3030</v>
      </c>
      <c r="V9" s="6"/>
    </row>
    <row r="12" spans="1:22" ht="15" x14ac:dyDescent="0.2">
      <c r="F12" s="17" t="s">
        <v>96</v>
      </c>
    </row>
    <row r="13" spans="1:22" ht="15" x14ac:dyDescent="0.2">
      <c r="F13" s="17" t="s">
        <v>97</v>
      </c>
    </row>
    <row r="14" spans="1:22" ht="15" x14ac:dyDescent="0.2">
      <c r="F14" s="17" t="s">
        <v>98</v>
      </c>
    </row>
    <row r="15" spans="1:22" ht="15" x14ac:dyDescent="0.2">
      <c r="F15" s="17"/>
    </row>
    <row r="17" spans="1:22" ht="18" x14ac:dyDescent="0.25">
      <c r="A17" s="18" t="s">
        <v>99</v>
      </c>
      <c r="B17" s="18"/>
      <c r="C17" s="18"/>
      <c r="G17" s="3"/>
      <c r="T17" s="3"/>
      <c r="V17" s="3"/>
    </row>
    <row r="18" spans="1:22" ht="15" x14ac:dyDescent="0.2">
      <c r="A18" s="19" t="s">
        <v>100</v>
      </c>
      <c r="B18" s="19"/>
      <c r="C18" s="19"/>
      <c r="G18" s="3"/>
      <c r="T18" s="3"/>
      <c r="V18" s="3"/>
    </row>
    <row r="19" spans="1:22" ht="14.25" x14ac:dyDescent="0.2">
      <c r="A19" s="21"/>
      <c r="B19" s="21"/>
      <c r="C19" s="22" t="s">
        <v>107</v>
      </c>
      <c r="G19" s="3"/>
      <c r="T19" s="3"/>
      <c r="V19" s="3"/>
    </row>
    <row r="20" spans="1:22" ht="15" x14ac:dyDescent="0.2">
      <c r="A20" s="23" t="s">
        <v>101</v>
      </c>
      <c r="B20" s="23"/>
      <c r="C20" s="23" t="s">
        <v>102</v>
      </c>
      <c r="D20" s="23" t="s">
        <v>103</v>
      </c>
      <c r="E20" s="23" t="s">
        <v>104</v>
      </c>
      <c r="F20" s="23" t="s">
        <v>291</v>
      </c>
      <c r="G20" s="3"/>
      <c r="T20" s="3"/>
      <c r="V20" s="3"/>
    </row>
    <row r="21" spans="1:22" x14ac:dyDescent="0.2">
      <c r="A21" s="20" t="s">
        <v>1229</v>
      </c>
      <c r="B21" s="20"/>
      <c r="C21" s="4" t="s">
        <v>107</v>
      </c>
      <c r="D21" s="4" t="s">
        <v>68</v>
      </c>
      <c r="E21" s="4" t="s">
        <v>1230</v>
      </c>
      <c r="F21" s="24" t="s">
        <v>1231</v>
      </c>
      <c r="G21" s="3"/>
      <c r="T21" s="3"/>
      <c r="V21" s="3"/>
    </row>
    <row r="22" spans="1:22" x14ac:dyDescent="0.2">
      <c r="G22" s="3"/>
      <c r="T22" s="3"/>
      <c r="V22" s="3"/>
    </row>
    <row r="23" spans="1:22" x14ac:dyDescent="0.2">
      <c r="G23" s="3"/>
      <c r="T23" s="3"/>
      <c r="V23" s="3"/>
    </row>
    <row r="24" spans="1:22" x14ac:dyDescent="0.2">
      <c r="G24" s="3"/>
      <c r="T24" s="3"/>
      <c r="V24" s="3"/>
    </row>
    <row r="25" spans="1:22" x14ac:dyDescent="0.2">
      <c r="G25" s="3"/>
      <c r="T25" s="3"/>
      <c r="V25" s="3"/>
    </row>
    <row r="26" spans="1:22" x14ac:dyDescent="0.2">
      <c r="G26" s="3"/>
      <c r="T26" s="3"/>
      <c r="V26" s="3"/>
    </row>
    <row r="27" spans="1:22" x14ac:dyDescent="0.2">
      <c r="G27" s="3"/>
      <c r="T27" s="3"/>
      <c r="V27" s="3"/>
    </row>
    <row r="28" spans="1:22" x14ac:dyDescent="0.2">
      <c r="G28" s="3"/>
      <c r="T28" s="3"/>
      <c r="V28" s="3"/>
    </row>
    <row r="29" spans="1:22" x14ac:dyDescent="0.2">
      <c r="G29" s="3"/>
      <c r="T29" s="3"/>
      <c r="V29" s="3"/>
    </row>
    <row r="30" spans="1:22" x14ac:dyDescent="0.2">
      <c r="G30" s="3"/>
      <c r="T30" s="3"/>
      <c r="V30" s="3"/>
    </row>
    <row r="31" spans="1:22" x14ac:dyDescent="0.2">
      <c r="G31" s="3"/>
      <c r="T31" s="3"/>
      <c r="V31" s="3"/>
    </row>
    <row r="32" spans="1:22" x14ac:dyDescent="0.2">
      <c r="G32" s="3"/>
      <c r="T32" s="3"/>
      <c r="V32" s="3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6">
    <mergeCell ref="A5:U5"/>
    <mergeCell ref="A8:U8"/>
    <mergeCell ref="B3:B4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opLeftCell="A4" workbookViewId="0">
      <selection activeCell="B16" sqref="B16:B17"/>
    </sheetView>
  </sheetViews>
  <sheetFormatPr defaultRowHeight="12.75" x14ac:dyDescent="0.2"/>
  <cols>
    <col min="1" max="1" width="26" style="4" bestFit="1" customWidth="1"/>
    <col min="2" max="2" width="12.85546875" style="4" customWidth="1"/>
    <col min="3" max="3" width="27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0.42578125" style="4" bestFit="1" customWidth="1"/>
    <col min="8" max="10" width="5.5703125" style="3" bestFit="1" customWidth="1"/>
    <col min="11" max="11" width="4.85546875" style="3" bestFit="1" customWidth="1"/>
    <col min="12" max="12" width="7.85546875" style="4" bestFit="1" customWidth="1"/>
    <col min="13" max="13" width="8.5703125" style="3" bestFit="1" customWidth="1"/>
    <col min="14" max="14" width="15.140625" style="4" bestFit="1" customWidth="1"/>
    <col min="15" max="257" width="9.140625" style="3"/>
    <col min="258" max="258" width="26" style="3" bestFit="1" customWidth="1"/>
    <col min="259" max="259" width="27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0.42578125" style="3" bestFit="1" customWidth="1"/>
    <col min="264" max="266" width="5.5703125" style="3" bestFit="1" customWidth="1"/>
    <col min="267" max="267" width="4.85546875" style="3" bestFit="1" customWidth="1"/>
    <col min="268" max="268" width="7.85546875" style="3" bestFit="1" customWidth="1"/>
    <col min="269" max="269" width="8.5703125" style="3" bestFit="1" customWidth="1"/>
    <col min="270" max="270" width="15.140625" style="3" bestFit="1" customWidth="1"/>
    <col min="271" max="513" width="9.140625" style="3"/>
    <col min="514" max="514" width="26" style="3" bestFit="1" customWidth="1"/>
    <col min="515" max="515" width="27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0.42578125" style="3" bestFit="1" customWidth="1"/>
    <col min="520" max="522" width="5.5703125" style="3" bestFit="1" customWidth="1"/>
    <col min="523" max="523" width="4.85546875" style="3" bestFit="1" customWidth="1"/>
    <col min="524" max="524" width="7.85546875" style="3" bestFit="1" customWidth="1"/>
    <col min="525" max="525" width="8.5703125" style="3" bestFit="1" customWidth="1"/>
    <col min="526" max="526" width="15.140625" style="3" bestFit="1" customWidth="1"/>
    <col min="527" max="769" width="9.140625" style="3"/>
    <col min="770" max="770" width="26" style="3" bestFit="1" customWidth="1"/>
    <col min="771" max="771" width="27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0.42578125" style="3" bestFit="1" customWidth="1"/>
    <col min="776" max="778" width="5.5703125" style="3" bestFit="1" customWidth="1"/>
    <col min="779" max="779" width="4.85546875" style="3" bestFit="1" customWidth="1"/>
    <col min="780" max="780" width="7.85546875" style="3" bestFit="1" customWidth="1"/>
    <col min="781" max="781" width="8.5703125" style="3" bestFit="1" customWidth="1"/>
    <col min="782" max="782" width="15.140625" style="3" bestFit="1" customWidth="1"/>
    <col min="783" max="1025" width="9.140625" style="3"/>
    <col min="1026" max="1026" width="26" style="3" bestFit="1" customWidth="1"/>
    <col min="1027" max="1027" width="27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0.42578125" style="3" bestFit="1" customWidth="1"/>
    <col min="1032" max="1034" width="5.5703125" style="3" bestFit="1" customWidth="1"/>
    <col min="1035" max="1035" width="4.85546875" style="3" bestFit="1" customWidth="1"/>
    <col min="1036" max="1036" width="7.85546875" style="3" bestFit="1" customWidth="1"/>
    <col min="1037" max="1037" width="8.5703125" style="3" bestFit="1" customWidth="1"/>
    <col min="1038" max="1038" width="15.140625" style="3" bestFit="1" customWidth="1"/>
    <col min="1039" max="1281" width="9.140625" style="3"/>
    <col min="1282" max="1282" width="26" style="3" bestFit="1" customWidth="1"/>
    <col min="1283" max="1283" width="27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0.42578125" style="3" bestFit="1" customWidth="1"/>
    <col min="1288" max="1290" width="5.5703125" style="3" bestFit="1" customWidth="1"/>
    <col min="1291" max="1291" width="4.85546875" style="3" bestFit="1" customWidth="1"/>
    <col min="1292" max="1292" width="7.85546875" style="3" bestFit="1" customWidth="1"/>
    <col min="1293" max="1293" width="8.5703125" style="3" bestFit="1" customWidth="1"/>
    <col min="1294" max="1294" width="15.140625" style="3" bestFit="1" customWidth="1"/>
    <col min="1295" max="1537" width="9.140625" style="3"/>
    <col min="1538" max="1538" width="26" style="3" bestFit="1" customWidth="1"/>
    <col min="1539" max="1539" width="27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0.42578125" style="3" bestFit="1" customWidth="1"/>
    <col min="1544" max="1546" width="5.5703125" style="3" bestFit="1" customWidth="1"/>
    <col min="1547" max="1547" width="4.85546875" style="3" bestFit="1" customWidth="1"/>
    <col min="1548" max="1548" width="7.85546875" style="3" bestFit="1" customWidth="1"/>
    <col min="1549" max="1549" width="8.5703125" style="3" bestFit="1" customWidth="1"/>
    <col min="1550" max="1550" width="15.140625" style="3" bestFit="1" customWidth="1"/>
    <col min="1551" max="1793" width="9.140625" style="3"/>
    <col min="1794" max="1794" width="26" style="3" bestFit="1" customWidth="1"/>
    <col min="1795" max="1795" width="27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0.42578125" style="3" bestFit="1" customWidth="1"/>
    <col min="1800" max="1802" width="5.5703125" style="3" bestFit="1" customWidth="1"/>
    <col min="1803" max="1803" width="4.85546875" style="3" bestFit="1" customWidth="1"/>
    <col min="1804" max="1804" width="7.85546875" style="3" bestFit="1" customWidth="1"/>
    <col min="1805" max="1805" width="8.5703125" style="3" bestFit="1" customWidth="1"/>
    <col min="1806" max="1806" width="15.140625" style="3" bestFit="1" customWidth="1"/>
    <col min="1807" max="2049" width="9.140625" style="3"/>
    <col min="2050" max="2050" width="26" style="3" bestFit="1" customWidth="1"/>
    <col min="2051" max="2051" width="27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0.42578125" style="3" bestFit="1" customWidth="1"/>
    <col min="2056" max="2058" width="5.5703125" style="3" bestFit="1" customWidth="1"/>
    <col min="2059" max="2059" width="4.85546875" style="3" bestFit="1" customWidth="1"/>
    <col min="2060" max="2060" width="7.85546875" style="3" bestFit="1" customWidth="1"/>
    <col min="2061" max="2061" width="8.5703125" style="3" bestFit="1" customWidth="1"/>
    <col min="2062" max="2062" width="15.140625" style="3" bestFit="1" customWidth="1"/>
    <col min="2063" max="2305" width="9.140625" style="3"/>
    <col min="2306" max="2306" width="26" style="3" bestFit="1" customWidth="1"/>
    <col min="2307" max="2307" width="27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0.42578125" style="3" bestFit="1" customWidth="1"/>
    <col min="2312" max="2314" width="5.5703125" style="3" bestFit="1" customWidth="1"/>
    <col min="2315" max="2315" width="4.85546875" style="3" bestFit="1" customWidth="1"/>
    <col min="2316" max="2316" width="7.85546875" style="3" bestFit="1" customWidth="1"/>
    <col min="2317" max="2317" width="8.5703125" style="3" bestFit="1" customWidth="1"/>
    <col min="2318" max="2318" width="15.140625" style="3" bestFit="1" customWidth="1"/>
    <col min="2319" max="2561" width="9.140625" style="3"/>
    <col min="2562" max="2562" width="26" style="3" bestFit="1" customWidth="1"/>
    <col min="2563" max="2563" width="27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0.42578125" style="3" bestFit="1" customWidth="1"/>
    <col min="2568" max="2570" width="5.5703125" style="3" bestFit="1" customWidth="1"/>
    <col min="2571" max="2571" width="4.85546875" style="3" bestFit="1" customWidth="1"/>
    <col min="2572" max="2572" width="7.85546875" style="3" bestFit="1" customWidth="1"/>
    <col min="2573" max="2573" width="8.5703125" style="3" bestFit="1" customWidth="1"/>
    <col min="2574" max="2574" width="15.140625" style="3" bestFit="1" customWidth="1"/>
    <col min="2575" max="2817" width="9.140625" style="3"/>
    <col min="2818" max="2818" width="26" style="3" bestFit="1" customWidth="1"/>
    <col min="2819" max="2819" width="27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0.42578125" style="3" bestFit="1" customWidth="1"/>
    <col min="2824" max="2826" width="5.5703125" style="3" bestFit="1" customWidth="1"/>
    <col min="2827" max="2827" width="4.85546875" style="3" bestFit="1" customWidth="1"/>
    <col min="2828" max="2828" width="7.85546875" style="3" bestFit="1" customWidth="1"/>
    <col min="2829" max="2829" width="8.5703125" style="3" bestFit="1" customWidth="1"/>
    <col min="2830" max="2830" width="15.140625" style="3" bestFit="1" customWidth="1"/>
    <col min="2831" max="3073" width="9.140625" style="3"/>
    <col min="3074" max="3074" width="26" style="3" bestFit="1" customWidth="1"/>
    <col min="3075" max="3075" width="27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0.42578125" style="3" bestFit="1" customWidth="1"/>
    <col min="3080" max="3082" width="5.5703125" style="3" bestFit="1" customWidth="1"/>
    <col min="3083" max="3083" width="4.85546875" style="3" bestFit="1" customWidth="1"/>
    <col min="3084" max="3084" width="7.85546875" style="3" bestFit="1" customWidth="1"/>
    <col min="3085" max="3085" width="8.5703125" style="3" bestFit="1" customWidth="1"/>
    <col min="3086" max="3086" width="15.140625" style="3" bestFit="1" customWidth="1"/>
    <col min="3087" max="3329" width="9.140625" style="3"/>
    <col min="3330" max="3330" width="26" style="3" bestFit="1" customWidth="1"/>
    <col min="3331" max="3331" width="27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0.42578125" style="3" bestFit="1" customWidth="1"/>
    <col min="3336" max="3338" width="5.5703125" style="3" bestFit="1" customWidth="1"/>
    <col min="3339" max="3339" width="4.85546875" style="3" bestFit="1" customWidth="1"/>
    <col min="3340" max="3340" width="7.85546875" style="3" bestFit="1" customWidth="1"/>
    <col min="3341" max="3341" width="8.5703125" style="3" bestFit="1" customWidth="1"/>
    <col min="3342" max="3342" width="15.140625" style="3" bestFit="1" customWidth="1"/>
    <col min="3343" max="3585" width="9.140625" style="3"/>
    <col min="3586" max="3586" width="26" style="3" bestFit="1" customWidth="1"/>
    <col min="3587" max="3587" width="27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0.42578125" style="3" bestFit="1" customWidth="1"/>
    <col min="3592" max="3594" width="5.5703125" style="3" bestFit="1" customWidth="1"/>
    <col min="3595" max="3595" width="4.85546875" style="3" bestFit="1" customWidth="1"/>
    <col min="3596" max="3596" width="7.85546875" style="3" bestFit="1" customWidth="1"/>
    <col min="3597" max="3597" width="8.5703125" style="3" bestFit="1" customWidth="1"/>
    <col min="3598" max="3598" width="15.140625" style="3" bestFit="1" customWidth="1"/>
    <col min="3599" max="3841" width="9.140625" style="3"/>
    <col min="3842" max="3842" width="26" style="3" bestFit="1" customWidth="1"/>
    <col min="3843" max="3843" width="27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0.42578125" style="3" bestFit="1" customWidth="1"/>
    <col min="3848" max="3850" width="5.5703125" style="3" bestFit="1" customWidth="1"/>
    <col min="3851" max="3851" width="4.85546875" style="3" bestFit="1" customWidth="1"/>
    <col min="3852" max="3852" width="7.85546875" style="3" bestFit="1" customWidth="1"/>
    <col min="3853" max="3853" width="8.5703125" style="3" bestFit="1" customWidth="1"/>
    <col min="3854" max="3854" width="15.140625" style="3" bestFit="1" customWidth="1"/>
    <col min="3855" max="4097" width="9.140625" style="3"/>
    <col min="4098" max="4098" width="26" style="3" bestFit="1" customWidth="1"/>
    <col min="4099" max="4099" width="27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0.42578125" style="3" bestFit="1" customWidth="1"/>
    <col min="4104" max="4106" width="5.5703125" style="3" bestFit="1" customWidth="1"/>
    <col min="4107" max="4107" width="4.85546875" style="3" bestFit="1" customWidth="1"/>
    <col min="4108" max="4108" width="7.85546875" style="3" bestFit="1" customWidth="1"/>
    <col min="4109" max="4109" width="8.5703125" style="3" bestFit="1" customWidth="1"/>
    <col min="4110" max="4110" width="15.140625" style="3" bestFit="1" customWidth="1"/>
    <col min="4111" max="4353" width="9.140625" style="3"/>
    <col min="4354" max="4354" width="26" style="3" bestFit="1" customWidth="1"/>
    <col min="4355" max="4355" width="27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0.42578125" style="3" bestFit="1" customWidth="1"/>
    <col min="4360" max="4362" width="5.5703125" style="3" bestFit="1" customWidth="1"/>
    <col min="4363" max="4363" width="4.85546875" style="3" bestFit="1" customWidth="1"/>
    <col min="4364" max="4364" width="7.85546875" style="3" bestFit="1" customWidth="1"/>
    <col min="4365" max="4365" width="8.5703125" style="3" bestFit="1" customWidth="1"/>
    <col min="4366" max="4366" width="15.140625" style="3" bestFit="1" customWidth="1"/>
    <col min="4367" max="4609" width="9.140625" style="3"/>
    <col min="4610" max="4610" width="26" style="3" bestFit="1" customWidth="1"/>
    <col min="4611" max="4611" width="27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0.42578125" style="3" bestFit="1" customWidth="1"/>
    <col min="4616" max="4618" width="5.5703125" style="3" bestFit="1" customWidth="1"/>
    <col min="4619" max="4619" width="4.85546875" style="3" bestFit="1" customWidth="1"/>
    <col min="4620" max="4620" width="7.85546875" style="3" bestFit="1" customWidth="1"/>
    <col min="4621" max="4621" width="8.5703125" style="3" bestFit="1" customWidth="1"/>
    <col min="4622" max="4622" width="15.140625" style="3" bestFit="1" customWidth="1"/>
    <col min="4623" max="4865" width="9.140625" style="3"/>
    <col min="4866" max="4866" width="26" style="3" bestFit="1" customWidth="1"/>
    <col min="4867" max="4867" width="27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0.42578125" style="3" bestFit="1" customWidth="1"/>
    <col min="4872" max="4874" width="5.5703125" style="3" bestFit="1" customWidth="1"/>
    <col min="4875" max="4875" width="4.85546875" style="3" bestFit="1" customWidth="1"/>
    <col min="4876" max="4876" width="7.85546875" style="3" bestFit="1" customWidth="1"/>
    <col min="4877" max="4877" width="8.5703125" style="3" bestFit="1" customWidth="1"/>
    <col min="4878" max="4878" width="15.140625" style="3" bestFit="1" customWidth="1"/>
    <col min="4879" max="5121" width="9.140625" style="3"/>
    <col min="5122" max="5122" width="26" style="3" bestFit="1" customWidth="1"/>
    <col min="5123" max="5123" width="27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0.42578125" style="3" bestFit="1" customWidth="1"/>
    <col min="5128" max="5130" width="5.5703125" style="3" bestFit="1" customWidth="1"/>
    <col min="5131" max="5131" width="4.85546875" style="3" bestFit="1" customWidth="1"/>
    <col min="5132" max="5132" width="7.85546875" style="3" bestFit="1" customWidth="1"/>
    <col min="5133" max="5133" width="8.5703125" style="3" bestFit="1" customWidth="1"/>
    <col min="5134" max="5134" width="15.140625" style="3" bestFit="1" customWidth="1"/>
    <col min="5135" max="5377" width="9.140625" style="3"/>
    <col min="5378" max="5378" width="26" style="3" bestFit="1" customWidth="1"/>
    <col min="5379" max="5379" width="27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0.42578125" style="3" bestFit="1" customWidth="1"/>
    <col min="5384" max="5386" width="5.5703125" style="3" bestFit="1" customWidth="1"/>
    <col min="5387" max="5387" width="4.85546875" style="3" bestFit="1" customWidth="1"/>
    <col min="5388" max="5388" width="7.85546875" style="3" bestFit="1" customWidth="1"/>
    <col min="5389" max="5389" width="8.5703125" style="3" bestFit="1" customWidth="1"/>
    <col min="5390" max="5390" width="15.140625" style="3" bestFit="1" customWidth="1"/>
    <col min="5391" max="5633" width="9.140625" style="3"/>
    <col min="5634" max="5634" width="26" style="3" bestFit="1" customWidth="1"/>
    <col min="5635" max="5635" width="27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0.42578125" style="3" bestFit="1" customWidth="1"/>
    <col min="5640" max="5642" width="5.5703125" style="3" bestFit="1" customWidth="1"/>
    <col min="5643" max="5643" width="4.85546875" style="3" bestFit="1" customWidth="1"/>
    <col min="5644" max="5644" width="7.85546875" style="3" bestFit="1" customWidth="1"/>
    <col min="5645" max="5645" width="8.5703125" style="3" bestFit="1" customWidth="1"/>
    <col min="5646" max="5646" width="15.140625" style="3" bestFit="1" customWidth="1"/>
    <col min="5647" max="5889" width="9.140625" style="3"/>
    <col min="5890" max="5890" width="26" style="3" bestFit="1" customWidth="1"/>
    <col min="5891" max="5891" width="27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0.42578125" style="3" bestFit="1" customWidth="1"/>
    <col min="5896" max="5898" width="5.5703125" style="3" bestFit="1" customWidth="1"/>
    <col min="5899" max="5899" width="4.85546875" style="3" bestFit="1" customWidth="1"/>
    <col min="5900" max="5900" width="7.85546875" style="3" bestFit="1" customWidth="1"/>
    <col min="5901" max="5901" width="8.5703125" style="3" bestFit="1" customWidth="1"/>
    <col min="5902" max="5902" width="15.140625" style="3" bestFit="1" customWidth="1"/>
    <col min="5903" max="6145" width="9.140625" style="3"/>
    <col min="6146" max="6146" width="26" style="3" bestFit="1" customWidth="1"/>
    <col min="6147" max="6147" width="27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0.42578125" style="3" bestFit="1" customWidth="1"/>
    <col min="6152" max="6154" width="5.5703125" style="3" bestFit="1" customWidth="1"/>
    <col min="6155" max="6155" width="4.85546875" style="3" bestFit="1" customWidth="1"/>
    <col min="6156" max="6156" width="7.85546875" style="3" bestFit="1" customWidth="1"/>
    <col min="6157" max="6157" width="8.5703125" style="3" bestFit="1" customWidth="1"/>
    <col min="6158" max="6158" width="15.140625" style="3" bestFit="1" customWidth="1"/>
    <col min="6159" max="6401" width="9.140625" style="3"/>
    <col min="6402" max="6402" width="26" style="3" bestFit="1" customWidth="1"/>
    <col min="6403" max="6403" width="27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0.42578125" style="3" bestFit="1" customWidth="1"/>
    <col min="6408" max="6410" width="5.5703125" style="3" bestFit="1" customWidth="1"/>
    <col min="6411" max="6411" width="4.85546875" style="3" bestFit="1" customWidth="1"/>
    <col min="6412" max="6412" width="7.85546875" style="3" bestFit="1" customWidth="1"/>
    <col min="6413" max="6413" width="8.5703125" style="3" bestFit="1" customWidth="1"/>
    <col min="6414" max="6414" width="15.140625" style="3" bestFit="1" customWidth="1"/>
    <col min="6415" max="6657" width="9.140625" style="3"/>
    <col min="6658" max="6658" width="26" style="3" bestFit="1" customWidth="1"/>
    <col min="6659" max="6659" width="27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0.42578125" style="3" bestFit="1" customWidth="1"/>
    <col min="6664" max="6666" width="5.5703125" style="3" bestFit="1" customWidth="1"/>
    <col min="6667" max="6667" width="4.85546875" style="3" bestFit="1" customWidth="1"/>
    <col min="6668" max="6668" width="7.85546875" style="3" bestFit="1" customWidth="1"/>
    <col min="6669" max="6669" width="8.5703125" style="3" bestFit="1" customWidth="1"/>
    <col min="6670" max="6670" width="15.140625" style="3" bestFit="1" customWidth="1"/>
    <col min="6671" max="6913" width="9.140625" style="3"/>
    <col min="6914" max="6914" width="26" style="3" bestFit="1" customWidth="1"/>
    <col min="6915" max="6915" width="27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0.42578125" style="3" bestFit="1" customWidth="1"/>
    <col min="6920" max="6922" width="5.5703125" style="3" bestFit="1" customWidth="1"/>
    <col min="6923" max="6923" width="4.85546875" style="3" bestFit="1" customWidth="1"/>
    <col min="6924" max="6924" width="7.85546875" style="3" bestFit="1" customWidth="1"/>
    <col min="6925" max="6925" width="8.5703125" style="3" bestFit="1" customWidth="1"/>
    <col min="6926" max="6926" width="15.140625" style="3" bestFit="1" customWidth="1"/>
    <col min="6927" max="7169" width="9.140625" style="3"/>
    <col min="7170" max="7170" width="26" style="3" bestFit="1" customWidth="1"/>
    <col min="7171" max="7171" width="27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0.42578125" style="3" bestFit="1" customWidth="1"/>
    <col min="7176" max="7178" width="5.5703125" style="3" bestFit="1" customWidth="1"/>
    <col min="7179" max="7179" width="4.85546875" style="3" bestFit="1" customWidth="1"/>
    <col min="7180" max="7180" width="7.85546875" style="3" bestFit="1" customWidth="1"/>
    <col min="7181" max="7181" width="8.5703125" style="3" bestFit="1" customWidth="1"/>
    <col min="7182" max="7182" width="15.140625" style="3" bestFit="1" customWidth="1"/>
    <col min="7183" max="7425" width="9.140625" style="3"/>
    <col min="7426" max="7426" width="26" style="3" bestFit="1" customWidth="1"/>
    <col min="7427" max="7427" width="27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0.42578125" style="3" bestFit="1" customWidth="1"/>
    <col min="7432" max="7434" width="5.5703125" style="3" bestFit="1" customWidth="1"/>
    <col min="7435" max="7435" width="4.85546875" style="3" bestFit="1" customWidth="1"/>
    <col min="7436" max="7436" width="7.85546875" style="3" bestFit="1" customWidth="1"/>
    <col min="7437" max="7437" width="8.5703125" style="3" bestFit="1" customWidth="1"/>
    <col min="7438" max="7438" width="15.140625" style="3" bestFit="1" customWidth="1"/>
    <col min="7439" max="7681" width="9.140625" style="3"/>
    <col min="7682" max="7682" width="26" style="3" bestFit="1" customWidth="1"/>
    <col min="7683" max="7683" width="27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0.42578125" style="3" bestFit="1" customWidth="1"/>
    <col min="7688" max="7690" width="5.5703125" style="3" bestFit="1" customWidth="1"/>
    <col min="7691" max="7691" width="4.85546875" style="3" bestFit="1" customWidth="1"/>
    <col min="7692" max="7692" width="7.85546875" style="3" bestFit="1" customWidth="1"/>
    <col min="7693" max="7693" width="8.5703125" style="3" bestFit="1" customWidth="1"/>
    <col min="7694" max="7694" width="15.140625" style="3" bestFit="1" customWidth="1"/>
    <col min="7695" max="7937" width="9.140625" style="3"/>
    <col min="7938" max="7938" width="26" style="3" bestFit="1" customWidth="1"/>
    <col min="7939" max="7939" width="27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0.42578125" style="3" bestFit="1" customWidth="1"/>
    <col min="7944" max="7946" width="5.5703125" style="3" bestFit="1" customWidth="1"/>
    <col min="7947" max="7947" width="4.85546875" style="3" bestFit="1" customWidth="1"/>
    <col min="7948" max="7948" width="7.85546875" style="3" bestFit="1" customWidth="1"/>
    <col min="7949" max="7949" width="8.5703125" style="3" bestFit="1" customWidth="1"/>
    <col min="7950" max="7950" width="15.140625" style="3" bestFit="1" customWidth="1"/>
    <col min="7951" max="8193" width="9.140625" style="3"/>
    <col min="8194" max="8194" width="26" style="3" bestFit="1" customWidth="1"/>
    <col min="8195" max="8195" width="27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0.42578125" style="3" bestFit="1" customWidth="1"/>
    <col min="8200" max="8202" width="5.5703125" style="3" bestFit="1" customWidth="1"/>
    <col min="8203" max="8203" width="4.85546875" style="3" bestFit="1" customWidth="1"/>
    <col min="8204" max="8204" width="7.85546875" style="3" bestFit="1" customWidth="1"/>
    <col min="8205" max="8205" width="8.5703125" style="3" bestFit="1" customWidth="1"/>
    <col min="8206" max="8206" width="15.140625" style="3" bestFit="1" customWidth="1"/>
    <col min="8207" max="8449" width="9.140625" style="3"/>
    <col min="8450" max="8450" width="26" style="3" bestFit="1" customWidth="1"/>
    <col min="8451" max="8451" width="27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0.42578125" style="3" bestFit="1" customWidth="1"/>
    <col min="8456" max="8458" width="5.5703125" style="3" bestFit="1" customWidth="1"/>
    <col min="8459" max="8459" width="4.85546875" style="3" bestFit="1" customWidth="1"/>
    <col min="8460" max="8460" width="7.85546875" style="3" bestFit="1" customWidth="1"/>
    <col min="8461" max="8461" width="8.5703125" style="3" bestFit="1" customWidth="1"/>
    <col min="8462" max="8462" width="15.140625" style="3" bestFit="1" customWidth="1"/>
    <col min="8463" max="8705" width="9.140625" style="3"/>
    <col min="8706" max="8706" width="26" style="3" bestFit="1" customWidth="1"/>
    <col min="8707" max="8707" width="27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0.42578125" style="3" bestFit="1" customWidth="1"/>
    <col min="8712" max="8714" width="5.5703125" style="3" bestFit="1" customWidth="1"/>
    <col min="8715" max="8715" width="4.85546875" style="3" bestFit="1" customWidth="1"/>
    <col min="8716" max="8716" width="7.85546875" style="3" bestFit="1" customWidth="1"/>
    <col min="8717" max="8717" width="8.5703125" style="3" bestFit="1" customWidth="1"/>
    <col min="8718" max="8718" width="15.140625" style="3" bestFit="1" customWidth="1"/>
    <col min="8719" max="8961" width="9.140625" style="3"/>
    <col min="8962" max="8962" width="26" style="3" bestFit="1" customWidth="1"/>
    <col min="8963" max="8963" width="27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0.42578125" style="3" bestFit="1" customWidth="1"/>
    <col min="8968" max="8970" width="5.5703125" style="3" bestFit="1" customWidth="1"/>
    <col min="8971" max="8971" width="4.85546875" style="3" bestFit="1" customWidth="1"/>
    <col min="8972" max="8972" width="7.85546875" style="3" bestFit="1" customWidth="1"/>
    <col min="8973" max="8973" width="8.5703125" style="3" bestFit="1" customWidth="1"/>
    <col min="8974" max="8974" width="15.140625" style="3" bestFit="1" customWidth="1"/>
    <col min="8975" max="9217" width="9.140625" style="3"/>
    <col min="9218" max="9218" width="26" style="3" bestFit="1" customWidth="1"/>
    <col min="9219" max="9219" width="27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0.42578125" style="3" bestFit="1" customWidth="1"/>
    <col min="9224" max="9226" width="5.5703125" style="3" bestFit="1" customWidth="1"/>
    <col min="9227" max="9227" width="4.85546875" style="3" bestFit="1" customWidth="1"/>
    <col min="9228" max="9228" width="7.85546875" style="3" bestFit="1" customWidth="1"/>
    <col min="9229" max="9229" width="8.5703125" style="3" bestFit="1" customWidth="1"/>
    <col min="9230" max="9230" width="15.140625" style="3" bestFit="1" customWidth="1"/>
    <col min="9231" max="9473" width="9.140625" style="3"/>
    <col min="9474" max="9474" width="26" style="3" bestFit="1" customWidth="1"/>
    <col min="9475" max="9475" width="27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0.42578125" style="3" bestFit="1" customWidth="1"/>
    <col min="9480" max="9482" width="5.5703125" style="3" bestFit="1" customWidth="1"/>
    <col min="9483" max="9483" width="4.85546875" style="3" bestFit="1" customWidth="1"/>
    <col min="9484" max="9484" width="7.85546875" style="3" bestFit="1" customWidth="1"/>
    <col min="9485" max="9485" width="8.5703125" style="3" bestFit="1" customWidth="1"/>
    <col min="9486" max="9486" width="15.140625" style="3" bestFit="1" customWidth="1"/>
    <col min="9487" max="9729" width="9.140625" style="3"/>
    <col min="9730" max="9730" width="26" style="3" bestFit="1" customWidth="1"/>
    <col min="9731" max="9731" width="27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0.42578125" style="3" bestFit="1" customWidth="1"/>
    <col min="9736" max="9738" width="5.5703125" style="3" bestFit="1" customWidth="1"/>
    <col min="9739" max="9739" width="4.85546875" style="3" bestFit="1" customWidth="1"/>
    <col min="9740" max="9740" width="7.85546875" style="3" bestFit="1" customWidth="1"/>
    <col min="9741" max="9741" width="8.5703125" style="3" bestFit="1" customWidth="1"/>
    <col min="9742" max="9742" width="15.140625" style="3" bestFit="1" customWidth="1"/>
    <col min="9743" max="9985" width="9.140625" style="3"/>
    <col min="9986" max="9986" width="26" style="3" bestFit="1" customWidth="1"/>
    <col min="9987" max="9987" width="27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0.42578125" style="3" bestFit="1" customWidth="1"/>
    <col min="9992" max="9994" width="5.5703125" style="3" bestFit="1" customWidth="1"/>
    <col min="9995" max="9995" width="4.85546875" style="3" bestFit="1" customWidth="1"/>
    <col min="9996" max="9996" width="7.85546875" style="3" bestFit="1" customWidth="1"/>
    <col min="9997" max="9997" width="8.5703125" style="3" bestFit="1" customWidth="1"/>
    <col min="9998" max="9998" width="15.140625" style="3" bestFit="1" customWidth="1"/>
    <col min="9999" max="10241" width="9.140625" style="3"/>
    <col min="10242" max="10242" width="26" style="3" bestFit="1" customWidth="1"/>
    <col min="10243" max="10243" width="27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0.42578125" style="3" bestFit="1" customWidth="1"/>
    <col min="10248" max="10250" width="5.5703125" style="3" bestFit="1" customWidth="1"/>
    <col min="10251" max="10251" width="4.85546875" style="3" bestFit="1" customWidth="1"/>
    <col min="10252" max="10252" width="7.85546875" style="3" bestFit="1" customWidth="1"/>
    <col min="10253" max="10253" width="8.5703125" style="3" bestFit="1" customWidth="1"/>
    <col min="10254" max="10254" width="15.140625" style="3" bestFit="1" customWidth="1"/>
    <col min="10255" max="10497" width="9.140625" style="3"/>
    <col min="10498" max="10498" width="26" style="3" bestFit="1" customWidth="1"/>
    <col min="10499" max="10499" width="27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0.42578125" style="3" bestFit="1" customWidth="1"/>
    <col min="10504" max="10506" width="5.5703125" style="3" bestFit="1" customWidth="1"/>
    <col min="10507" max="10507" width="4.85546875" style="3" bestFit="1" customWidth="1"/>
    <col min="10508" max="10508" width="7.85546875" style="3" bestFit="1" customWidth="1"/>
    <col min="10509" max="10509" width="8.5703125" style="3" bestFit="1" customWidth="1"/>
    <col min="10510" max="10510" width="15.140625" style="3" bestFit="1" customWidth="1"/>
    <col min="10511" max="10753" width="9.140625" style="3"/>
    <col min="10754" max="10754" width="26" style="3" bestFit="1" customWidth="1"/>
    <col min="10755" max="10755" width="27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0.42578125" style="3" bestFit="1" customWidth="1"/>
    <col min="10760" max="10762" width="5.5703125" style="3" bestFit="1" customWidth="1"/>
    <col min="10763" max="10763" width="4.85546875" style="3" bestFit="1" customWidth="1"/>
    <col min="10764" max="10764" width="7.85546875" style="3" bestFit="1" customWidth="1"/>
    <col min="10765" max="10765" width="8.5703125" style="3" bestFit="1" customWidth="1"/>
    <col min="10766" max="10766" width="15.140625" style="3" bestFit="1" customWidth="1"/>
    <col min="10767" max="11009" width="9.140625" style="3"/>
    <col min="11010" max="11010" width="26" style="3" bestFit="1" customWidth="1"/>
    <col min="11011" max="11011" width="27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0.42578125" style="3" bestFit="1" customWidth="1"/>
    <col min="11016" max="11018" width="5.5703125" style="3" bestFit="1" customWidth="1"/>
    <col min="11019" max="11019" width="4.85546875" style="3" bestFit="1" customWidth="1"/>
    <col min="11020" max="11020" width="7.85546875" style="3" bestFit="1" customWidth="1"/>
    <col min="11021" max="11021" width="8.5703125" style="3" bestFit="1" customWidth="1"/>
    <col min="11022" max="11022" width="15.140625" style="3" bestFit="1" customWidth="1"/>
    <col min="11023" max="11265" width="9.140625" style="3"/>
    <col min="11266" max="11266" width="26" style="3" bestFit="1" customWidth="1"/>
    <col min="11267" max="11267" width="27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0.42578125" style="3" bestFit="1" customWidth="1"/>
    <col min="11272" max="11274" width="5.5703125" style="3" bestFit="1" customWidth="1"/>
    <col min="11275" max="11275" width="4.85546875" style="3" bestFit="1" customWidth="1"/>
    <col min="11276" max="11276" width="7.85546875" style="3" bestFit="1" customWidth="1"/>
    <col min="11277" max="11277" width="8.5703125" style="3" bestFit="1" customWidth="1"/>
    <col min="11278" max="11278" width="15.140625" style="3" bestFit="1" customWidth="1"/>
    <col min="11279" max="11521" width="9.140625" style="3"/>
    <col min="11522" max="11522" width="26" style="3" bestFit="1" customWidth="1"/>
    <col min="11523" max="11523" width="27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0.42578125" style="3" bestFit="1" customWidth="1"/>
    <col min="11528" max="11530" width="5.5703125" style="3" bestFit="1" customWidth="1"/>
    <col min="11531" max="11531" width="4.85546875" style="3" bestFit="1" customWidth="1"/>
    <col min="11532" max="11532" width="7.85546875" style="3" bestFit="1" customWidth="1"/>
    <col min="11533" max="11533" width="8.5703125" style="3" bestFit="1" customWidth="1"/>
    <col min="11534" max="11534" width="15.140625" style="3" bestFit="1" customWidth="1"/>
    <col min="11535" max="11777" width="9.140625" style="3"/>
    <col min="11778" max="11778" width="26" style="3" bestFit="1" customWidth="1"/>
    <col min="11779" max="11779" width="27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0.42578125" style="3" bestFit="1" customWidth="1"/>
    <col min="11784" max="11786" width="5.5703125" style="3" bestFit="1" customWidth="1"/>
    <col min="11787" max="11787" width="4.85546875" style="3" bestFit="1" customWidth="1"/>
    <col min="11788" max="11788" width="7.85546875" style="3" bestFit="1" customWidth="1"/>
    <col min="11789" max="11789" width="8.5703125" style="3" bestFit="1" customWidth="1"/>
    <col min="11790" max="11790" width="15.140625" style="3" bestFit="1" customWidth="1"/>
    <col min="11791" max="12033" width="9.140625" style="3"/>
    <col min="12034" max="12034" width="26" style="3" bestFit="1" customWidth="1"/>
    <col min="12035" max="12035" width="27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0.42578125" style="3" bestFit="1" customWidth="1"/>
    <col min="12040" max="12042" width="5.5703125" style="3" bestFit="1" customWidth="1"/>
    <col min="12043" max="12043" width="4.85546875" style="3" bestFit="1" customWidth="1"/>
    <col min="12044" max="12044" width="7.85546875" style="3" bestFit="1" customWidth="1"/>
    <col min="12045" max="12045" width="8.5703125" style="3" bestFit="1" customWidth="1"/>
    <col min="12046" max="12046" width="15.140625" style="3" bestFit="1" customWidth="1"/>
    <col min="12047" max="12289" width="9.140625" style="3"/>
    <col min="12290" max="12290" width="26" style="3" bestFit="1" customWidth="1"/>
    <col min="12291" max="12291" width="27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0.42578125" style="3" bestFit="1" customWidth="1"/>
    <col min="12296" max="12298" width="5.5703125" style="3" bestFit="1" customWidth="1"/>
    <col min="12299" max="12299" width="4.85546875" style="3" bestFit="1" customWidth="1"/>
    <col min="12300" max="12300" width="7.85546875" style="3" bestFit="1" customWidth="1"/>
    <col min="12301" max="12301" width="8.5703125" style="3" bestFit="1" customWidth="1"/>
    <col min="12302" max="12302" width="15.140625" style="3" bestFit="1" customWidth="1"/>
    <col min="12303" max="12545" width="9.140625" style="3"/>
    <col min="12546" max="12546" width="26" style="3" bestFit="1" customWidth="1"/>
    <col min="12547" max="12547" width="27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0.42578125" style="3" bestFit="1" customWidth="1"/>
    <col min="12552" max="12554" width="5.5703125" style="3" bestFit="1" customWidth="1"/>
    <col min="12555" max="12555" width="4.85546875" style="3" bestFit="1" customWidth="1"/>
    <col min="12556" max="12556" width="7.85546875" style="3" bestFit="1" customWidth="1"/>
    <col min="12557" max="12557" width="8.5703125" style="3" bestFit="1" customWidth="1"/>
    <col min="12558" max="12558" width="15.140625" style="3" bestFit="1" customWidth="1"/>
    <col min="12559" max="12801" width="9.140625" style="3"/>
    <col min="12802" max="12802" width="26" style="3" bestFit="1" customWidth="1"/>
    <col min="12803" max="12803" width="27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0.42578125" style="3" bestFit="1" customWidth="1"/>
    <col min="12808" max="12810" width="5.5703125" style="3" bestFit="1" customWidth="1"/>
    <col min="12811" max="12811" width="4.85546875" style="3" bestFit="1" customWidth="1"/>
    <col min="12812" max="12812" width="7.85546875" style="3" bestFit="1" customWidth="1"/>
    <col min="12813" max="12813" width="8.5703125" style="3" bestFit="1" customWidth="1"/>
    <col min="12814" max="12814" width="15.140625" style="3" bestFit="1" customWidth="1"/>
    <col min="12815" max="13057" width="9.140625" style="3"/>
    <col min="13058" max="13058" width="26" style="3" bestFit="1" customWidth="1"/>
    <col min="13059" max="13059" width="27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0.42578125" style="3" bestFit="1" customWidth="1"/>
    <col min="13064" max="13066" width="5.5703125" style="3" bestFit="1" customWidth="1"/>
    <col min="13067" max="13067" width="4.85546875" style="3" bestFit="1" customWidth="1"/>
    <col min="13068" max="13068" width="7.85546875" style="3" bestFit="1" customWidth="1"/>
    <col min="13069" max="13069" width="8.5703125" style="3" bestFit="1" customWidth="1"/>
    <col min="13070" max="13070" width="15.140625" style="3" bestFit="1" customWidth="1"/>
    <col min="13071" max="13313" width="9.140625" style="3"/>
    <col min="13314" max="13314" width="26" style="3" bestFit="1" customWidth="1"/>
    <col min="13315" max="13315" width="27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0.42578125" style="3" bestFit="1" customWidth="1"/>
    <col min="13320" max="13322" width="5.5703125" style="3" bestFit="1" customWidth="1"/>
    <col min="13323" max="13323" width="4.85546875" style="3" bestFit="1" customWidth="1"/>
    <col min="13324" max="13324" width="7.85546875" style="3" bestFit="1" customWidth="1"/>
    <col min="13325" max="13325" width="8.5703125" style="3" bestFit="1" customWidth="1"/>
    <col min="13326" max="13326" width="15.140625" style="3" bestFit="1" customWidth="1"/>
    <col min="13327" max="13569" width="9.140625" style="3"/>
    <col min="13570" max="13570" width="26" style="3" bestFit="1" customWidth="1"/>
    <col min="13571" max="13571" width="27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0.42578125" style="3" bestFit="1" customWidth="1"/>
    <col min="13576" max="13578" width="5.5703125" style="3" bestFit="1" customWidth="1"/>
    <col min="13579" max="13579" width="4.85546875" style="3" bestFit="1" customWidth="1"/>
    <col min="13580" max="13580" width="7.85546875" style="3" bestFit="1" customWidth="1"/>
    <col min="13581" max="13581" width="8.5703125" style="3" bestFit="1" customWidth="1"/>
    <col min="13582" max="13582" width="15.140625" style="3" bestFit="1" customWidth="1"/>
    <col min="13583" max="13825" width="9.140625" style="3"/>
    <col min="13826" max="13826" width="26" style="3" bestFit="1" customWidth="1"/>
    <col min="13827" max="13827" width="27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0.42578125" style="3" bestFit="1" customWidth="1"/>
    <col min="13832" max="13834" width="5.5703125" style="3" bestFit="1" customWidth="1"/>
    <col min="13835" max="13835" width="4.85546875" style="3" bestFit="1" customWidth="1"/>
    <col min="13836" max="13836" width="7.85546875" style="3" bestFit="1" customWidth="1"/>
    <col min="13837" max="13837" width="8.5703125" style="3" bestFit="1" customWidth="1"/>
    <col min="13838" max="13838" width="15.140625" style="3" bestFit="1" customWidth="1"/>
    <col min="13839" max="14081" width="9.140625" style="3"/>
    <col min="14082" max="14082" width="26" style="3" bestFit="1" customWidth="1"/>
    <col min="14083" max="14083" width="27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0.42578125" style="3" bestFit="1" customWidth="1"/>
    <col min="14088" max="14090" width="5.5703125" style="3" bestFit="1" customWidth="1"/>
    <col min="14091" max="14091" width="4.85546875" style="3" bestFit="1" customWidth="1"/>
    <col min="14092" max="14092" width="7.85546875" style="3" bestFit="1" customWidth="1"/>
    <col min="14093" max="14093" width="8.5703125" style="3" bestFit="1" customWidth="1"/>
    <col min="14094" max="14094" width="15.140625" style="3" bestFit="1" customWidth="1"/>
    <col min="14095" max="14337" width="9.140625" style="3"/>
    <col min="14338" max="14338" width="26" style="3" bestFit="1" customWidth="1"/>
    <col min="14339" max="14339" width="27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0.42578125" style="3" bestFit="1" customWidth="1"/>
    <col min="14344" max="14346" width="5.5703125" style="3" bestFit="1" customWidth="1"/>
    <col min="14347" max="14347" width="4.85546875" style="3" bestFit="1" customWidth="1"/>
    <col min="14348" max="14348" width="7.85546875" style="3" bestFit="1" customWidth="1"/>
    <col min="14349" max="14349" width="8.5703125" style="3" bestFit="1" customWidth="1"/>
    <col min="14350" max="14350" width="15.140625" style="3" bestFit="1" customWidth="1"/>
    <col min="14351" max="14593" width="9.140625" style="3"/>
    <col min="14594" max="14594" width="26" style="3" bestFit="1" customWidth="1"/>
    <col min="14595" max="14595" width="27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0.42578125" style="3" bestFit="1" customWidth="1"/>
    <col min="14600" max="14602" width="5.5703125" style="3" bestFit="1" customWidth="1"/>
    <col min="14603" max="14603" width="4.85546875" style="3" bestFit="1" customWidth="1"/>
    <col min="14604" max="14604" width="7.85546875" style="3" bestFit="1" customWidth="1"/>
    <col min="14605" max="14605" width="8.5703125" style="3" bestFit="1" customWidth="1"/>
    <col min="14606" max="14606" width="15.140625" style="3" bestFit="1" customWidth="1"/>
    <col min="14607" max="14849" width="9.140625" style="3"/>
    <col min="14850" max="14850" width="26" style="3" bestFit="1" customWidth="1"/>
    <col min="14851" max="14851" width="27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0.42578125" style="3" bestFit="1" customWidth="1"/>
    <col min="14856" max="14858" width="5.5703125" style="3" bestFit="1" customWidth="1"/>
    <col min="14859" max="14859" width="4.85546875" style="3" bestFit="1" customWidth="1"/>
    <col min="14860" max="14860" width="7.85546875" style="3" bestFit="1" customWidth="1"/>
    <col min="14861" max="14861" width="8.5703125" style="3" bestFit="1" customWidth="1"/>
    <col min="14862" max="14862" width="15.140625" style="3" bestFit="1" customWidth="1"/>
    <col min="14863" max="15105" width="9.140625" style="3"/>
    <col min="15106" max="15106" width="26" style="3" bestFit="1" customWidth="1"/>
    <col min="15107" max="15107" width="27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0.42578125" style="3" bestFit="1" customWidth="1"/>
    <col min="15112" max="15114" width="5.5703125" style="3" bestFit="1" customWidth="1"/>
    <col min="15115" max="15115" width="4.85546875" style="3" bestFit="1" customWidth="1"/>
    <col min="15116" max="15116" width="7.85546875" style="3" bestFit="1" customWidth="1"/>
    <col min="15117" max="15117" width="8.5703125" style="3" bestFit="1" customWidth="1"/>
    <col min="15118" max="15118" width="15.140625" style="3" bestFit="1" customWidth="1"/>
    <col min="15119" max="15361" width="9.140625" style="3"/>
    <col min="15362" max="15362" width="26" style="3" bestFit="1" customWidth="1"/>
    <col min="15363" max="15363" width="27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0.42578125" style="3" bestFit="1" customWidth="1"/>
    <col min="15368" max="15370" width="5.5703125" style="3" bestFit="1" customWidth="1"/>
    <col min="15371" max="15371" width="4.85546875" style="3" bestFit="1" customWidth="1"/>
    <col min="15372" max="15372" width="7.85546875" style="3" bestFit="1" customWidth="1"/>
    <col min="15373" max="15373" width="8.5703125" style="3" bestFit="1" customWidth="1"/>
    <col min="15374" max="15374" width="15.140625" style="3" bestFit="1" customWidth="1"/>
    <col min="15375" max="15617" width="9.140625" style="3"/>
    <col min="15618" max="15618" width="26" style="3" bestFit="1" customWidth="1"/>
    <col min="15619" max="15619" width="27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0.42578125" style="3" bestFit="1" customWidth="1"/>
    <col min="15624" max="15626" width="5.5703125" style="3" bestFit="1" customWidth="1"/>
    <col min="15627" max="15627" width="4.85546875" style="3" bestFit="1" customWidth="1"/>
    <col min="15628" max="15628" width="7.85546875" style="3" bestFit="1" customWidth="1"/>
    <col min="15629" max="15629" width="8.5703125" style="3" bestFit="1" customWidth="1"/>
    <col min="15630" max="15630" width="15.140625" style="3" bestFit="1" customWidth="1"/>
    <col min="15631" max="15873" width="9.140625" style="3"/>
    <col min="15874" max="15874" width="26" style="3" bestFit="1" customWidth="1"/>
    <col min="15875" max="15875" width="27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0.42578125" style="3" bestFit="1" customWidth="1"/>
    <col min="15880" max="15882" width="5.5703125" style="3" bestFit="1" customWidth="1"/>
    <col min="15883" max="15883" width="4.85546875" style="3" bestFit="1" customWidth="1"/>
    <col min="15884" max="15884" width="7.85546875" style="3" bestFit="1" customWidth="1"/>
    <col min="15885" max="15885" width="8.5703125" style="3" bestFit="1" customWidth="1"/>
    <col min="15886" max="15886" width="15.140625" style="3" bestFit="1" customWidth="1"/>
    <col min="15887" max="16129" width="9.140625" style="3"/>
    <col min="16130" max="16130" width="26" style="3" bestFit="1" customWidth="1"/>
    <col min="16131" max="16131" width="27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0.42578125" style="3" bestFit="1" customWidth="1"/>
    <col min="16136" max="16138" width="5.5703125" style="3" bestFit="1" customWidth="1"/>
    <col min="16139" max="16139" width="4.85546875" style="3" bestFit="1" customWidth="1"/>
    <col min="16140" max="16140" width="7.85546875" style="3" bestFit="1" customWidth="1"/>
    <col min="16141" max="16141" width="8.5703125" style="3" bestFit="1" customWidth="1"/>
    <col min="16142" max="16142" width="15.140625" style="3" bestFit="1" customWidth="1"/>
    <col min="16143" max="16384" width="9.140625" style="3"/>
  </cols>
  <sheetData>
    <row r="1" spans="1:14" s="2" customFormat="1" ht="29.1" customHeight="1" x14ac:dyDescent="0.2">
      <c r="A1" s="40" t="s">
        <v>1232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295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61" t="s">
        <v>225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">
      <c r="A6" s="6" t="s">
        <v>1233</v>
      </c>
      <c r="B6" s="6" t="s">
        <v>1446</v>
      </c>
      <c r="C6" s="6" t="s">
        <v>1234</v>
      </c>
      <c r="D6" s="6" t="s">
        <v>1007</v>
      </c>
      <c r="E6" s="6" t="str">
        <f>"0,9103"</f>
        <v>0,9103</v>
      </c>
      <c r="F6" s="6" t="s">
        <v>1235</v>
      </c>
      <c r="G6" s="6" t="s">
        <v>93</v>
      </c>
      <c r="H6" s="8" t="s">
        <v>68</v>
      </c>
      <c r="I6" s="8" t="s">
        <v>79</v>
      </c>
      <c r="J6" s="7" t="s">
        <v>114</v>
      </c>
      <c r="K6" s="7"/>
      <c r="L6" s="6" t="str">
        <f>"95,0"</f>
        <v>95,0</v>
      </c>
      <c r="M6" s="8" t="str">
        <f>"86,4785"</f>
        <v>86,4785</v>
      </c>
      <c r="N6" s="6" t="s">
        <v>1236</v>
      </c>
    </row>
    <row r="8" spans="1:14" ht="15" x14ac:dyDescent="0.2">
      <c r="A8" s="30" t="s">
        <v>26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6" t="s">
        <v>1237</v>
      </c>
      <c r="B9" s="6" t="s">
        <v>1442</v>
      </c>
      <c r="C9" s="6" t="s">
        <v>1238</v>
      </c>
      <c r="D9" s="6" t="s">
        <v>1239</v>
      </c>
      <c r="E9" s="6" t="str">
        <f>"0,6749"</f>
        <v>0,6749</v>
      </c>
      <c r="F9" s="6" t="s">
        <v>14</v>
      </c>
      <c r="G9" s="6" t="s">
        <v>495</v>
      </c>
      <c r="H9" s="8" t="s">
        <v>412</v>
      </c>
      <c r="I9" s="8" t="s">
        <v>438</v>
      </c>
      <c r="J9" s="7"/>
      <c r="K9" s="7"/>
      <c r="L9" s="6" t="str">
        <f>"222,5"</f>
        <v>222,5</v>
      </c>
      <c r="M9" s="8" t="str">
        <f>"150,1652"</f>
        <v>150,1652</v>
      </c>
      <c r="N9" s="6" t="s">
        <v>799</v>
      </c>
    </row>
    <row r="11" spans="1:14" ht="15" x14ac:dyDescent="0.2">
      <c r="A11" s="30" t="s">
        <v>50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4" x14ac:dyDescent="0.2">
      <c r="A12" s="6" t="s">
        <v>1240</v>
      </c>
      <c r="B12" s="6" t="s">
        <v>1437</v>
      </c>
      <c r="C12" s="6" t="s">
        <v>1241</v>
      </c>
      <c r="D12" s="6" t="s">
        <v>1180</v>
      </c>
      <c r="E12" s="6" t="str">
        <f>"0,6487"</f>
        <v>0,6487</v>
      </c>
      <c r="F12" s="6" t="s">
        <v>14</v>
      </c>
      <c r="G12" s="6" t="s">
        <v>1242</v>
      </c>
      <c r="H12" s="8" t="s">
        <v>388</v>
      </c>
      <c r="I12" s="7" t="s">
        <v>442</v>
      </c>
      <c r="J12" s="7" t="s">
        <v>442</v>
      </c>
      <c r="K12" s="7"/>
      <c r="L12" s="6" t="str">
        <f>"210,0"</f>
        <v>210,0</v>
      </c>
      <c r="M12" s="8" t="str">
        <f>"136,2270"</f>
        <v>136,2270</v>
      </c>
      <c r="N12" s="6" t="s">
        <v>62</v>
      </c>
    </row>
    <row r="14" spans="1:14" ht="15" x14ac:dyDescent="0.2">
      <c r="A14" s="30" t="s">
        <v>70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">
      <c r="A15" s="6" t="s">
        <v>1243</v>
      </c>
      <c r="B15" s="6" t="s">
        <v>1443</v>
      </c>
      <c r="C15" s="6" t="s">
        <v>1244</v>
      </c>
      <c r="D15" s="6" t="s">
        <v>1245</v>
      </c>
      <c r="E15" s="6" t="str">
        <f>"0,6203"</f>
        <v>0,6203</v>
      </c>
      <c r="F15" s="6" t="s">
        <v>65</v>
      </c>
      <c r="G15" s="6" t="s">
        <v>66</v>
      </c>
      <c r="H15" s="8" t="s">
        <v>405</v>
      </c>
      <c r="I15" s="8" t="s">
        <v>1246</v>
      </c>
      <c r="J15" s="8" t="s">
        <v>1247</v>
      </c>
      <c r="K15" s="7"/>
      <c r="L15" s="6" t="str">
        <f>"295,0"</f>
        <v>295,0</v>
      </c>
      <c r="M15" s="8" t="str">
        <f>"182,9885"</f>
        <v>182,9885</v>
      </c>
      <c r="N15" s="6"/>
    </row>
    <row r="17" spans="1:14" ht="15" x14ac:dyDescent="0.2">
      <c r="A17" s="30" t="s">
        <v>81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4" x14ac:dyDescent="0.2">
      <c r="A18" s="9" t="s">
        <v>1248</v>
      </c>
      <c r="B18" s="9" t="s">
        <v>1443</v>
      </c>
      <c r="C18" s="9" t="s">
        <v>1249</v>
      </c>
      <c r="D18" s="9" t="s">
        <v>178</v>
      </c>
      <c r="E18" s="9" t="str">
        <f>"0,5952"</f>
        <v>0,5952</v>
      </c>
      <c r="F18" s="9" t="s">
        <v>65</v>
      </c>
      <c r="G18" s="9" t="s">
        <v>66</v>
      </c>
      <c r="H18" s="10" t="s">
        <v>404</v>
      </c>
      <c r="I18" s="10" t="s">
        <v>1250</v>
      </c>
      <c r="J18" s="10" t="s">
        <v>1247</v>
      </c>
      <c r="K18" s="25"/>
      <c r="L18" s="9" t="str">
        <f>"295,0"</f>
        <v>295,0</v>
      </c>
      <c r="M18" s="10" t="str">
        <f>"175,5840"</f>
        <v>175,5840</v>
      </c>
      <c r="N18" s="9"/>
    </row>
    <row r="19" spans="1:14" x14ac:dyDescent="0.2">
      <c r="A19" s="11" t="s">
        <v>1251</v>
      </c>
      <c r="B19" s="11" t="s">
        <v>1443</v>
      </c>
      <c r="C19" s="11" t="s">
        <v>1252</v>
      </c>
      <c r="D19" s="11" t="s">
        <v>1253</v>
      </c>
      <c r="E19" s="11" t="str">
        <f>"0,5972"</f>
        <v>0,5972</v>
      </c>
      <c r="F19" s="11" t="s">
        <v>14</v>
      </c>
      <c r="G19" s="11" t="s">
        <v>437</v>
      </c>
      <c r="H19" s="13" t="s">
        <v>404</v>
      </c>
      <c r="I19" s="13" t="s">
        <v>1250</v>
      </c>
      <c r="J19" s="12" t="s">
        <v>1247</v>
      </c>
      <c r="K19" s="12"/>
      <c r="L19" s="11" t="str">
        <f>"287,5"</f>
        <v>287,5</v>
      </c>
      <c r="M19" s="13" t="str">
        <f>"171,6950"</f>
        <v>171,6950</v>
      </c>
      <c r="N19" s="11" t="s">
        <v>1196</v>
      </c>
    </row>
    <row r="20" spans="1:14" x14ac:dyDescent="0.2">
      <c r="A20" s="14" t="s">
        <v>1254</v>
      </c>
      <c r="B20" s="14" t="s">
        <v>1442</v>
      </c>
      <c r="C20" s="14" t="s">
        <v>1255</v>
      </c>
      <c r="D20" s="14" t="s">
        <v>1256</v>
      </c>
      <c r="E20" s="14" t="str">
        <f>"0,5980"</f>
        <v>0,5980</v>
      </c>
      <c r="F20" s="14" t="s">
        <v>1257</v>
      </c>
      <c r="G20" s="14" t="s">
        <v>1258</v>
      </c>
      <c r="H20" s="16" t="s">
        <v>508</v>
      </c>
      <c r="I20" s="16" t="s">
        <v>502</v>
      </c>
      <c r="J20" s="16" t="s">
        <v>503</v>
      </c>
      <c r="K20" s="15"/>
      <c r="L20" s="14" t="str">
        <f>"272,5"</f>
        <v>272,5</v>
      </c>
      <c r="M20" s="16" t="str">
        <f>"162,9550"</f>
        <v>162,9550</v>
      </c>
      <c r="N20" s="14" t="s">
        <v>62</v>
      </c>
    </row>
    <row r="22" spans="1:14" ht="15" x14ac:dyDescent="0.2">
      <c r="F22" s="17" t="s">
        <v>96</v>
      </c>
    </row>
    <row r="23" spans="1:14" ht="15" x14ac:dyDescent="0.2">
      <c r="F23" s="17" t="s">
        <v>97</v>
      </c>
    </row>
    <row r="24" spans="1:14" ht="15" x14ac:dyDescent="0.2">
      <c r="F24" s="17" t="s">
        <v>98</v>
      </c>
    </row>
    <row r="25" spans="1:14" ht="15" x14ac:dyDescent="0.2">
      <c r="F25" s="17"/>
    </row>
    <row r="27" spans="1:14" ht="18" x14ac:dyDescent="0.25">
      <c r="A27" s="18" t="s">
        <v>99</v>
      </c>
      <c r="B27" s="18"/>
      <c r="C27" s="18"/>
    </row>
    <row r="28" spans="1:14" ht="15" x14ac:dyDescent="0.2">
      <c r="A28" s="19" t="s">
        <v>100</v>
      </c>
      <c r="B28" s="19"/>
      <c r="C28" s="19"/>
    </row>
    <row r="29" spans="1:14" ht="14.25" x14ac:dyDescent="0.2">
      <c r="A29" s="21"/>
      <c r="B29" s="21"/>
      <c r="C29" s="22" t="s">
        <v>107</v>
      </c>
    </row>
    <row r="30" spans="1:14" ht="15" x14ac:dyDescent="0.2">
      <c r="A30" s="23" t="s">
        <v>101</v>
      </c>
      <c r="B30" s="23"/>
      <c r="C30" s="23" t="s">
        <v>102</v>
      </c>
      <c r="D30" s="23" t="s">
        <v>103</v>
      </c>
      <c r="E30" s="23" t="s">
        <v>104</v>
      </c>
      <c r="F30" s="23" t="s">
        <v>291</v>
      </c>
    </row>
    <row r="31" spans="1:14" x14ac:dyDescent="0.2">
      <c r="A31" s="20" t="s">
        <v>1259</v>
      </c>
      <c r="B31" s="20"/>
      <c r="C31" s="4" t="s">
        <v>107</v>
      </c>
      <c r="D31" s="4" t="s">
        <v>114</v>
      </c>
      <c r="E31" s="4" t="s">
        <v>1247</v>
      </c>
      <c r="F31" s="24" t="s">
        <v>1260</v>
      </c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3">
    <mergeCell ref="A5:M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workbookViewId="0">
      <selection activeCell="C13" sqref="C13"/>
    </sheetView>
  </sheetViews>
  <sheetFormatPr defaultRowHeight="12.75" x14ac:dyDescent="0.2"/>
  <cols>
    <col min="1" max="1" width="26" style="4" bestFit="1" customWidth="1"/>
    <col min="2" max="2" width="12.7109375" style="4" customWidth="1"/>
    <col min="3" max="3" width="22.855468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2" style="4" bestFit="1" customWidth="1"/>
    <col min="8" max="9" width="5.5703125" style="3" bestFit="1" customWidth="1"/>
    <col min="10" max="10" width="2.140625" style="3" bestFit="1" customWidth="1"/>
    <col min="11" max="11" width="4.85546875" style="3" bestFit="1" customWidth="1"/>
    <col min="12" max="12" width="11.7109375" style="4" customWidth="1"/>
    <col min="13" max="13" width="8.5703125" style="3" bestFit="1" customWidth="1"/>
    <col min="14" max="14" width="13.140625" style="4" bestFit="1" customWidth="1"/>
    <col min="15" max="257" width="9.140625" style="3"/>
    <col min="258" max="258" width="26" style="3" bestFit="1" customWidth="1"/>
    <col min="259" max="259" width="22.855468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2" style="3" bestFit="1" customWidth="1"/>
    <col min="264" max="265" width="5.5703125" style="3" bestFit="1" customWidth="1"/>
    <col min="266" max="266" width="2.140625" style="3" bestFit="1" customWidth="1"/>
    <col min="267" max="267" width="4.85546875" style="3" bestFit="1" customWidth="1"/>
    <col min="268" max="268" width="11.7109375" style="3" customWidth="1"/>
    <col min="269" max="269" width="8.5703125" style="3" bestFit="1" customWidth="1"/>
    <col min="270" max="270" width="13.140625" style="3" bestFit="1" customWidth="1"/>
    <col min="271" max="513" width="9.140625" style="3"/>
    <col min="514" max="514" width="26" style="3" bestFit="1" customWidth="1"/>
    <col min="515" max="515" width="22.855468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2" style="3" bestFit="1" customWidth="1"/>
    <col min="520" max="521" width="5.5703125" style="3" bestFit="1" customWidth="1"/>
    <col min="522" max="522" width="2.140625" style="3" bestFit="1" customWidth="1"/>
    <col min="523" max="523" width="4.85546875" style="3" bestFit="1" customWidth="1"/>
    <col min="524" max="524" width="11.7109375" style="3" customWidth="1"/>
    <col min="525" max="525" width="8.5703125" style="3" bestFit="1" customWidth="1"/>
    <col min="526" max="526" width="13.140625" style="3" bestFit="1" customWidth="1"/>
    <col min="527" max="769" width="9.140625" style="3"/>
    <col min="770" max="770" width="26" style="3" bestFit="1" customWidth="1"/>
    <col min="771" max="771" width="22.855468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2" style="3" bestFit="1" customWidth="1"/>
    <col min="776" max="777" width="5.5703125" style="3" bestFit="1" customWidth="1"/>
    <col min="778" max="778" width="2.140625" style="3" bestFit="1" customWidth="1"/>
    <col min="779" max="779" width="4.85546875" style="3" bestFit="1" customWidth="1"/>
    <col min="780" max="780" width="11.7109375" style="3" customWidth="1"/>
    <col min="781" max="781" width="8.5703125" style="3" bestFit="1" customWidth="1"/>
    <col min="782" max="782" width="13.140625" style="3" bestFit="1" customWidth="1"/>
    <col min="783" max="1025" width="9.140625" style="3"/>
    <col min="1026" max="1026" width="26" style="3" bestFit="1" customWidth="1"/>
    <col min="1027" max="1027" width="22.855468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2" style="3" bestFit="1" customWidth="1"/>
    <col min="1032" max="1033" width="5.5703125" style="3" bestFit="1" customWidth="1"/>
    <col min="1034" max="1034" width="2.140625" style="3" bestFit="1" customWidth="1"/>
    <col min="1035" max="1035" width="4.85546875" style="3" bestFit="1" customWidth="1"/>
    <col min="1036" max="1036" width="11.7109375" style="3" customWidth="1"/>
    <col min="1037" max="1037" width="8.5703125" style="3" bestFit="1" customWidth="1"/>
    <col min="1038" max="1038" width="13.140625" style="3" bestFit="1" customWidth="1"/>
    <col min="1039" max="1281" width="9.140625" style="3"/>
    <col min="1282" max="1282" width="26" style="3" bestFit="1" customWidth="1"/>
    <col min="1283" max="1283" width="22.855468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2" style="3" bestFit="1" customWidth="1"/>
    <col min="1288" max="1289" width="5.5703125" style="3" bestFit="1" customWidth="1"/>
    <col min="1290" max="1290" width="2.140625" style="3" bestFit="1" customWidth="1"/>
    <col min="1291" max="1291" width="4.85546875" style="3" bestFit="1" customWidth="1"/>
    <col min="1292" max="1292" width="11.7109375" style="3" customWidth="1"/>
    <col min="1293" max="1293" width="8.5703125" style="3" bestFit="1" customWidth="1"/>
    <col min="1294" max="1294" width="13.140625" style="3" bestFit="1" customWidth="1"/>
    <col min="1295" max="1537" width="9.140625" style="3"/>
    <col min="1538" max="1538" width="26" style="3" bestFit="1" customWidth="1"/>
    <col min="1539" max="1539" width="22.855468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2" style="3" bestFit="1" customWidth="1"/>
    <col min="1544" max="1545" width="5.5703125" style="3" bestFit="1" customWidth="1"/>
    <col min="1546" max="1546" width="2.140625" style="3" bestFit="1" customWidth="1"/>
    <col min="1547" max="1547" width="4.85546875" style="3" bestFit="1" customWidth="1"/>
    <col min="1548" max="1548" width="11.7109375" style="3" customWidth="1"/>
    <col min="1549" max="1549" width="8.5703125" style="3" bestFit="1" customWidth="1"/>
    <col min="1550" max="1550" width="13.140625" style="3" bestFit="1" customWidth="1"/>
    <col min="1551" max="1793" width="9.140625" style="3"/>
    <col min="1794" max="1794" width="26" style="3" bestFit="1" customWidth="1"/>
    <col min="1795" max="1795" width="22.855468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2" style="3" bestFit="1" customWidth="1"/>
    <col min="1800" max="1801" width="5.5703125" style="3" bestFit="1" customWidth="1"/>
    <col min="1802" max="1802" width="2.140625" style="3" bestFit="1" customWidth="1"/>
    <col min="1803" max="1803" width="4.85546875" style="3" bestFit="1" customWidth="1"/>
    <col min="1804" max="1804" width="11.7109375" style="3" customWidth="1"/>
    <col min="1805" max="1805" width="8.5703125" style="3" bestFit="1" customWidth="1"/>
    <col min="1806" max="1806" width="13.140625" style="3" bestFit="1" customWidth="1"/>
    <col min="1807" max="2049" width="9.140625" style="3"/>
    <col min="2050" max="2050" width="26" style="3" bestFit="1" customWidth="1"/>
    <col min="2051" max="2051" width="22.855468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2" style="3" bestFit="1" customWidth="1"/>
    <col min="2056" max="2057" width="5.5703125" style="3" bestFit="1" customWidth="1"/>
    <col min="2058" max="2058" width="2.140625" style="3" bestFit="1" customWidth="1"/>
    <col min="2059" max="2059" width="4.85546875" style="3" bestFit="1" customWidth="1"/>
    <col min="2060" max="2060" width="11.7109375" style="3" customWidth="1"/>
    <col min="2061" max="2061" width="8.5703125" style="3" bestFit="1" customWidth="1"/>
    <col min="2062" max="2062" width="13.140625" style="3" bestFit="1" customWidth="1"/>
    <col min="2063" max="2305" width="9.140625" style="3"/>
    <col min="2306" max="2306" width="26" style="3" bestFit="1" customWidth="1"/>
    <col min="2307" max="2307" width="22.855468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2" style="3" bestFit="1" customWidth="1"/>
    <col min="2312" max="2313" width="5.5703125" style="3" bestFit="1" customWidth="1"/>
    <col min="2314" max="2314" width="2.140625" style="3" bestFit="1" customWidth="1"/>
    <col min="2315" max="2315" width="4.85546875" style="3" bestFit="1" customWidth="1"/>
    <col min="2316" max="2316" width="11.7109375" style="3" customWidth="1"/>
    <col min="2317" max="2317" width="8.5703125" style="3" bestFit="1" customWidth="1"/>
    <col min="2318" max="2318" width="13.140625" style="3" bestFit="1" customWidth="1"/>
    <col min="2319" max="2561" width="9.140625" style="3"/>
    <col min="2562" max="2562" width="26" style="3" bestFit="1" customWidth="1"/>
    <col min="2563" max="2563" width="22.855468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2" style="3" bestFit="1" customWidth="1"/>
    <col min="2568" max="2569" width="5.5703125" style="3" bestFit="1" customWidth="1"/>
    <col min="2570" max="2570" width="2.140625" style="3" bestFit="1" customWidth="1"/>
    <col min="2571" max="2571" width="4.85546875" style="3" bestFit="1" customWidth="1"/>
    <col min="2572" max="2572" width="11.7109375" style="3" customWidth="1"/>
    <col min="2573" max="2573" width="8.5703125" style="3" bestFit="1" customWidth="1"/>
    <col min="2574" max="2574" width="13.140625" style="3" bestFit="1" customWidth="1"/>
    <col min="2575" max="2817" width="9.140625" style="3"/>
    <col min="2818" max="2818" width="26" style="3" bestFit="1" customWidth="1"/>
    <col min="2819" max="2819" width="22.855468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2" style="3" bestFit="1" customWidth="1"/>
    <col min="2824" max="2825" width="5.5703125" style="3" bestFit="1" customWidth="1"/>
    <col min="2826" max="2826" width="2.140625" style="3" bestFit="1" customWidth="1"/>
    <col min="2827" max="2827" width="4.85546875" style="3" bestFit="1" customWidth="1"/>
    <col min="2828" max="2828" width="11.7109375" style="3" customWidth="1"/>
    <col min="2829" max="2829" width="8.5703125" style="3" bestFit="1" customWidth="1"/>
    <col min="2830" max="2830" width="13.140625" style="3" bestFit="1" customWidth="1"/>
    <col min="2831" max="3073" width="9.140625" style="3"/>
    <col min="3074" max="3074" width="26" style="3" bestFit="1" customWidth="1"/>
    <col min="3075" max="3075" width="22.855468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2" style="3" bestFit="1" customWidth="1"/>
    <col min="3080" max="3081" width="5.5703125" style="3" bestFit="1" customWidth="1"/>
    <col min="3082" max="3082" width="2.140625" style="3" bestFit="1" customWidth="1"/>
    <col min="3083" max="3083" width="4.85546875" style="3" bestFit="1" customWidth="1"/>
    <col min="3084" max="3084" width="11.7109375" style="3" customWidth="1"/>
    <col min="3085" max="3085" width="8.5703125" style="3" bestFit="1" customWidth="1"/>
    <col min="3086" max="3086" width="13.140625" style="3" bestFit="1" customWidth="1"/>
    <col min="3087" max="3329" width="9.140625" style="3"/>
    <col min="3330" max="3330" width="26" style="3" bestFit="1" customWidth="1"/>
    <col min="3331" max="3331" width="22.855468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2" style="3" bestFit="1" customWidth="1"/>
    <col min="3336" max="3337" width="5.5703125" style="3" bestFit="1" customWidth="1"/>
    <col min="3338" max="3338" width="2.140625" style="3" bestFit="1" customWidth="1"/>
    <col min="3339" max="3339" width="4.85546875" style="3" bestFit="1" customWidth="1"/>
    <col min="3340" max="3340" width="11.7109375" style="3" customWidth="1"/>
    <col min="3341" max="3341" width="8.5703125" style="3" bestFit="1" customWidth="1"/>
    <col min="3342" max="3342" width="13.140625" style="3" bestFit="1" customWidth="1"/>
    <col min="3343" max="3585" width="9.140625" style="3"/>
    <col min="3586" max="3586" width="26" style="3" bestFit="1" customWidth="1"/>
    <col min="3587" max="3587" width="22.855468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2" style="3" bestFit="1" customWidth="1"/>
    <col min="3592" max="3593" width="5.5703125" style="3" bestFit="1" customWidth="1"/>
    <col min="3594" max="3594" width="2.140625" style="3" bestFit="1" customWidth="1"/>
    <col min="3595" max="3595" width="4.85546875" style="3" bestFit="1" customWidth="1"/>
    <col min="3596" max="3596" width="11.7109375" style="3" customWidth="1"/>
    <col min="3597" max="3597" width="8.5703125" style="3" bestFit="1" customWidth="1"/>
    <col min="3598" max="3598" width="13.140625" style="3" bestFit="1" customWidth="1"/>
    <col min="3599" max="3841" width="9.140625" style="3"/>
    <col min="3842" max="3842" width="26" style="3" bestFit="1" customWidth="1"/>
    <col min="3843" max="3843" width="22.855468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2" style="3" bestFit="1" customWidth="1"/>
    <col min="3848" max="3849" width="5.5703125" style="3" bestFit="1" customWidth="1"/>
    <col min="3850" max="3850" width="2.140625" style="3" bestFit="1" customWidth="1"/>
    <col min="3851" max="3851" width="4.85546875" style="3" bestFit="1" customWidth="1"/>
    <col min="3852" max="3852" width="11.7109375" style="3" customWidth="1"/>
    <col min="3853" max="3853" width="8.5703125" style="3" bestFit="1" customWidth="1"/>
    <col min="3854" max="3854" width="13.140625" style="3" bestFit="1" customWidth="1"/>
    <col min="3855" max="4097" width="9.140625" style="3"/>
    <col min="4098" max="4098" width="26" style="3" bestFit="1" customWidth="1"/>
    <col min="4099" max="4099" width="22.855468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2" style="3" bestFit="1" customWidth="1"/>
    <col min="4104" max="4105" width="5.5703125" style="3" bestFit="1" customWidth="1"/>
    <col min="4106" max="4106" width="2.140625" style="3" bestFit="1" customWidth="1"/>
    <col min="4107" max="4107" width="4.85546875" style="3" bestFit="1" customWidth="1"/>
    <col min="4108" max="4108" width="11.7109375" style="3" customWidth="1"/>
    <col min="4109" max="4109" width="8.5703125" style="3" bestFit="1" customWidth="1"/>
    <col min="4110" max="4110" width="13.140625" style="3" bestFit="1" customWidth="1"/>
    <col min="4111" max="4353" width="9.140625" style="3"/>
    <col min="4354" max="4354" width="26" style="3" bestFit="1" customWidth="1"/>
    <col min="4355" max="4355" width="22.855468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2" style="3" bestFit="1" customWidth="1"/>
    <col min="4360" max="4361" width="5.5703125" style="3" bestFit="1" customWidth="1"/>
    <col min="4362" max="4362" width="2.140625" style="3" bestFit="1" customWidth="1"/>
    <col min="4363" max="4363" width="4.85546875" style="3" bestFit="1" customWidth="1"/>
    <col min="4364" max="4364" width="11.7109375" style="3" customWidth="1"/>
    <col min="4365" max="4365" width="8.5703125" style="3" bestFit="1" customWidth="1"/>
    <col min="4366" max="4366" width="13.140625" style="3" bestFit="1" customWidth="1"/>
    <col min="4367" max="4609" width="9.140625" style="3"/>
    <col min="4610" max="4610" width="26" style="3" bestFit="1" customWidth="1"/>
    <col min="4611" max="4611" width="22.855468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2" style="3" bestFit="1" customWidth="1"/>
    <col min="4616" max="4617" width="5.5703125" style="3" bestFit="1" customWidth="1"/>
    <col min="4618" max="4618" width="2.140625" style="3" bestFit="1" customWidth="1"/>
    <col min="4619" max="4619" width="4.85546875" style="3" bestFit="1" customWidth="1"/>
    <col min="4620" max="4620" width="11.7109375" style="3" customWidth="1"/>
    <col min="4621" max="4621" width="8.5703125" style="3" bestFit="1" customWidth="1"/>
    <col min="4622" max="4622" width="13.140625" style="3" bestFit="1" customWidth="1"/>
    <col min="4623" max="4865" width="9.140625" style="3"/>
    <col min="4866" max="4866" width="26" style="3" bestFit="1" customWidth="1"/>
    <col min="4867" max="4867" width="22.855468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2" style="3" bestFit="1" customWidth="1"/>
    <col min="4872" max="4873" width="5.5703125" style="3" bestFit="1" customWidth="1"/>
    <col min="4874" max="4874" width="2.140625" style="3" bestFit="1" customWidth="1"/>
    <col min="4875" max="4875" width="4.85546875" style="3" bestFit="1" customWidth="1"/>
    <col min="4876" max="4876" width="11.7109375" style="3" customWidth="1"/>
    <col min="4877" max="4877" width="8.5703125" style="3" bestFit="1" customWidth="1"/>
    <col min="4878" max="4878" width="13.140625" style="3" bestFit="1" customWidth="1"/>
    <col min="4879" max="5121" width="9.140625" style="3"/>
    <col min="5122" max="5122" width="26" style="3" bestFit="1" customWidth="1"/>
    <col min="5123" max="5123" width="22.855468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2" style="3" bestFit="1" customWidth="1"/>
    <col min="5128" max="5129" width="5.5703125" style="3" bestFit="1" customWidth="1"/>
    <col min="5130" max="5130" width="2.140625" style="3" bestFit="1" customWidth="1"/>
    <col min="5131" max="5131" width="4.85546875" style="3" bestFit="1" customWidth="1"/>
    <col min="5132" max="5132" width="11.7109375" style="3" customWidth="1"/>
    <col min="5133" max="5133" width="8.5703125" style="3" bestFit="1" customWidth="1"/>
    <col min="5134" max="5134" width="13.140625" style="3" bestFit="1" customWidth="1"/>
    <col min="5135" max="5377" width="9.140625" style="3"/>
    <col min="5378" max="5378" width="26" style="3" bestFit="1" customWidth="1"/>
    <col min="5379" max="5379" width="22.855468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2" style="3" bestFit="1" customWidth="1"/>
    <col min="5384" max="5385" width="5.5703125" style="3" bestFit="1" customWidth="1"/>
    <col min="5386" max="5386" width="2.140625" style="3" bestFit="1" customWidth="1"/>
    <col min="5387" max="5387" width="4.85546875" style="3" bestFit="1" customWidth="1"/>
    <col min="5388" max="5388" width="11.7109375" style="3" customWidth="1"/>
    <col min="5389" max="5389" width="8.5703125" style="3" bestFit="1" customWidth="1"/>
    <col min="5390" max="5390" width="13.140625" style="3" bestFit="1" customWidth="1"/>
    <col min="5391" max="5633" width="9.140625" style="3"/>
    <col min="5634" max="5634" width="26" style="3" bestFit="1" customWidth="1"/>
    <col min="5635" max="5635" width="22.855468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2" style="3" bestFit="1" customWidth="1"/>
    <col min="5640" max="5641" width="5.5703125" style="3" bestFit="1" customWidth="1"/>
    <col min="5642" max="5642" width="2.140625" style="3" bestFit="1" customWidth="1"/>
    <col min="5643" max="5643" width="4.85546875" style="3" bestFit="1" customWidth="1"/>
    <col min="5644" max="5644" width="11.7109375" style="3" customWidth="1"/>
    <col min="5645" max="5645" width="8.5703125" style="3" bestFit="1" customWidth="1"/>
    <col min="5646" max="5646" width="13.140625" style="3" bestFit="1" customWidth="1"/>
    <col min="5647" max="5889" width="9.140625" style="3"/>
    <col min="5890" max="5890" width="26" style="3" bestFit="1" customWidth="1"/>
    <col min="5891" max="5891" width="22.855468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2" style="3" bestFit="1" customWidth="1"/>
    <col min="5896" max="5897" width="5.5703125" style="3" bestFit="1" customWidth="1"/>
    <col min="5898" max="5898" width="2.140625" style="3" bestFit="1" customWidth="1"/>
    <col min="5899" max="5899" width="4.85546875" style="3" bestFit="1" customWidth="1"/>
    <col min="5900" max="5900" width="11.7109375" style="3" customWidth="1"/>
    <col min="5901" max="5901" width="8.5703125" style="3" bestFit="1" customWidth="1"/>
    <col min="5902" max="5902" width="13.140625" style="3" bestFit="1" customWidth="1"/>
    <col min="5903" max="6145" width="9.140625" style="3"/>
    <col min="6146" max="6146" width="26" style="3" bestFit="1" customWidth="1"/>
    <col min="6147" max="6147" width="22.855468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2" style="3" bestFit="1" customWidth="1"/>
    <col min="6152" max="6153" width="5.5703125" style="3" bestFit="1" customWidth="1"/>
    <col min="6154" max="6154" width="2.140625" style="3" bestFit="1" customWidth="1"/>
    <col min="6155" max="6155" width="4.85546875" style="3" bestFit="1" customWidth="1"/>
    <col min="6156" max="6156" width="11.7109375" style="3" customWidth="1"/>
    <col min="6157" max="6157" width="8.5703125" style="3" bestFit="1" customWidth="1"/>
    <col min="6158" max="6158" width="13.140625" style="3" bestFit="1" customWidth="1"/>
    <col min="6159" max="6401" width="9.140625" style="3"/>
    <col min="6402" max="6402" width="26" style="3" bestFit="1" customWidth="1"/>
    <col min="6403" max="6403" width="22.855468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2" style="3" bestFit="1" customWidth="1"/>
    <col min="6408" max="6409" width="5.5703125" style="3" bestFit="1" customWidth="1"/>
    <col min="6410" max="6410" width="2.140625" style="3" bestFit="1" customWidth="1"/>
    <col min="6411" max="6411" width="4.85546875" style="3" bestFit="1" customWidth="1"/>
    <col min="6412" max="6412" width="11.7109375" style="3" customWidth="1"/>
    <col min="6413" max="6413" width="8.5703125" style="3" bestFit="1" customWidth="1"/>
    <col min="6414" max="6414" width="13.140625" style="3" bestFit="1" customWidth="1"/>
    <col min="6415" max="6657" width="9.140625" style="3"/>
    <col min="6658" max="6658" width="26" style="3" bestFit="1" customWidth="1"/>
    <col min="6659" max="6659" width="22.855468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2" style="3" bestFit="1" customWidth="1"/>
    <col min="6664" max="6665" width="5.5703125" style="3" bestFit="1" customWidth="1"/>
    <col min="6666" max="6666" width="2.140625" style="3" bestFit="1" customWidth="1"/>
    <col min="6667" max="6667" width="4.85546875" style="3" bestFit="1" customWidth="1"/>
    <col min="6668" max="6668" width="11.7109375" style="3" customWidth="1"/>
    <col min="6669" max="6669" width="8.5703125" style="3" bestFit="1" customWidth="1"/>
    <col min="6670" max="6670" width="13.140625" style="3" bestFit="1" customWidth="1"/>
    <col min="6671" max="6913" width="9.140625" style="3"/>
    <col min="6914" max="6914" width="26" style="3" bestFit="1" customWidth="1"/>
    <col min="6915" max="6915" width="22.855468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2" style="3" bestFit="1" customWidth="1"/>
    <col min="6920" max="6921" width="5.5703125" style="3" bestFit="1" customWidth="1"/>
    <col min="6922" max="6922" width="2.140625" style="3" bestFit="1" customWidth="1"/>
    <col min="6923" max="6923" width="4.85546875" style="3" bestFit="1" customWidth="1"/>
    <col min="6924" max="6924" width="11.7109375" style="3" customWidth="1"/>
    <col min="6925" max="6925" width="8.5703125" style="3" bestFit="1" customWidth="1"/>
    <col min="6926" max="6926" width="13.140625" style="3" bestFit="1" customWidth="1"/>
    <col min="6927" max="7169" width="9.140625" style="3"/>
    <col min="7170" max="7170" width="26" style="3" bestFit="1" customWidth="1"/>
    <col min="7171" max="7171" width="22.855468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2" style="3" bestFit="1" customWidth="1"/>
    <col min="7176" max="7177" width="5.5703125" style="3" bestFit="1" customWidth="1"/>
    <col min="7178" max="7178" width="2.140625" style="3" bestFit="1" customWidth="1"/>
    <col min="7179" max="7179" width="4.85546875" style="3" bestFit="1" customWidth="1"/>
    <col min="7180" max="7180" width="11.7109375" style="3" customWidth="1"/>
    <col min="7181" max="7181" width="8.5703125" style="3" bestFit="1" customWidth="1"/>
    <col min="7182" max="7182" width="13.140625" style="3" bestFit="1" customWidth="1"/>
    <col min="7183" max="7425" width="9.140625" style="3"/>
    <col min="7426" max="7426" width="26" style="3" bestFit="1" customWidth="1"/>
    <col min="7427" max="7427" width="22.855468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2" style="3" bestFit="1" customWidth="1"/>
    <col min="7432" max="7433" width="5.5703125" style="3" bestFit="1" customWidth="1"/>
    <col min="7434" max="7434" width="2.140625" style="3" bestFit="1" customWidth="1"/>
    <col min="7435" max="7435" width="4.85546875" style="3" bestFit="1" customWidth="1"/>
    <col min="7436" max="7436" width="11.7109375" style="3" customWidth="1"/>
    <col min="7437" max="7437" width="8.5703125" style="3" bestFit="1" customWidth="1"/>
    <col min="7438" max="7438" width="13.140625" style="3" bestFit="1" customWidth="1"/>
    <col min="7439" max="7681" width="9.140625" style="3"/>
    <col min="7682" max="7682" width="26" style="3" bestFit="1" customWidth="1"/>
    <col min="7683" max="7683" width="22.855468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2" style="3" bestFit="1" customWidth="1"/>
    <col min="7688" max="7689" width="5.5703125" style="3" bestFit="1" customWidth="1"/>
    <col min="7690" max="7690" width="2.140625" style="3" bestFit="1" customWidth="1"/>
    <col min="7691" max="7691" width="4.85546875" style="3" bestFit="1" customWidth="1"/>
    <col min="7692" max="7692" width="11.7109375" style="3" customWidth="1"/>
    <col min="7693" max="7693" width="8.5703125" style="3" bestFit="1" customWidth="1"/>
    <col min="7694" max="7694" width="13.140625" style="3" bestFit="1" customWidth="1"/>
    <col min="7695" max="7937" width="9.140625" style="3"/>
    <col min="7938" max="7938" width="26" style="3" bestFit="1" customWidth="1"/>
    <col min="7939" max="7939" width="22.855468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2" style="3" bestFit="1" customWidth="1"/>
    <col min="7944" max="7945" width="5.5703125" style="3" bestFit="1" customWidth="1"/>
    <col min="7946" max="7946" width="2.140625" style="3" bestFit="1" customWidth="1"/>
    <col min="7947" max="7947" width="4.85546875" style="3" bestFit="1" customWidth="1"/>
    <col min="7948" max="7948" width="11.7109375" style="3" customWidth="1"/>
    <col min="7949" max="7949" width="8.5703125" style="3" bestFit="1" customWidth="1"/>
    <col min="7950" max="7950" width="13.140625" style="3" bestFit="1" customWidth="1"/>
    <col min="7951" max="8193" width="9.140625" style="3"/>
    <col min="8194" max="8194" width="26" style="3" bestFit="1" customWidth="1"/>
    <col min="8195" max="8195" width="22.855468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2" style="3" bestFit="1" customWidth="1"/>
    <col min="8200" max="8201" width="5.5703125" style="3" bestFit="1" customWidth="1"/>
    <col min="8202" max="8202" width="2.140625" style="3" bestFit="1" customWidth="1"/>
    <col min="8203" max="8203" width="4.85546875" style="3" bestFit="1" customWidth="1"/>
    <col min="8204" max="8204" width="11.7109375" style="3" customWidth="1"/>
    <col min="8205" max="8205" width="8.5703125" style="3" bestFit="1" customWidth="1"/>
    <col min="8206" max="8206" width="13.140625" style="3" bestFit="1" customWidth="1"/>
    <col min="8207" max="8449" width="9.140625" style="3"/>
    <col min="8450" max="8450" width="26" style="3" bestFit="1" customWidth="1"/>
    <col min="8451" max="8451" width="22.855468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2" style="3" bestFit="1" customWidth="1"/>
    <col min="8456" max="8457" width="5.5703125" style="3" bestFit="1" customWidth="1"/>
    <col min="8458" max="8458" width="2.140625" style="3" bestFit="1" customWidth="1"/>
    <col min="8459" max="8459" width="4.85546875" style="3" bestFit="1" customWidth="1"/>
    <col min="8460" max="8460" width="11.7109375" style="3" customWidth="1"/>
    <col min="8461" max="8461" width="8.5703125" style="3" bestFit="1" customWidth="1"/>
    <col min="8462" max="8462" width="13.140625" style="3" bestFit="1" customWidth="1"/>
    <col min="8463" max="8705" width="9.140625" style="3"/>
    <col min="8706" max="8706" width="26" style="3" bestFit="1" customWidth="1"/>
    <col min="8707" max="8707" width="22.855468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2" style="3" bestFit="1" customWidth="1"/>
    <col min="8712" max="8713" width="5.5703125" style="3" bestFit="1" customWidth="1"/>
    <col min="8714" max="8714" width="2.140625" style="3" bestFit="1" customWidth="1"/>
    <col min="8715" max="8715" width="4.85546875" style="3" bestFit="1" customWidth="1"/>
    <col min="8716" max="8716" width="11.7109375" style="3" customWidth="1"/>
    <col min="8717" max="8717" width="8.5703125" style="3" bestFit="1" customWidth="1"/>
    <col min="8718" max="8718" width="13.140625" style="3" bestFit="1" customWidth="1"/>
    <col min="8719" max="8961" width="9.140625" style="3"/>
    <col min="8962" max="8962" width="26" style="3" bestFit="1" customWidth="1"/>
    <col min="8963" max="8963" width="22.855468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2" style="3" bestFit="1" customWidth="1"/>
    <col min="8968" max="8969" width="5.5703125" style="3" bestFit="1" customWidth="1"/>
    <col min="8970" max="8970" width="2.140625" style="3" bestFit="1" customWidth="1"/>
    <col min="8971" max="8971" width="4.85546875" style="3" bestFit="1" customWidth="1"/>
    <col min="8972" max="8972" width="11.7109375" style="3" customWidth="1"/>
    <col min="8973" max="8973" width="8.5703125" style="3" bestFit="1" customWidth="1"/>
    <col min="8974" max="8974" width="13.140625" style="3" bestFit="1" customWidth="1"/>
    <col min="8975" max="9217" width="9.140625" style="3"/>
    <col min="9218" max="9218" width="26" style="3" bestFit="1" customWidth="1"/>
    <col min="9219" max="9219" width="22.855468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2" style="3" bestFit="1" customWidth="1"/>
    <col min="9224" max="9225" width="5.5703125" style="3" bestFit="1" customWidth="1"/>
    <col min="9226" max="9226" width="2.140625" style="3" bestFit="1" customWidth="1"/>
    <col min="9227" max="9227" width="4.85546875" style="3" bestFit="1" customWidth="1"/>
    <col min="9228" max="9228" width="11.7109375" style="3" customWidth="1"/>
    <col min="9229" max="9229" width="8.5703125" style="3" bestFit="1" customWidth="1"/>
    <col min="9230" max="9230" width="13.140625" style="3" bestFit="1" customWidth="1"/>
    <col min="9231" max="9473" width="9.140625" style="3"/>
    <col min="9474" max="9474" width="26" style="3" bestFit="1" customWidth="1"/>
    <col min="9475" max="9475" width="22.855468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2" style="3" bestFit="1" customWidth="1"/>
    <col min="9480" max="9481" width="5.5703125" style="3" bestFit="1" customWidth="1"/>
    <col min="9482" max="9482" width="2.140625" style="3" bestFit="1" customWidth="1"/>
    <col min="9483" max="9483" width="4.85546875" style="3" bestFit="1" customWidth="1"/>
    <col min="9484" max="9484" width="11.7109375" style="3" customWidth="1"/>
    <col min="9485" max="9485" width="8.5703125" style="3" bestFit="1" customWidth="1"/>
    <col min="9486" max="9486" width="13.140625" style="3" bestFit="1" customWidth="1"/>
    <col min="9487" max="9729" width="9.140625" style="3"/>
    <col min="9730" max="9730" width="26" style="3" bestFit="1" customWidth="1"/>
    <col min="9731" max="9731" width="22.855468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2" style="3" bestFit="1" customWidth="1"/>
    <col min="9736" max="9737" width="5.5703125" style="3" bestFit="1" customWidth="1"/>
    <col min="9738" max="9738" width="2.140625" style="3" bestFit="1" customWidth="1"/>
    <col min="9739" max="9739" width="4.85546875" style="3" bestFit="1" customWidth="1"/>
    <col min="9740" max="9740" width="11.7109375" style="3" customWidth="1"/>
    <col min="9741" max="9741" width="8.5703125" style="3" bestFit="1" customWidth="1"/>
    <col min="9742" max="9742" width="13.140625" style="3" bestFit="1" customWidth="1"/>
    <col min="9743" max="9985" width="9.140625" style="3"/>
    <col min="9986" max="9986" width="26" style="3" bestFit="1" customWidth="1"/>
    <col min="9987" max="9987" width="22.855468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2" style="3" bestFit="1" customWidth="1"/>
    <col min="9992" max="9993" width="5.5703125" style="3" bestFit="1" customWidth="1"/>
    <col min="9994" max="9994" width="2.140625" style="3" bestFit="1" customWidth="1"/>
    <col min="9995" max="9995" width="4.85546875" style="3" bestFit="1" customWidth="1"/>
    <col min="9996" max="9996" width="11.7109375" style="3" customWidth="1"/>
    <col min="9997" max="9997" width="8.5703125" style="3" bestFit="1" customWidth="1"/>
    <col min="9998" max="9998" width="13.140625" style="3" bestFit="1" customWidth="1"/>
    <col min="9999" max="10241" width="9.140625" style="3"/>
    <col min="10242" max="10242" width="26" style="3" bestFit="1" customWidth="1"/>
    <col min="10243" max="10243" width="22.855468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2" style="3" bestFit="1" customWidth="1"/>
    <col min="10248" max="10249" width="5.5703125" style="3" bestFit="1" customWidth="1"/>
    <col min="10250" max="10250" width="2.140625" style="3" bestFit="1" customWidth="1"/>
    <col min="10251" max="10251" width="4.85546875" style="3" bestFit="1" customWidth="1"/>
    <col min="10252" max="10252" width="11.7109375" style="3" customWidth="1"/>
    <col min="10253" max="10253" width="8.5703125" style="3" bestFit="1" customWidth="1"/>
    <col min="10254" max="10254" width="13.140625" style="3" bestFit="1" customWidth="1"/>
    <col min="10255" max="10497" width="9.140625" style="3"/>
    <col min="10498" max="10498" width="26" style="3" bestFit="1" customWidth="1"/>
    <col min="10499" max="10499" width="22.855468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2" style="3" bestFit="1" customWidth="1"/>
    <col min="10504" max="10505" width="5.5703125" style="3" bestFit="1" customWidth="1"/>
    <col min="10506" max="10506" width="2.140625" style="3" bestFit="1" customWidth="1"/>
    <col min="10507" max="10507" width="4.85546875" style="3" bestFit="1" customWidth="1"/>
    <col min="10508" max="10508" width="11.7109375" style="3" customWidth="1"/>
    <col min="10509" max="10509" width="8.5703125" style="3" bestFit="1" customWidth="1"/>
    <col min="10510" max="10510" width="13.140625" style="3" bestFit="1" customWidth="1"/>
    <col min="10511" max="10753" width="9.140625" style="3"/>
    <col min="10754" max="10754" width="26" style="3" bestFit="1" customWidth="1"/>
    <col min="10755" max="10755" width="22.855468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2" style="3" bestFit="1" customWidth="1"/>
    <col min="10760" max="10761" width="5.5703125" style="3" bestFit="1" customWidth="1"/>
    <col min="10762" max="10762" width="2.140625" style="3" bestFit="1" customWidth="1"/>
    <col min="10763" max="10763" width="4.85546875" style="3" bestFit="1" customWidth="1"/>
    <col min="10764" max="10764" width="11.7109375" style="3" customWidth="1"/>
    <col min="10765" max="10765" width="8.5703125" style="3" bestFit="1" customWidth="1"/>
    <col min="10766" max="10766" width="13.140625" style="3" bestFit="1" customWidth="1"/>
    <col min="10767" max="11009" width="9.140625" style="3"/>
    <col min="11010" max="11010" width="26" style="3" bestFit="1" customWidth="1"/>
    <col min="11011" max="11011" width="22.855468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2" style="3" bestFit="1" customWidth="1"/>
    <col min="11016" max="11017" width="5.5703125" style="3" bestFit="1" customWidth="1"/>
    <col min="11018" max="11018" width="2.140625" style="3" bestFit="1" customWidth="1"/>
    <col min="11019" max="11019" width="4.85546875" style="3" bestFit="1" customWidth="1"/>
    <col min="11020" max="11020" width="11.7109375" style="3" customWidth="1"/>
    <col min="11021" max="11021" width="8.5703125" style="3" bestFit="1" customWidth="1"/>
    <col min="11022" max="11022" width="13.140625" style="3" bestFit="1" customWidth="1"/>
    <col min="11023" max="11265" width="9.140625" style="3"/>
    <col min="11266" max="11266" width="26" style="3" bestFit="1" customWidth="1"/>
    <col min="11267" max="11267" width="22.855468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2" style="3" bestFit="1" customWidth="1"/>
    <col min="11272" max="11273" width="5.5703125" style="3" bestFit="1" customWidth="1"/>
    <col min="11274" max="11274" width="2.140625" style="3" bestFit="1" customWidth="1"/>
    <col min="11275" max="11275" width="4.85546875" style="3" bestFit="1" customWidth="1"/>
    <col min="11276" max="11276" width="11.7109375" style="3" customWidth="1"/>
    <col min="11277" max="11277" width="8.5703125" style="3" bestFit="1" customWidth="1"/>
    <col min="11278" max="11278" width="13.140625" style="3" bestFit="1" customWidth="1"/>
    <col min="11279" max="11521" width="9.140625" style="3"/>
    <col min="11522" max="11522" width="26" style="3" bestFit="1" customWidth="1"/>
    <col min="11523" max="11523" width="22.855468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2" style="3" bestFit="1" customWidth="1"/>
    <col min="11528" max="11529" width="5.5703125" style="3" bestFit="1" customWidth="1"/>
    <col min="11530" max="11530" width="2.140625" style="3" bestFit="1" customWidth="1"/>
    <col min="11531" max="11531" width="4.85546875" style="3" bestFit="1" customWidth="1"/>
    <col min="11532" max="11532" width="11.7109375" style="3" customWidth="1"/>
    <col min="11533" max="11533" width="8.5703125" style="3" bestFit="1" customWidth="1"/>
    <col min="11534" max="11534" width="13.140625" style="3" bestFit="1" customWidth="1"/>
    <col min="11535" max="11777" width="9.140625" style="3"/>
    <col min="11778" max="11778" width="26" style="3" bestFit="1" customWidth="1"/>
    <col min="11779" max="11779" width="22.855468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2" style="3" bestFit="1" customWidth="1"/>
    <col min="11784" max="11785" width="5.5703125" style="3" bestFit="1" customWidth="1"/>
    <col min="11786" max="11786" width="2.140625" style="3" bestFit="1" customWidth="1"/>
    <col min="11787" max="11787" width="4.85546875" style="3" bestFit="1" customWidth="1"/>
    <col min="11788" max="11788" width="11.7109375" style="3" customWidth="1"/>
    <col min="11789" max="11789" width="8.5703125" style="3" bestFit="1" customWidth="1"/>
    <col min="11790" max="11790" width="13.140625" style="3" bestFit="1" customWidth="1"/>
    <col min="11791" max="12033" width="9.140625" style="3"/>
    <col min="12034" max="12034" width="26" style="3" bestFit="1" customWidth="1"/>
    <col min="12035" max="12035" width="22.855468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2" style="3" bestFit="1" customWidth="1"/>
    <col min="12040" max="12041" width="5.5703125" style="3" bestFit="1" customWidth="1"/>
    <col min="12042" max="12042" width="2.140625" style="3" bestFit="1" customWidth="1"/>
    <col min="12043" max="12043" width="4.85546875" style="3" bestFit="1" customWidth="1"/>
    <col min="12044" max="12044" width="11.7109375" style="3" customWidth="1"/>
    <col min="12045" max="12045" width="8.5703125" style="3" bestFit="1" customWidth="1"/>
    <col min="12046" max="12046" width="13.140625" style="3" bestFit="1" customWidth="1"/>
    <col min="12047" max="12289" width="9.140625" style="3"/>
    <col min="12290" max="12290" width="26" style="3" bestFit="1" customWidth="1"/>
    <col min="12291" max="12291" width="22.855468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2" style="3" bestFit="1" customWidth="1"/>
    <col min="12296" max="12297" width="5.5703125" style="3" bestFit="1" customWidth="1"/>
    <col min="12298" max="12298" width="2.140625" style="3" bestFit="1" customWidth="1"/>
    <col min="12299" max="12299" width="4.85546875" style="3" bestFit="1" customWidth="1"/>
    <col min="12300" max="12300" width="11.7109375" style="3" customWidth="1"/>
    <col min="12301" max="12301" width="8.5703125" style="3" bestFit="1" customWidth="1"/>
    <col min="12302" max="12302" width="13.140625" style="3" bestFit="1" customWidth="1"/>
    <col min="12303" max="12545" width="9.140625" style="3"/>
    <col min="12546" max="12546" width="26" style="3" bestFit="1" customWidth="1"/>
    <col min="12547" max="12547" width="22.855468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2" style="3" bestFit="1" customWidth="1"/>
    <col min="12552" max="12553" width="5.5703125" style="3" bestFit="1" customWidth="1"/>
    <col min="12554" max="12554" width="2.140625" style="3" bestFit="1" customWidth="1"/>
    <col min="12555" max="12555" width="4.85546875" style="3" bestFit="1" customWidth="1"/>
    <col min="12556" max="12556" width="11.7109375" style="3" customWidth="1"/>
    <col min="12557" max="12557" width="8.5703125" style="3" bestFit="1" customWidth="1"/>
    <col min="12558" max="12558" width="13.140625" style="3" bestFit="1" customWidth="1"/>
    <col min="12559" max="12801" width="9.140625" style="3"/>
    <col min="12802" max="12802" width="26" style="3" bestFit="1" customWidth="1"/>
    <col min="12803" max="12803" width="22.855468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2" style="3" bestFit="1" customWidth="1"/>
    <col min="12808" max="12809" width="5.5703125" style="3" bestFit="1" customWidth="1"/>
    <col min="12810" max="12810" width="2.140625" style="3" bestFit="1" customWidth="1"/>
    <col min="12811" max="12811" width="4.85546875" style="3" bestFit="1" customWidth="1"/>
    <col min="12812" max="12812" width="11.7109375" style="3" customWidth="1"/>
    <col min="12813" max="12813" width="8.5703125" style="3" bestFit="1" customWidth="1"/>
    <col min="12814" max="12814" width="13.140625" style="3" bestFit="1" customWidth="1"/>
    <col min="12815" max="13057" width="9.140625" style="3"/>
    <col min="13058" max="13058" width="26" style="3" bestFit="1" customWidth="1"/>
    <col min="13059" max="13059" width="22.855468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2" style="3" bestFit="1" customWidth="1"/>
    <col min="13064" max="13065" width="5.5703125" style="3" bestFit="1" customWidth="1"/>
    <col min="13066" max="13066" width="2.140625" style="3" bestFit="1" customWidth="1"/>
    <col min="13067" max="13067" width="4.85546875" style="3" bestFit="1" customWidth="1"/>
    <col min="13068" max="13068" width="11.7109375" style="3" customWidth="1"/>
    <col min="13069" max="13069" width="8.5703125" style="3" bestFit="1" customWidth="1"/>
    <col min="13070" max="13070" width="13.140625" style="3" bestFit="1" customWidth="1"/>
    <col min="13071" max="13313" width="9.140625" style="3"/>
    <col min="13314" max="13314" width="26" style="3" bestFit="1" customWidth="1"/>
    <col min="13315" max="13315" width="22.855468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2" style="3" bestFit="1" customWidth="1"/>
    <col min="13320" max="13321" width="5.5703125" style="3" bestFit="1" customWidth="1"/>
    <col min="13322" max="13322" width="2.140625" style="3" bestFit="1" customWidth="1"/>
    <col min="13323" max="13323" width="4.85546875" style="3" bestFit="1" customWidth="1"/>
    <col min="13324" max="13324" width="11.7109375" style="3" customWidth="1"/>
    <col min="13325" max="13325" width="8.5703125" style="3" bestFit="1" customWidth="1"/>
    <col min="13326" max="13326" width="13.140625" style="3" bestFit="1" customWidth="1"/>
    <col min="13327" max="13569" width="9.140625" style="3"/>
    <col min="13570" max="13570" width="26" style="3" bestFit="1" customWidth="1"/>
    <col min="13571" max="13571" width="22.855468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2" style="3" bestFit="1" customWidth="1"/>
    <col min="13576" max="13577" width="5.5703125" style="3" bestFit="1" customWidth="1"/>
    <col min="13578" max="13578" width="2.140625" style="3" bestFit="1" customWidth="1"/>
    <col min="13579" max="13579" width="4.85546875" style="3" bestFit="1" customWidth="1"/>
    <col min="13580" max="13580" width="11.7109375" style="3" customWidth="1"/>
    <col min="13581" max="13581" width="8.5703125" style="3" bestFit="1" customWidth="1"/>
    <col min="13582" max="13582" width="13.140625" style="3" bestFit="1" customWidth="1"/>
    <col min="13583" max="13825" width="9.140625" style="3"/>
    <col min="13826" max="13826" width="26" style="3" bestFit="1" customWidth="1"/>
    <col min="13827" max="13827" width="22.855468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2" style="3" bestFit="1" customWidth="1"/>
    <col min="13832" max="13833" width="5.5703125" style="3" bestFit="1" customWidth="1"/>
    <col min="13834" max="13834" width="2.140625" style="3" bestFit="1" customWidth="1"/>
    <col min="13835" max="13835" width="4.85546875" style="3" bestFit="1" customWidth="1"/>
    <col min="13836" max="13836" width="11.7109375" style="3" customWidth="1"/>
    <col min="13837" max="13837" width="8.5703125" style="3" bestFit="1" customWidth="1"/>
    <col min="13838" max="13838" width="13.140625" style="3" bestFit="1" customWidth="1"/>
    <col min="13839" max="14081" width="9.140625" style="3"/>
    <col min="14082" max="14082" width="26" style="3" bestFit="1" customWidth="1"/>
    <col min="14083" max="14083" width="22.855468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2" style="3" bestFit="1" customWidth="1"/>
    <col min="14088" max="14089" width="5.5703125" style="3" bestFit="1" customWidth="1"/>
    <col min="14090" max="14090" width="2.140625" style="3" bestFit="1" customWidth="1"/>
    <col min="14091" max="14091" width="4.85546875" style="3" bestFit="1" customWidth="1"/>
    <col min="14092" max="14092" width="11.7109375" style="3" customWidth="1"/>
    <col min="14093" max="14093" width="8.5703125" style="3" bestFit="1" customWidth="1"/>
    <col min="14094" max="14094" width="13.140625" style="3" bestFit="1" customWidth="1"/>
    <col min="14095" max="14337" width="9.140625" style="3"/>
    <col min="14338" max="14338" width="26" style="3" bestFit="1" customWidth="1"/>
    <col min="14339" max="14339" width="22.855468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2" style="3" bestFit="1" customWidth="1"/>
    <col min="14344" max="14345" width="5.5703125" style="3" bestFit="1" customWidth="1"/>
    <col min="14346" max="14346" width="2.140625" style="3" bestFit="1" customWidth="1"/>
    <col min="14347" max="14347" width="4.85546875" style="3" bestFit="1" customWidth="1"/>
    <col min="14348" max="14348" width="11.7109375" style="3" customWidth="1"/>
    <col min="14349" max="14349" width="8.5703125" style="3" bestFit="1" customWidth="1"/>
    <col min="14350" max="14350" width="13.140625" style="3" bestFit="1" customWidth="1"/>
    <col min="14351" max="14593" width="9.140625" style="3"/>
    <col min="14594" max="14594" width="26" style="3" bestFit="1" customWidth="1"/>
    <col min="14595" max="14595" width="22.855468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2" style="3" bestFit="1" customWidth="1"/>
    <col min="14600" max="14601" width="5.5703125" style="3" bestFit="1" customWidth="1"/>
    <col min="14602" max="14602" width="2.140625" style="3" bestFit="1" customWidth="1"/>
    <col min="14603" max="14603" width="4.85546875" style="3" bestFit="1" customWidth="1"/>
    <col min="14604" max="14604" width="11.7109375" style="3" customWidth="1"/>
    <col min="14605" max="14605" width="8.5703125" style="3" bestFit="1" customWidth="1"/>
    <col min="14606" max="14606" width="13.140625" style="3" bestFit="1" customWidth="1"/>
    <col min="14607" max="14849" width="9.140625" style="3"/>
    <col min="14850" max="14850" width="26" style="3" bestFit="1" customWidth="1"/>
    <col min="14851" max="14851" width="22.855468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2" style="3" bestFit="1" customWidth="1"/>
    <col min="14856" max="14857" width="5.5703125" style="3" bestFit="1" customWidth="1"/>
    <col min="14858" max="14858" width="2.140625" style="3" bestFit="1" customWidth="1"/>
    <col min="14859" max="14859" width="4.85546875" style="3" bestFit="1" customWidth="1"/>
    <col min="14860" max="14860" width="11.7109375" style="3" customWidth="1"/>
    <col min="14861" max="14861" width="8.5703125" style="3" bestFit="1" customWidth="1"/>
    <col min="14862" max="14862" width="13.140625" style="3" bestFit="1" customWidth="1"/>
    <col min="14863" max="15105" width="9.140625" style="3"/>
    <col min="15106" max="15106" width="26" style="3" bestFit="1" customWidth="1"/>
    <col min="15107" max="15107" width="22.855468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2" style="3" bestFit="1" customWidth="1"/>
    <col min="15112" max="15113" width="5.5703125" style="3" bestFit="1" customWidth="1"/>
    <col min="15114" max="15114" width="2.140625" style="3" bestFit="1" customWidth="1"/>
    <col min="15115" max="15115" width="4.85546875" style="3" bestFit="1" customWidth="1"/>
    <col min="15116" max="15116" width="11.7109375" style="3" customWidth="1"/>
    <col min="15117" max="15117" width="8.5703125" style="3" bestFit="1" customWidth="1"/>
    <col min="15118" max="15118" width="13.140625" style="3" bestFit="1" customWidth="1"/>
    <col min="15119" max="15361" width="9.140625" style="3"/>
    <col min="15362" max="15362" width="26" style="3" bestFit="1" customWidth="1"/>
    <col min="15363" max="15363" width="22.855468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2" style="3" bestFit="1" customWidth="1"/>
    <col min="15368" max="15369" width="5.5703125" style="3" bestFit="1" customWidth="1"/>
    <col min="15370" max="15370" width="2.140625" style="3" bestFit="1" customWidth="1"/>
    <col min="15371" max="15371" width="4.85546875" style="3" bestFit="1" customWidth="1"/>
    <col min="15372" max="15372" width="11.7109375" style="3" customWidth="1"/>
    <col min="15373" max="15373" width="8.5703125" style="3" bestFit="1" customWidth="1"/>
    <col min="15374" max="15374" width="13.140625" style="3" bestFit="1" customWidth="1"/>
    <col min="15375" max="15617" width="9.140625" style="3"/>
    <col min="15618" max="15618" width="26" style="3" bestFit="1" customWidth="1"/>
    <col min="15619" max="15619" width="22.855468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2" style="3" bestFit="1" customWidth="1"/>
    <col min="15624" max="15625" width="5.5703125" style="3" bestFit="1" customWidth="1"/>
    <col min="15626" max="15626" width="2.140625" style="3" bestFit="1" customWidth="1"/>
    <col min="15627" max="15627" width="4.85546875" style="3" bestFit="1" customWidth="1"/>
    <col min="15628" max="15628" width="11.7109375" style="3" customWidth="1"/>
    <col min="15629" max="15629" width="8.5703125" style="3" bestFit="1" customWidth="1"/>
    <col min="15630" max="15630" width="13.140625" style="3" bestFit="1" customWidth="1"/>
    <col min="15631" max="15873" width="9.140625" style="3"/>
    <col min="15874" max="15874" width="26" style="3" bestFit="1" customWidth="1"/>
    <col min="15875" max="15875" width="22.855468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2" style="3" bestFit="1" customWidth="1"/>
    <col min="15880" max="15881" width="5.5703125" style="3" bestFit="1" customWidth="1"/>
    <col min="15882" max="15882" width="2.140625" style="3" bestFit="1" customWidth="1"/>
    <col min="15883" max="15883" width="4.85546875" style="3" bestFit="1" customWidth="1"/>
    <col min="15884" max="15884" width="11.7109375" style="3" customWidth="1"/>
    <col min="15885" max="15885" width="8.5703125" style="3" bestFit="1" customWidth="1"/>
    <col min="15886" max="15886" width="13.140625" style="3" bestFit="1" customWidth="1"/>
    <col min="15887" max="16129" width="9.140625" style="3"/>
    <col min="16130" max="16130" width="26" style="3" bestFit="1" customWidth="1"/>
    <col min="16131" max="16131" width="22.855468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2" style="3" bestFit="1" customWidth="1"/>
    <col min="16136" max="16137" width="5.5703125" style="3" bestFit="1" customWidth="1"/>
    <col min="16138" max="16138" width="2.140625" style="3" bestFit="1" customWidth="1"/>
    <col min="16139" max="16139" width="4.85546875" style="3" bestFit="1" customWidth="1"/>
    <col min="16140" max="16140" width="11.7109375" style="3" customWidth="1"/>
    <col min="16141" max="16141" width="8.5703125" style="3" bestFit="1" customWidth="1"/>
    <col min="16142" max="16142" width="13.140625" style="3" bestFit="1" customWidth="1"/>
    <col min="16143" max="16384" width="9.140625" style="3"/>
  </cols>
  <sheetData>
    <row r="1" spans="1:14" s="2" customFormat="1" ht="29.1" customHeight="1" x14ac:dyDescent="0.2">
      <c r="A1" s="40" t="s">
        <v>1261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295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61" t="s">
        <v>70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">
      <c r="A6" s="6" t="s">
        <v>1262</v>
      </c>
      <c r="B6" s="6" t="s">
        <v>1443</v>
      </c>
      <c r="C6" s="6" t="s">
        <v>1263</v>
      </c>
      <c r="D6" s="6" t="s">
        <v>1264</v>
      </c>
      <c r="E6" s="6" t="str">
        <f>"0,6188"</f>
        <v>0,6188</v>
      </c>
      <c r="F6" s="6" t="s">
        <v>14</v>
      </c>
      <c r="G6" s="6" t="s">
        <v>530</v>
      </c>
      <c r="H6" s="8" t="s">
        <v>995</v>
      </c>
      <c r="I6" s="8" t="s">
        <v>1265</v>
      </c>
      <c r="J6" s="7"/>
      <c r="K6" s="7"/>
      <c r="L6" s="6" t="str">
        <f>"302,5"</f>
        <v>302,5</v>
      </c>
      <c r="M6" s="8" t="str">
        <f>"187,1870"</f>
        <v>187,1870</v>
      </c>
      <c r="N6" s="6" t="s">
        <v>836</v>
      </c>
    </row>
    <row r="8" spans="1:14" ht="15" x14ac:dyDescent="0.2">
      <c r="F8" s="17" t="s">
        <v>96</v>
      </c>
    </row>
    <row r="9" spans="1:14" ht="15" x14ac:dyDescent="0.2">
      <c r="F9" s="17" t="s">
        <v>97</v>
      </c>
    </row>
    <row r="10" spans="1:14" ht="15" x14ac:dyDescent="0.2">
      <c r="F10" s="17" t="s">
        <v>98</v>
      </c>
    </row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3">
    <mergeCell ref="N3:N4"/>
    <mergeCell ref="A5:M5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B3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90" zoomScaleNormal="90"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13.425781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1.28515625" style="4" bestFit="1" customWidth="1"/>
    <col min="8" max="10" width="5.5703125" style="3" bestFit="1" customWidth="1"/>
    <col min="11" max="11" width="4.85546875" style="3" bestFit="1" customWidth="1"/>
    <col min="12" max="12" width="11.85546875" style="4" customWidth="1"/>
    <col min="13" max="13" width="8.5703125" style="3" bestFit="1" customWidth="1"/>
    <col min="14" max="14" width="1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1.28515625" style="3" bestFit="1" customWidth="1"/>
    <col min="264" max="266" width="5.5703125" style="3" bestFit="1" customWidth="1"/>
    <col min="267" max="267" width="4.85546875" style="3" bestFit="1" customWidth="1"/>
    <col min="268" max="268" width="11.85546875" style="3" customWidth="1"/>
    <col min="269" max="269" width="8.5703125" style="3" bestFit="1" customWidth="1"/>
    <col min="270" max="270" width="1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1.28515625" style="3" bestFit="1" customWidth="1"/>
    <col min="520" max="522" width="5.5703125" style="3" bestFit="1" customWidth="1"/>
    <col min="523" max="523" width="4.85546875" style="3" bestFit="1" customWidth="1"/>
    <col min="524" max="524" width="11.85546875" style="3" customWidth="1"/>
    <col min="525" max="525" width="8.5703125" style="3" bestFit="1" customWidth="1"/>
    <col min="526" max="526" width="1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1.28515625" style="3" bestFit="1" customWidth="1"/>
    <col min="776" max="778" width="5.5703125" style="3" bestFit="1" customWidth="1"/>
    <col min="779" max="779" width="4.85546875" style="3" bestFit="1" customWidth="1"/>
    <col min="780" max="780" width="11.85546875" style="3" customWidth="1"/>
    <col min="781" max="781" width="8.5703125" style="3" bestFit="1" customWidth="1"/>
    <col min="782" max="782" width="1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1.28515625" style="3" bestFit="1" customWidth="1"/>
    <col min="1032" max="1034" width="5.5703125" style="3" bestFit="1" customWidth="1"/>
    <col min="1035" max="1035" width="4.85546875" style="3" bestFit="1" customWidth="1"/>
    <col min="1036" max="1036" width="11.85546875" style="3" customWidth="1"/>
    <col min="1037" max="1037" width="8.5703125" style="3" bestFit="1" customWidth="1"/>
    <col min="1038" max="1038" width="1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1.28515625" style="3" bestFit="1" customWidth="1"/>
    <col min="1288" max="1290" width="5.5703125" style="3" bestFit="1" customWidth="1"/>
    <col min="1291" max="1291" width="4.85546875" style="3" bestFit="1" customWidth="1"/>
    <col min="1292" max="1292" width="11.85546875" style="3" customWidth="1"/>
    <col min="1293" max="1293" width="8.5703125" style="3" bestFit="1" customWidth="1"/>
    <col min="1294" max="1294" width="1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1.28515625" style="3" bestFit="1" customWidth="1"/>
    <col min="1544" max="1546" width="5.5703125" style="3" bestFit="1" customWidth="1"/>
    <col min="1547" max="1547" width="4.85546875" style="3" bestFit="1" customWidth="1"/>
    <col min="1548" max="1548" width="11.85546875" style="3" customWidth="1"/>
    <col min="1549" max="1549" width="8.5703125" style="3" bestFit="1" customWidth="1"/>
    <col min="1550" max="1550" width="1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1.28515625" style="3" bestFit="1" customWidth="1"/>
    <col min="1800" max="1802" width="5.5703125" style="3" bestFit="1" customWidth="1"/>
    <col min="1803" max="1803" width="4.85546875" style="3" bestFit="1" customWidth="1"/>
    <col min="1804" max="1804" width="11.85546875" style="3" customWidth="1"/>
    <col min="1805" max="1805" width="8.5703125" style="3" bestFit="1" customWidth="1"/>
    <col min="1806" max="1806" width="1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1.28515625" style="3" bestFit="1" customWidth="1"/>
    <col min="2056" max="2058" width="5.5703125" style="3" bestFit="1" customWidth="1"/>
    <col min="2059" max="2059" width="4.85546875" style="3" bestFit="1" customWidth="1"/>
    <col min="2060" max="2060" width="11.85546875" style="3" customWidth="1"/>
    <col min="2061" max="2061" width="8.5703125" style="3" bestFit="1" customWidth="1"/>
    <col min="2062" max="2062" width="1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1.28515625" style="3" bestFit="1" customWidth="1"/>
    <col min="2312" max="2314" width="5.5703125" style="3" bestFit="1" customWidth="1"/>
    <col min="2315" max="2315" width="4.85546875" style="3" bestFit="1" customWidth="1"/>
    <col min="2316" max="2316" width="11.85546875" style="3" customWidth="1"/>
    <col min="2317" max="2317" width="8.5703125" style="3" bestFit="1" customWidth="1"/>
    <col min="2318" max="2318" width="1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1.28515625" style="3" bestFit="1" customWidth="1"/>
    <col min="2568" max="2570" width="5.5703125" style="3" bestFit="1" customWidth="1"/>
    <col min="2571" max="2571" width="4.85546875" style="3" bestFit="1" customWidth="1"/>
    <col min="2572" max="2572" width="11.85546875" style="3" customWidth="1"/>
    <col min="2573" max="2573" width="8.5703125" style="3" bestFit="1" customWidth="1"/>
    <col min="2574" max="2574" width="1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1.28515625" style="3" bestFit="1" customWidth="1"/>
    <col min="2824" max="2826" width="5.5703125" style="3" bestFit="1" customWidth="1"/>
    <col min="2827" max="2827" width="4.85546875" style="3" bestFit="1" customWidth="1"/>
    <col min="2828" max="2828" width="11.85546875" style="3" customWidth="1"/>
    <col min="2829" max="2829" width="8.5703125" style="3" bestFit="1" customWidth="1"/>
    <col min="2830" max="2830" width="1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1.28515625" style="3" bestFit="1" customWidth="1"/>
    <col min="3080" max="3082" width="5.5703125" style="3" bestFit="1" customWidth="1"/>
    <col min="3083" max="3083" width="4.85546875" style="3" bestFit="1" customWidth="1"/>
    <col min="3084" max="3084" width="11.85546875" style="3" customWidth="1"/>
    <col min="3085" max="3085" width="8.5703125" style="3" bestFit="1" customWidth="1"/>
    <col min="3086" max="3086" width="1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1.28515625" style="3" bestFit="1" customWidth="1"/>
    <col min="3336" max="3338" width="5.5703125" style="3" bestFit="1" customWidth="1"/>
    <col min="3339" max="3339" width="4.85546875" style="3" bestFit="1" customWidth="1"/>
    <col min="3340" max="3340" width="11.85546875" style="3" customWidth="1"/>
    <col min="3341" max="3341" width="8.5703125" style="3" bestFit="1" customWidth="1"/>
    <col min="3342" max="3342" width="1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1.28515625" style="3" bestFit="1" customWidth="1"/>
    <col min="3592" max="3594" width="5.5703125" style="3" bestFit="1" customWidth="1"/>
    <col min="3595" max="3595" width="4.85546875" style="3" bestFit="1" customWidth="1"/>
    <col min="3596" max="3596" width="11.85546875" style="3" customWidth="1"/>
    <col min="3597" max="3597" width="8.5703125" style="3" bestFit="1" customWidth="1"/>
    <col min="3598" max="3598" width="1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1.28515625" style="3" bestFit="1" customWidth="1"/>
    <col min="3848" max="3850" width="5.5703125" style="3" bestFit="1" customWidth="1"/>
    <col min="3851" max="3851" width="4.85546875" style="3" bestFit="1" customWidth="1"/>
    <col min="3852" max="3852" width="11.85546875" style="3" customWidth="1"/>
    <col min="3853" max="3853" width="8.5703125" style="3" bestFit="1" customWidth="1"/>
    <col min="3854" max="3854" width="1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1.28515625" style="3" bestFit="1" customWidth="1"/>
    <col min="4104" max="4106" width="5.5703125" style="3" bestFit="1" customWidth="1"/>
    <col min="4107" max="4107" width="4.85546875" style="3" bestFit="1" customWidth="1"/>
    <col min="4108" max="4108" width="11.85546875" style="3" customWidth="1"/>
    <col min="4109" max="4109" width="8.5703125" style="3" bestFit="1" customWidth="1"/>
    <col min="4110" max="4110" width="1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1.28515625" style="3" bestFit="1" customWidth="1"/>
    <col min="4360" max="4362" width="5.5703125" style="3" bestFit="1" customWidth="1"/>
    <col min="4363" max="4363" width="4.85546875" style="3" bestFit="1" customWidth="1"/>
    <col min="4364" max="4364" width="11.85546875" style="3" customWidth="1"/>
    <col min="4365" max="4365" width="8.5703125" style="3" bestFit="1" customWidth="1"/>
    <col min="4366" max="4366" width="1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1.28515625" style="3" bestFit="1" customWidth="1"/>
    <col min="4616" max="4618" width="5.5703125" style="3" bestFit="1" customWidth="1"/>
    <col min="4619" max="4619" width="4.85546875" style="3" bestFit="1" customWidth="1"/>
    <col min="4620" max="4620" width="11.85546875" style="3" customWidth="1"/>
    <col min="4621" max="4621" width="8.5703125" style="3" bestFit="1" customWidth="1"/>
    <col min="4622" max="4622" width="1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1.28515625" style="3" bestFit="1" customWidth="1"/>
    <col min="4872" max="4874" width="5.5703125" style="3" bestFit="1" customWidth="1"/>
    <col min="4875" max="4875" width="4.85546875" style="3" bestFit="1" customWidth="1"/>
    <col min="4876" max="4876" width="11.85546875" style="3" customWidth="1"/>
    <col min="4877" max="4877" width="8.5703125" style="3" bestFit="1" customWidth="1"/>
    <col min="4878" max="4878" width="1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1.28515625" style="3" bestFit="1" customWidth="1"/>
    <col min="5128" max="5130" width="5.5703125" style="3" bestFit="1" customWidth="1"/>
    <col min="5131" max="5131" width="4.85546875" style="3" bestFit="1" customWidth="1"/>
    <col min="5132" max="5132" width="11.85546875" style="3" customWidth="1"/>
    <col min="5133" max="5133" width="8.5703125" style="3" bestFit="1" customWidth="1"/>
    <col min="5134" max="5134" width="1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1.28515625" style="3" bestFit="1" customWidth="1"/>
    <col min="5384" max="5386" width="5.5703125" style="3" bestFit="1" customWidth="1"/>
    <col min="5387" max="5387" width="4.85546875" style="3" bestFit="1" customWidth="1"/>
    <col min="5388" max="5388" width="11.85546875" style="3" customWidth="1"/>
    <col min="5389" max="5389" width="8.5703125" style="3" bestFit="1" customWidth="1"/>
    <col min="5390" max="5390" width="1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1.28515625" style="3" bestFit="1" customWidth="1"/>
    <col min="5640" max="5642" width="5.5703125" style="3" bestFit="1" customWidth="1"/>
    <col min="5643" max="5643" width="4.85546875" style="3" bestFit="1" customWidth="1"/>
    <col min="5644" max="5644" width="11.85546875" style="3" customWidth="1"/>
    <col min="5645" max="5645" width="8.5703125" style="3" bestFit="1" customWidth="1"/>
    <col min="5646" max="5646" width="1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1.28515625" style="3" bestFit="1" customWidth="1"/>
    <col min="5896" max="5898" width="5.5703125" style="3" bestFit="1" customWidth="1"/>
    <col min="5899" max="5899" width="4.85546875" style="3" bestFit="1" customWidth="1"/>
    <col min="5900" max="5900" width="11.85546875" style="3" customWidth="1"/>
    <col min="5901" max="5901" width="8.5703125" style="3" bestFit="1" customWidth="1"/>
    <col min="5902" max="5902" width="1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1.28515625" style="3" bestFit="1" customWidth="1"/>
    <col min="6152" max="6154" width="5.5703125" style="3" bestFit="1" customWidth="1"/>
    <col min="6155" max="6155" width="4.85546875" style="3" bestFit="1" customWidth="1"/>
    <col min="6156" max="6156" width="11.85546875" style="3" customWidth="1"/>
    <col min="6157" max="6157" width="8.5703125" style="3" bestFit="1" customWidth="1"/>
    <col min="6158" max="6158" width="1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1.28515625" style="3" bestFit="1" customWidth="1"/>
    <col min="6408" max="6410" width="5.5703125" style="3" bestFit="1" customWidth="1"/>
    <col min="6411" max="6411" width="4.85546875" style="3" bestFit="1" customWidth="1"/>
    <col min="6412" max="6412" width="11.85546875" style="3" customWidth="1"/>
    <col min="6413" max="6413" width="8.5703125" style="3" bestFit="1" customWidth="1"/>
    <col min="6414" max="6414" width="1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1.28515625" style="3" bestFit="1" customWidth="1"/>
    <col min="6664" max="6666" width="5.5703125" style="3" bestFit="1" customWidth="1"/>
    <col min="6667" max="6667" width="4.85546875" style="3" bestFit="1" customWidth="1"/>
    <col min="6668" max="6668" width="11.85546875" style="3" customWidth="1"/>
    <col min="6669" max="6669" width="8.5703125" style="3" bestFit="1" customWidth="1"/>
    <col min="6670" max="6670" width="1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1.28515625" style="3" bestFit="1" customWidth="1"/>
    <col min="6920" max="6922" width="5.5703125" style="3" bestFit="1" customWidth="1"/>
    <col min="6923" max="6923" width="4.85546875" style="3" bestFit="1" customWidth="1"/>
    <col min="6924" max="6924" width="11.85546875" style="3" customWidth="1"/>
    <col min="6925" max="6925" width="8.5703125" style="3" bestFit="1" customWidth="1"/>
    <col min="6926" max="6926" width="1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1.28515625" style="3" bestFit="1" customWidth="1"/>
    <col min="7176" max="7178" width="5.5703125" style="3" bestFit="1" customWidth="1"/>
    <col min="7179" max="7179" width="4.85546875" style="3" bestFit="1" customWidth="1"/>
    <col min="7180" max="7180" width="11.85546875" style="3" customWidth="1"/>
    <col min="7181" max="7181" width="8.5703125" style="3" bestFit="1" customWidth="1"/>
    <col min="7182" max="7182" width="1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1.28515625" style="3" bestFit="1" customWidth="1"/>
    <col min="7432" max="7434" width="5.5703125" style="3" bestFit="1" customWidth="1"/>
    <col min="7435" max="7435" width="4.85546875" style="3" bestFit="1" customWidth="1"/>
    <col min="7436" max="7436" width="11.85546875" style="3" customWidth="1"/>
    <col min="7437" max="7437" width="8.5703125" style="3" bestFit="1" customWidth="1"/>
    <col min="7438" max="7438" width="1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1.28515625" style="3" bestFit="1" customWidth="1"/>
    <col min="7688" max="7690" width="5.5703125" style="3" bestFit="1" customWidth="1"/>
    <col min="7691" max="7691" width="4.85546875" style="3" bestFit="1" customWidth="1"/>
    <col min="7692" max="7692" width="11.85546875" style="3" customWidth="1"/>
    <col min="7693" max="7693" width="8.5703125" style="3" bestFit="1" customWidth="1"/>
    <col min="7694" max="7694" width="1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1.28515625" style="3" bestFit="1" customWidth="1"/>
    <col min="7944" max="7946" width="5.5703125" style="3" bestFit="1" customWidth="1"/>
    <col min="7947" max="7947" width="4.85546875" style="3" bestFit="1" customWidth="1"/>
    <col min="7948" max="7948" width="11.85546875" style="3" customWidth="1"/>
    <col min="7949" max="7949" width="8.5703125" style="3" bestFit="1" customWidth="1"/>
    <col min="7950" max="7950" width="1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1.28515625" style="3" bestFit="1" customWidth="1"/>
    <col min="8200" max="8202" width="5.5703125" style="3" bestFit="1" customWidth="1"/>
    <col min="8203" max="8203" width="4.85546875" style="3" bestFit="1" customWidth="1"/>
    <col min="8204" max="8204" width="11.85546875" style="3" customWidth="1"/>
    <col min="8205" max="8205" width="8.5703125" style="3" bestFit="1" customWidth="1"/>
    <col min="8206" max="8206" width="1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1.28515625" style="3" bestFit="1" customWidth="1"/>
    <col min="8456" max="8458" width="5.5703125" style="3" bestFit="1" customWidth="1"/>
    <col min="8459" max="8459" width="4.85546875" style="3" bestFit="1" customWidth="1"/>
    <col min="8460" max="8460" width="11.85546875" style="3" customWidth="1"/>
    <col min="8461" max="8461" width="8.5703125" style="3" bestFit="1" customWidth="1"/>
    <col min="8462" max="8462" width="1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1.28515625" style="3" bestFit="1" customWidth="1"/>
    <col min="8712" max="8714" width="5.5703125" style="3" bestFit="1" customWidth="1"/>
    <col min="8715" max="8715" width="4.85546875" style="3" bestFit="1" customWidth="1"/>
    <col min="8716" max="8716" width="11.85546875" style="3" customWidth="1"/>
    <col min="8717" max="8717" width="8.5703125" style="3" bestFit="1" customWidth="1"/>
    <col min="8718" max="8718" width="1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1.28515625" style="3" bestFit="1" customWidth="1"/>
    <col min="8968" max="8970" width="5.5703125" style="3" bestFit="1" customWidth="1"/>
    <col min="8971" max="8971" width="4.85546875" style="3" bestFit="1" customWidth="1"/>
    <col min="8972" max="8972" width="11.85546875" style="3" customWidth="1"/>
    <col min="8973" max="8973" width="8.5703125" style="3" bestFit="1" customWidth="1"/>
    <col min="8974" max="8974" width="1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1.28515625" style="3" bestFit="1" customWidth="1"/>
    <col min="9224" max="9226" width="5.5703125" style="3" bestFit="1" customWidth="1"/>
    <col min="9227" max="9227" width="4.85546875" style="3" bestFit="1" customWidth="1"/>
    <col min="9228" max="9228" width="11.85546875" style="3" customWidth="1"/>
    <col min="9229" max="9229" width="8.5703125" style="3" bestFit="1" customWidth="1"/>
    <col min="9230" max="9230" width="1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1.28515625" style="3" bestFit="1" customWidth="1"/>
    <col min="9480" max="9482" width="5.5703125" style="3" bestFit="1" customWidth="1"/>
    <col min="9483" max="9483" width="4.85546875" style="3" bestFit="1" customWidth="1"/>
    <col min="9484" max="9484" width="11.85546875" style="3" customWidth="1"/>
    <col min="9485" max="9485" width="8.5703125" style="3" bestFit="1" customWidth="1"/>
    <col min="9486" max="9486" width="1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1.28515625" style="3" bestFit="1" customWidth="1"/>
    <col min="9736" max="9738" width="5.5703125" style="3" bestFit="1" customWidth="1"/>
    <col min="9739" max="9739" width="4.85546875" style="3" bestFit="1" customWidth="1"/>
    <col min="9740" max="9740" width="11.85546875" style="3" customWidth="1"/>
    <col min="9741" max="9741" width="8.5703125" style="3" bestFit="1" customWidth="1"/>
    <col min="9742" max="9742" width="1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1.28515625" style="3" bestFit="1" customWidth="1"/>
    <col min="9992" max="9994" width="5.5703125" style="3" bestFit="1" customWidth="1"/>
    <col min="9995" max="9995" width="4.85546875" style="3" bestFit="1" customWidth="1"/>
    <col min="9996" max="9996" width="11.85546875" style="3" customWidth="1"/>
    <col min="9997" max="9997" width="8.5703125" style="3" bestFit="1" customWidth="1"/>
    <col min="9998" max="9998" width="1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1.28515625" style="3" bestFit="1" customWidth="1"/>
    <col min="10248" max="10250" width="5.5703125" style="3" bestFit="1" customWidth="1"/>
    <col min="10251" max="10251" width="4.85546875" style="3" bestFit="1" customWidth="1"/>
    <col min="10252" max="10252" width="11.85546875" style="3" customWidth="1"/>
    <col min="10253" max="10253" width="8.5703125" style="3" bestFit="1" customWidth="1"/>
    <col min="10254" max="10254" width="1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1.28515625" style="3" bestFit="1" customWidth="1"/>
    <col min="10504" max="10506" width="5.5703125" style="3" bestFit="1" customWidth="1"/>
    <col min="10507" max="10507" width="4.85546875" style="3" bestFit="1" customWidth="1"/>
    <col min="10508" max="10508" width="11.85546875" style="3" customWidth="1"/>
    <col min="10509" max="10509" width="8.5703125" style="3" bestFit="1" customWidth="1"/>
    <col min="10510" max="10510" width="1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1.28515625" style="3" bestFit="1" customWidth="1"/>
    <col min="10760" max="10762" width="5.5703125" style="3" bestFit="1" customWidth="1"/>
    <col min="10763" max="10763" width="4.85546875" style="3" bestFit="1" customWidth="1"/>
    <col min="10764" max="10764" width="11.85546875" style="3" customWidth="1"/>
    <col min="10765" max="10765" width="8.5703125" style="3" bestFit="1" customWidth="1"/>
    <col min="10766" max="10766" width="1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1.28515625" style="3" bestFit="1" customWidth="1"/>
    <col min="11016" max="11018" width="5.5703125" style="3" bestFit="1" customWidth="1"/>
    <col min="11019" max="11019" width="4.85546875" style="3" bestFit="1" customWidth="1"/>
    <col min="11020" max="11020" width="11.85546875" style="3" customWidth="1"/>
    <col min="11021" max="11021" width="8.5703125" style="3" bestFit="1" customWidth="1"/>
    <col min="11022" max="11022" width="1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1.28515625" style="3" bestFit="1" customWidth="1"/>
    <col min="11272" max="11274" width="5.5703125" style="3" bestFit="1" customWidth="1"/>
    <col min="11275" max="11275" width="4.85546875" style="3" bestFit="1" customWidth="1"/>
    <col min="11276" max="11276" width="11.85546875" style="3" customWidth="1"/>
    <col min="11277" max="11277" width="8.5703125" style="3" bestFit="1" customWidth="1"/>
    <col min="11278" max="11278" width="1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1.28515625" style="3" bestFit="1" customWidth="1"/>
    <col min="11528" max="11530" width="5.5703125" style="3" bestFit="1" customWidth="1"/>
    <col min="11531" max="11531" width="4.85546875" style="3" bestFit="1" customWidth="1"/>
    <col min="11532" max="11532" width="11.85546875" style="3" customWidth="1"/>
    <col min="11533" max="11533" width="8.5703125" style="3" bestFit="1" customWidth="1"/>
    <col min="11534" max="11534" width="1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1.28515625" style="3" bestFit="1" customWidth="1"/>
    <col min="11784" max="11786" width="5.5703125" style="3" bestFit="1" customWidth="1"/>
    <col min="11787" max="11787" width="4.85546875" style="3" bestFit="1" customWidth="1"/>
    <col min="11788" max="11788" width="11.85546875" style="3" customWidth="1"/>
    <col min="11789" max="11789" width="8.5703125" style="3" bestFit="1" customWidth="1"/>
    <col min="11790" max="11790" width="1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1.28515625" style="3" bestFit="1" customWidth="1"/>
    <col min="12040" max="12042" width="5.5703125" style="3" bestFit="1" customWidth="1"/>
    <col min="12043" max="12043" width="4.85546875" style="3" bestFit="1" customWidth="1"/>
    <col min="12044" max="12044" width="11.85546875" style="3" customWidth="1"/>
    <col min="12045" max="12045" width="8.5703125" style="3" bestFit="1" customWidth="1"/>
    <col min="12046" max="12046" width="1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1.28515625" style="3" bestFit="1" customWidth="1"/>
    <col min="12296" max="12298" width="5.5703125" style="3" bestFit="1" customWidth="1"/>
    <col min="12299" max="12299" width="4.85546875" style="3" bestFit="1" customWidth="1"/>
    <col min="12300" max="12300" width="11.85546875" style="3" customWidth="1"/>
    <col min="12301" max="12301" width="8.5703125" style="3" bestFit="1" customWidth="1"/>
    <col min="12302" max="12302" width="1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1.28515625" style="3" bestFit="1" customWidth="1"/>
    <col min="12552" max="12554" width="5.5703125" style="3" bestFit="1" customWidth="1"/>
    <col min="12555" max="12555" width="4.85546875" style="3" bestFit="1" customWidth="1"/>
    <col min="12556" max="12556" width="11.85546875" style="3" customWidth="1"/>
    <col min="12557" max="12557" width="8.5703125" style="3" bestFit="1" customWidth="1"/>
    <col min="12558" max="12558" width="1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1.28515625" style="3" bestFit="1" customWidth="1"/>
    <col min="12808" max="12810" width="5.5703125" style="3" bestFit="1" customWidth="1"/>
    <col min="12811" max="12811" width="4.85546875" style="3" bestFit="1" customWidth="1"/>
    <col min="12812" max="12812" width="11.85546875" style="3" customWidth="1"/>
    <col min="12813" max="12813" width="8.5703125" style="3" bestFit="1" customWidth="1"/>
    <col min="12814" max="12814" width="1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1.28515625" style="3" bestFit="1" customWidth="1"/>
    <col min="13064" max="13066" width="5.5703125" style="3" bestFit="1" customWidth="1"/>
    <col min="13067" max="13067" width="4.85546875" style="3" bestFit="1" customWidth="1"/>
    <col min="13068" max="13068" width="11.85546875" style="3" customWidth="1"/>
    <col min="13069" max="13069" width="8.5703125" style="3" bestFit="1" customWidth="1"/>
    <col min="13070" max="13070" width="1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1.28515625" style="3" bestFit="1" customWidth="1"/>
    <col min="13320" max="13322" width="5.5703125" style="3" bestFit="1" customWidth="1"/>
    <col min="13323" max="13323" width="4.85546875" style="3" bestFit="1" customWidth="1"/>
    <col min="13324" max="13324" width="11.85546875" style="3" customWidth="1"/>
    <col min="13325" max="13325" width="8.5703125" style="3" bestFit="1" customWidth="1"/>
    <col min="13326" max="13326" width="1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1.28515625" style="3" bestFit="1" customWidth="1"/>
    <col min="13576" max="13578" width="5.5703125" style="3" bestFit="1" customWidth="1"/>
    <col min="13579" max="13579" width="4.85546875" style="3" bestFit="1" customWidth="1"/>
    <col min="13580" max="13580" width="11.85546875" style="3" customWidth="1"/>
    <col min="13581" max="13581" width="8.5703125" style="3" bestFit="1" customWidth="1"/>
    <col min="13582" max="13582" width="1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1.28515625" style="3" bestFit="1" customWidth="1"/>
    <col min="13832" max="13834" width="5.5703125" style="3" bestFit="1" customWidth="1"/>
    <col min="13835" max="13835" width="4.85546875" style="3" bestFit="1" customWidth="1"/>
    <col min="13836" max="13836" width="11.85546875" style="3" customWidth="1"/>
    <col min="13837" max="13837" width="8.5703125" style="3" bestFit="1" customWidth="1"/>
    <col min="13838" max="13838" width="1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1.28515625" style="3" bestFit="1" customWidth="1"/>
    <col min="14088" max="14090" width="5.5703125" style="3" bestFit="1" customWidth="1"/>
    <col min="14091" max="14091" width="4.85546875" style="3" bestFit="1" customWidth="1"/>
    <col min="14092" max="14092" width="11.85546875" style="3" customWidth="1"/>
    <col min="14093" max="14093" width="8.5703125" style="3" bestFit="1" customWidth="1"/>
    <col min="14094" max="14094" width="1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1.28515625" style="3" bestFit="1" customWidth="1"/>
    <col min="14344" max="14346" width="5.5703125" style="3" bestFit="1" customWidth="1"/>
    <col min="14347" max="14347" width="4.85546875" style="3" bestFit="1" customWidth="1"/>
    <col min="14348" max="14348" width="11.85546875" style="3" customWidth="1"/>
    <col min="14349" max="14349" width="8.5703125" style="3" bestFit="1" customWidth="1"/>
    <col min="14350" max="14350" width="1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1.28515625" style="3" bestFit="1" customWidth="1"/>
    <col min="14600" max="14602" width="5.5703125" style="3" bestFit="1" customWidth="1"/>
    <col min="14603" max="14603" width="4.85546875" style="3" bestFit="1" customWidth="1"/>
    <col min="14604" max="14604" width="11.85546875" style="3" customWidth="1"/>
    <col min="14605" max="14605" width="8.5703125" style="3" bestFit="1" customWidth="1"/>
    <col min="14606" max="14606" width="1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1.28515625" style="3" bestFit="1" customWidth="1"/>
    <col min="14856" max="14858" width="5.5703125" style="3" bestFit="1" customWidth="1"/>
    <col min="14859" max="14859" width="4.85546875" style="3" bestFit="1" customWidth="1"/>
    <col min="14860" max="14860" width="11.85546875" style="3" customWidth="1"/>
    <col min="14861" max="14861" width="8.5703125" style="3" bestFit="1" customWidth="1"/>
    <col min="14862" max="14862" width="1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1.28515625" style="3" bestFit="1" customWidth="1"/>
    <col min="15112" max="15114" width="5.5703125" style="3" bestFit="1" customWidth="1"/>
    <col min="15115" max="15115" width="4.85546875" style="3" bestFit="1" customWidth="1"/>
    <col min="15116" max="15116" width="11.85546875" style="3" customWidth="1"/>
    <col min="15117" max="15117" width="8.5703125" style="3" bestFit="1" customWidth="1"/>
    <col min="15118" max="15118" width="1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1.28515625" style="3" bestFit="1" customWidth="1"/>
    <col min="15368" max="15370" width="5.5703125" style="3" bestFit="1" customWidth="1"/>
    <col min="15371" max="15371" width="4.85546875" style="3" bestFit="1" customWidth="1"/>
    <col min="15372" max="15372" width="11.85546875" style="3" customWidth="1"/>
    <col min="15373" max="15373" width="8.5703125" style="3" bestFit="1" customWidth="1"/>
    <col min="15374" max="15374" width="1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1.28515625" style="3" bestFit="1" customWidth="1"/>
    <col min="15624" max="15626" width="5.5703125" style="3" bestFit="1" customWidth="1"/>
    <col min="15627" max="15627" width="4.85546875" style="3" bestFit="1" customWidth="1"/>
    <col min="15628" max="15628" width="11.85546875" style="3" customWidth="1"/>
    <col min="15629" max="15629" width="8.5703125" style="3" bestFit="1" customWidth="1"/>
    <col min="15630" max="15630" width="1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1.28515625" style="3" bestFit="1" customWidth="1"/>
    <col min="15880" max="15882" width="5.5703125" style="3" bestFit="1" customWidth="1"/>
    <col min="15883" max="15883" width="4.85546875" style="3" bestFit="1" customWidth="1"/>
    <col min="15884" max="15884" width="11.85546875" style="3" customWidth="1"/>
    <col min="15885" max="15885" width="8.5703125" style="3" bestFit="1" customWidth="1"/>
    <col min="15886" max="15886" width="1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1.28515625" style="3" bestFit="1" customWidth="1"/>
    <col min="16136" max="16138" width="5.5703125" style="3" bestFit="1" customWidth="1"/>
    <col min="16139" max="16139" width="4.85546875" style="3" bestFit="1" customWidth="1"/>
    <col min="16140" max="16140" width="11.85546875" style="3" customWidth="1"/>
    <col min="16141" max="16141" width="8.5703125" style="3" bestFit="1" customWidth="1"/>
    <col min="16142" max="16142" width="15" style="3" bestFit="1" customWidth="1"/>
    <col min="16143" max="16384" width="9.140625" style="3"/>
  </cols>
  <sheetData>
    <row r="1" spans="1:14" s="2" customFormat="1" ht="29.1" customHeight="1" x14ac:dyDescent="0.2">
      <c r="A1" s="40" t="s">
        <v>222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31" t="s">
        <v>225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6" t="s">
        <v>226</v>
      </c>
      <c r="B6" s="6" t="s">
        <v>1436</v>
      </c>
      <c r="C6" s="6" t="s">
        <v>227</v>
      </c>
      <c r="D6" s="6" t="s">
        <v>228</v>
      </c>
      <c r="E6" s="6" t="str">
        <f>"0,9873"</f>
        <v>0,9873</v>
      </c>
      <c r="F6" s="6" t="s">
        <v>14</v>
      </c>
      <c r="G6" s="6" t="s">
        <v>229</v>
      </c>
      <c r="H6" s="8" t="s">
        <v>49</v>
      </c>
      <c r="I6" s="8" t="s">
        <v>230</v>
      </c>
      <c r="J6" s="7" t="s">
        <v>231</v>
      </c>
      <c r="K6" s="7"/>
      <c r="L6" s="6" t="str">
        <f>"50,0"</f>
        <v>50,0</v>
      </c>
      <c r="M6" s="8" t="str">
        <f>"49,3650"</f>
        <v>49,3650</v>
      </c>
      <c r="N6" s="6" t="s">
        <v>232</v>
      </c>
    </row>
    <row r="8" spans="1:14" ht="15" x14ac:dyDescent="0.2">
      <c r="A8" s="32" t="s">
        <v>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A9" s="6" t="s">
        <v>233</v>
      </c>
      <c r="B9" s="6" t="s">
        <v>1446</v>
      </c>
      <c r="C9" s="6" t="s">
        <v>234</v>
      </c>
      <c r="D9" s="6" t="s">
        <v>235</v>
      </c>
      <c r="E9" s="6" t="str">
        <f>"0,7891"</f>
        <v>0,7891</v>
      </c>
      <c r="F9" s="6" t="s">
        <v>14</v>
      </c>
      <c r="G9" s="6" t="s">
        <v>229</v>
      </c>
      <c r="H9" s="8" t="s">
        <v>236</v>
      </c>
      <c r="I9" s="8" t="s">
        <v>237</v>
      </c>
      <c r="J9" s="8" t="s">
        <v>16</v>
      </c>
      <c r="K9" s="7"/>
      <c r="L9" s="6" t="str">
        <f>"67,5"</f>
        <v>67,5</v>
      </c>
      <c r="M9" s="8" t="str">
        <f>"53,2642"</f>
        <v>53,2642</v>
      </c>
      <c r="N9" s="6" t="s">
        <v>232</v>
      </c>
    </row>
    <row r="11" spans="1:14" ht="15" x14ac:dyDescent="0.2">
      <c r="A11" s="32" t="s">
        <v>50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x14ac:dyDescent="0.2">
      <c r="A12" s="6" t="s">
        <v>238</v>
      </c>
      <c r="B12" s="6" t="s">
        <v>1443</v>
      </c>
      <c r="C12" s="6" t="s">
        <v>239</v>
      </c>
      <c r="D12" s="6" t="s">
        <v>240</v>
      </c>
      <c r="E12" s="6" t="str">
        <f>"0,6471"</f>
        <v>0,6471</v>
      </c>
      <c r="F12" s="6" t="s">
        <v>65</v>
      </c>
      <c r="G12" s="6" t="s">
        <v>66</v>
      </c>
      <c r="H12" s="8" t="s">
        <v>241</v>
      </c>
      <c r="I12" s="8" t="s">
        <v>242</v>
      </c>
      <c r="J12" s="7" t="s">
        <v>243</v>
      </c>
      <c r="K12" s="7"/>
      <c r="L12" s="6" t="str">
        <f>"175,0"</f>
        <v>175,0</v>
      </c>
      <c r="M12" s="8" t="str">
        <f>"113,2425"</f>
        <v>113,2425</v>
      </c>
      <c r="N12" s="6" t="s">
        <v>244</v>
      </c>
    </row>
    <row r="14" spans="1:14" ht="15" x14ac:dyDescent="0.2">
      <c r="A14" s="32" t="s">
        <v>70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x14ac:dyDescent="0.2">
      <c r="A15" s="9" t="s">
        <v>245</v>
      </c>
      <c r="B15" s="9" t="s">
        <v>1436</v>
      </c>
      <c r="C15" s="9" t="s">
        <v>246</v>
      </c>
      <c r="D15" s="9" t="s">
        <v>247</v>
      </c>
      <c r="E15" s="9" t="str">
        <f>"0,6359"</f>
        <v>0,6359</v>
      </c>
      <c r="F15" s="9" t="s">
        <v>65</v>
      </c>
      <c r="G15" s="9" t="s">
        <v>66</v>
      </c>
      <c r="H15" s="10" t="s">
        <v>237</v>
      </c>
      <c r="I15" s="25" t="s">
        <v>248</v>
      </c>
      <c r="J15" s="25" t="s">
        <v>248</v>
      </c>
      <c r="K15" s="25"/>
      <c r="L15" s="9" t="str">
        <f>"65,0"</f>
        <v>65,0</v>
      </c>
      <c r="M15" s="10" t="str">
        <f>"41,3335"</f>
        <v>41,3335</v>
      </c>
      <c r="N15" s="9" t="s">
        <v>249</v>
      </c>
    </row>
    <row r="16" spans="1:14" x14ac:dyDescent="0.2">
      <c r="A16" s="11" t="s">
        <v>250</v>
      </c>
      <c r="B16" s="11" t="s">
        <v>1443</v>
      </c>
      <c r="C16" s="11" t="s">
        <v>251</v>
      </c>
      <c r="D16" s="11" t="s">
        <v>252</v>
      </c>
      <c r="E16" s="11" t="str">
        <f>"0,6126"</f>
        <v>0,6126</v>
      </c>
      <c r="F16" s="11" t="s">
        <v>253</v>
      </c>
      <c r="G16" s="11" t="s">
        <v>254</v>
      </c>
      <c r="H16" s="13" t="s">
        <v>242</v>
      </c>
      <c r="I16" s="13" t="s">
        <v>243</v>
      </c>
      <c r="J16" s="13" t="s">
        <v>255</v>
      </c>
      <c r="K16" s="12"/>
      <c r="L16" s="11" t="str">
        <f>"185,0"</f>
        <v>185,0</v>
      </c>
      <c r="M16" s="13" t="str">
        <f>"113,3310"</f>
        <v>113,3310</v>
      </c>
      <c r="N16" s="11" t="s">
        <v>34</v>
      </c>
    </row>
    <row r="17" spans="1:14" x14ac:dyDescent="0.2">
      <c r="A17" s="11" t="s">
        <v>256</v>
      </c>
      <c r="B17" s="11" t="s">
        <v>1442</v>
      </c>
      <c r="C17" s="11" t="s">
        <v>257</v>
      </c>
      <c r="D17" s="11" t="s">
        <v>258</v>
      </c>
      <c r="E17" s="11" t="str">
        <f>"0,6101"</f>
        <v>0,6101</v>
      </c>
      <c r="F17" s="11" t="s">
        <v>14</v>
      </c>
      <c r="G17" s="11" t="s">
        <v>259</v>
      </c>
      <c r="H17" s="13" t="s">
        <v>242</v>
      </c>
      <c r="I17" s="12" t="s">
        <v>243</v>
      </c>
      <c r="J17" s="12" t="s">
        <v>243</v>
      </c>
      <c r="K17" s="12"/>
      <c r="L17" s="11" t="str">
        <f>"175,0"</f>
        <v>175,0</v>
      </c>
      <c r="M17" s="13" t="str">
        <f>"106,7675"</f>
        <v>106,7675</v>
      </c>
      <c r="N17" s="11" t="s">
        <v>260</v>
      </c>
    </row>
    <row r="18" spans="1:14" x14ac:dyDescent="0.2">
      <c r="A18" s="14" t="s">
        <v>261</v>
      </c>
      <c r="B18" s="14" t="s">
        <v>1437</v>
      </c>
      <c r="C18" s="14" t="s">
        <v>262</v>
      </c>
      <c r="D18" s="14" t="s">
        <v>263</v>
      </c>
      <c r="E18" s="14" t="str">
        <f>"0,6315"</f>
        <v>0,6315</v>
      </c>
      <c r="F18" s="14" t="s">
        <v>65</v>
      </c>
      <c r="G18" s="14" t="s">
        <v>66</v>
      </c>
      <c r="H18" s="15" t="s">
        <v>264</v>
      </c>
      <c r="I18" s="16" t="s">
        <v>264</v>
      </c>
      <c r="J18" s="15" t="s">
        <v>265</v>
      </c>
      <c r="K18" s="15"/>
      <c r="L18" s="14" t="str">
        <f>"150,0"</f>
        <v>150,0</v>
      </c>
      <c r="M18" s="16" t="str">
        <f>"94,7250"</f>
        <v>94,7250</v>
      </c>
      <c r="N18" s="14" t="s">
        <v>62</v>
      </c>
    </row>
    <row r="20" spans="1:14" ht="15" x14ac:dyDescent="0.2">
      <c r="A20" s="32" t="s">
        <v>81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x14ac:dyDescent="0.2">
      <c r="A21" s="9" t="s">
        <v>266</v>
      </c>
      <c r="B21" s="9" t="s">
        <v>1443</v>
      </c>
      <c r="C21" s="9" t="s">
        <v>267</v>
      </c>
      <c r="D21" s="9" t="s">
        <v>268</v>
      </c>
      <c r="E21" s="9" t="str">
        <f>"0,5928"</f>
        <v>0,5928</v>
      </c>
      <c r="F21" s="9" t="s">
        <v>65</v>
      </c>
      <c r="G21" s="9" t="s">
        <v>66</v>
      </c>
      <c r="H21" s="10" t="s">
        <v>269</v>
      </c>
      <c r="I21" s="10" t="s">
        <v>242</v>
      </c>
      <c r="J21" s="10" t="s">
        <v>270</v>
      </c>
      <c r="K21" s="25"/>
      <c r="L21" s="9" t="str">
        <f>"190,0"</f>
        <v>190,0</v>
      </c>
      <c r="M21" s="10" t="str">
        <f>"112,6320"</f>
        <v>112,6320</v>
      </c>
      <c r="N21" s="9" t="s">
        <v>34</v>
      </c>
    </row>
    <row r="22" spans="1:14" x14ac:dyDescent="0.2">
      <c r="A22" s="11" t="s">
        <v>271</v>
      </c>
      <c r="B22" s="11" t="s">
        <v>1442</v>
      </c>
      <c r="C22" s="11" t="s">
        <v>272</v>
      </c>
      <c r="D22" s="11" t="s">
        <v>273</v>
      </c>
      <c r="E22" s="11" t="str">
        <f>"0,5923"</f>
        <v>0,5923</v>
      </c>
      <c r="F22" s="11" t="s">
        <v>65</v>
      </c>
      <c r="G22" s="11" t="s">
        <v>66</v>
      </c>
      <c r="H22" s="12" t="s">
        <v>269</v>
      </c>
      <c r="I22" s="13" t="s">
        <v>269</v>
      </c>
      <c r="J22" s="12" t="s">
        <v>243</v>
      </c>
      <c r="K22" s="12"/>
      <c r="L22" s="11" t="str">
        <f>"165,0"</f>
        <v>165,0</v>
      </c>
      <c r="M22" s="13" t="str">
        <f>"100,7591"</f>
        <v>100,7591</v>
      </c>
      <c r="N22" s="11" t="s">
        <v>34</v>
      </c>
    </row>
    <row r="23" spans="1:14" x14ac:dyDescent="0.2">
      <c r="A23" s="14" t="s">
        <v>274</v>
      </c>
      <c r="B23" s="14" t="s">
        <v>1444</v>
      </c>
      <c r="C23" s="14" t="s">
        <v>275</v>
      </c>
      <c r="D23" s="14" t="s">
        <v>276</v>
      </c>
      <c r="E23" s="14" t="str">
        <f>"0,5937"</f>
        <v>0,5937</v>
      </c>
      <c r="F23" s="14" t="s">
        <v>277</v>
      </c>
      <c r="G23" s="14" t="s">
        <v>278</v>
      </c>
      <c r="H23" s="16" t="s">
        <v>270</v>
      </c>
      <c r="I23" s="16" t="s">
        <v>279</v>
      </c>
      <c r="J23" s="16" t="s">
        <v>280</v>
      </c>
      <c r="K23" s="15"/>
      <c r="L23" s="14" t="str">
        <f>"200,0"</f>
        <v>200,0</v>
      </c>
      <c r="M23" s="16" t="str">
        <f>"147,9500"</f>
        <v>147,9500</v>
      </c>
      <c r="N23" s="14" t="s">
        <v>281</v>
      </c>
    </row>
    <row r="25" spans="1:14" ht="15" x14ac:dyDescent="0.2">
      <c r="A25" s="32" t="s">
        <v>84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x14ac:dyDescent="0.2">
      <c r="A26" s="9" t="s">
        <v>282</v>
      </c>
      <c r="B26" s="9" t="s">
        <v>1442</v>
      </c>
      <c r="C26" s="9" t="s">
        <v>283</v>
      </c>
      <c r="D26" s="9" t="s">
        <v>284</v>
      </c>
      <c r="E26" s="9" t="str">
        <f>"0,5756"</f>
        <v>0,5756</v>
      </c>
      <c r="F26" s="9" t="s">
        <v>14</v>
      </c>
      <c r="G26" s="9" t="s">
        <v>285</v>
      </c>
      <c r="H26" s="10" t="s">
        <v>255</v>
      </c>
      <c r="I26" s="10" t="s">
        <v>270</v>
      </c>
      <c r="J26" s="25" t="s">
        <v>280</v>
      </c>
      <c r="K26" s="25"/>
      <c r="L26" s="9" t="str">
        <f>"190,0"</f>
        <v>190,0</v>
      </c>
      <c r="M26" s="10" t="str">
        <f>"109,3640"</f>
        <v>109,3640</v>
      </c>
      <c r="N26" s="9" t="s">
        <v>286</v>
      </c>
    </row>
    <row r="27" spans="1:14" x14ac:dyDescent="0.2">
      <c r="A27" s="14" t="s">
        <v>287</v>
      </c>
      <c r="B27" s="14" t="s">
        <v>1442</v>
      </c>
      <c r="C27" s="14" t="s">
        <v>288</v>
      </c>
      <c r="D27" s="14" t="s">
        <v>289</v>
      </c>
      <c r="E27" s="14" t="str">
        <f>"0,5749"</f>
        <v>0,5749</v>
      </c>
      <c r="F27" s="14" t="s">
        <v>65</v>
      </c>
      <c r="G27" s="14" t="s">
        <v>66</v>
      </c>
      <c r="H27" s="16" t="s">
        <v>290</v>
      </c>
      <c r="I27" s="15" t="s">
        <v>280</v>
      </c>
      <c r="J27" s="15" t="s">
        <v>280</v>
      </c>
      <c r="K27" s="15"/>
      <c r="L27" s="14" t="str">
        <f>"172,5"</f>
        <v>172,5</v>
      </c>
      <c r="M27" s="16" t="str">
        <f>"99,1702"</f>
        <v>99,1702</v>
      </c>
      <c r="N27" s="14" t="s">
        <v>34</v>
      </c>
    </row>
    <row r="29" spans="1:14" ht="15" x14ac:dyDescent="0.2">
      <c r="F29" s="17" t="s">
        <v>96</v>
      </c>
    </row>
    <row r="30" spans="1:14" ht="15" x14ac:dyDescent="0.2">
      <c r="F30" s="17" t="s">
        <v>97</v>
      </c>
    </row>
    <row r="31" spans="1:14" ht="15" x14ac:dyDescent="0.2">
      <c r="F31" s="17" t="s">
        <v>98</v>
      </c>
    </row>
    <row r="32" spans="1:14" ht="15" x14ac:dyDescent="0.2">
      <c r="F32" s="17"/>
    </row>
    <row r="33" spans="1:14" x14ac:dyDescent="0.2">
      <c r="G33" s="3"/>
      <c r="L33" s="3"/>
      <c r="N33" s="3"/>
    </row>
    <row r="34" spans="1:14" ht="18" x14ac:dyDescent="0.25">
      <c r="A34" s="18" t="s">
        <v>99</v>
      </c>
      <c r="B34" s="18"/>
      <c r="C34" s="18"/>
      <c r="G34" s="3"/>
      <c r="L34" s="3"/>
      <c r="N34" s="3"/>
    </row>
    <row r="35" spans="1:14" ht="15" x14ac:dyDescent="0.2">
      <c r="A35" s="19" t="s">
        <v>100</v>
      </c>
      <c r="B35" s="19"/>
      <c r="C35" s="19"/>
      <c r="G35" s="3"/>
      <c r="L35" s="3"/>
      <c r="N35" s="3"/>
    </row>
    <row r="36" spans="1:14" ht="14.25" x14ac:dyDescent="0.2">
      <c r="A36" s="21"/>
      <c r="B36" s="21"/>
      <c r="C36" s="22" t="s">
        <v>107</v>
      </c>
      <c r="G36" s="3"/>
      <c r="L36" s="3"/>
      <c r="N36" s="3"/>
    </row>
    <row r="37" spans="1:14" ht="15" x14ac:dyDescent="0.2">
      <c r="A37" s="23" t="s">
        <v>101</v>
      </c>
      <c r="B37" s="23"/>
      <c r="C37" s="23" t="s">
        <v>102</v>
      </c>
      <c r="D37" s="23" t="s">
        <v>103</v>
      </c>
      <c r="E37" s="23" t="s">
        <v>104</v>
      </c>
      <c r="F37" s="23" t="s">
        <v>291</v>
      </c>
      <c r="G37" s="3"/>
      <c r="L37" s="3"/>
      <c r="N37" s="3"/>
    </row>
    <row r="38" spans="1:14" x14ac:dyDescent="0.2">
      <c r="A38" s="20" t="s">
        <v>292</v>
      </c>
      <c r="B38" s="20"/>
      <c r="C38" s="4" t="s">
        <v>107</v>
      </c>
      <c r="D38" s="4" t="s">
        <v>114</v>
      </c>
      <c r="E38" s="4" t="s">
        <v>255</v>
      </c>
      <c r="F38" s="24" t="s">
        <v>293</v>
      </c>
      <c r="G38" s="3"/>
      <c r="L38" s="3"/>
      <c r="N38" s="3"/>
    </row>
    <row r="39" spans="1:14" x14ac:dyDescent="0.2">
      <c r="G39" s="3"/>
      <c r="L39" s="3"/>
      <c r="N39" s="3"/>
    </row>
    <row r="40" spans="1:14" x14ac:dyDescent="0.2">
      <c r="G40" s="3"/>
      <c r="L40" s="3"/>
      <c r="N40" s="3"/>
    </row>
    <row r="41" spans="1:14" x14ac:dyDescent="0.2">
      <c r="G41" s="3"/>
      <c r="L41" s="3"/>
      <c r="N41" s="3"/>
    </row>
    <row r="42" spans="1:14" x14ac:dyDescent="0.2">
      <c r="G42" s="3"/>
      <c r="L42" s="3"/>
      <c r="N42" s="3"/>
    </row>
    <row r="43" spans="1:14" x14ac:dyDescent="0.2">
      <c r="G43" s="3"/>
      <c r="L43" s="3"/>
      <c r="N43" s="3"/>
    </row>
    <row r="44" spans="1:14" x14ac:dyDescent="0.2">
      <c r="G44" s="3"/>
      <c r="L44" s="3"/>
      <c r="N44" s="3"/>
    </row>
    <row r="45" spans="1:14" x14ac:dyDescent="0.2">
      <c r="G45" s="3"/>
      <c r="L45" s="3"/>
      <c r="N45" s="3"/>
    </row>
    <row r="46" spans="1:14" x14ac:dyDescent="0.2">
      <c r="G46" s="3"/>
      <c r="L46" s="3"/>
      <c r="N46" s="3"/>
    </row>
    <row r="47" spans="1:14" x14ac:dyDescent="0.2">
      <c r="G47" s="3"/>
      <c r="L47" s="3"/>
      <c r="N47" s="3"/>
    </row>
    <row r="48" spans="1:14" x14ac:dyDescent="0.2">
      <c r="G48" s="3"/>
      <c r="L48" s="3"/>
      <c r="N48" s="3"/>
    </row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8">
    <mergeCell ref="A20:N20"/>
    <mergeCell ref="A25:N25"/>
    <mergeCell ref="A5:N5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B3:B4"/>
    <mergeCell ref="A8:N8"/>
    <mergeCell ref="A11:N11"/>
    <mergeCell ref="A14:N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9"/>
  <sheetViews>
    <sheetView topLeftCell="A22" zoomScale="90" zoomScaleNormal="90" workbookViewId="0">
      <selection activeCell="A40" sqref="A40:XFD40"/>
    </sheetView>
  </sheetViews>
  <sheetFormatPr defaultRowHeight="12.75" x14ac:dyDescent="0.2"/>
  <cols>
    <col min="1" max="1" width="26" style="4" bestFit="1" customWidth="1"/>
    <col min="2" max="2" width="13.1406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3.42578125" style="4" bestFit="1" customWidth="1"/>
    <col min="8" max="10" width="5.5703125" style="3" bestFit="1" customWidth="1"/>
    <col min="11" max="11" width="4.85546875" style="3" bestFit="1" customWidth="1"/>
    <col min="12" max="12" width="11.42578125" style="4" customWidth="1"/>
    <col min="13" max="13" width="8.5703125" style="3" bestFit="1" customWidth="1"/>
    <col min="14" max="14" width="14.14062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3.42578125" style="3" bestFit="1" customWidth="1"/>
    <col min="264" max="266" width="5.5703125" style="3" bestFit="1" customWidth="1"/>
    <col min="267" max="267" width="4.85546875" style="3" bestFit="1" customWidth="1"/>
    <col min="268" max="268" width="11.42578125" style="3" customWidth="1"/>
    <col min="269" max="269" width="8.5703125" style="3" bestFit="1" customWidth="1"/>
    <col min="270" max="270" width="14.14062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3.42578125" style="3" bestFit="1" customWidth="1"/>
    <col min="520" max="522" width="5.5703125" style="3" bestFit="1" customWidth="1"/>
    <col min="523" max="523" width="4.85546875" style="3" bestFit="1" customWidth="1"/>
    <col min="524" max="524" width="11.42578125" style="3" customWidth="1"/>
    <col min="525" max="525" width="8.5703125" style="3" bestFit="1" customWidth="1"/>
    <col min="526" max="526" width="14.14062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3.42578125" style="3" bestFit="1" customWidth="1"/>
    <col min="776" max="778" width="5.5703125" style="3" bestFit="1" customWidth="1"/>
    <col min="779" max="779" width="4.85546875" style="3" bestFit="1" customWidth="1"/>
    <col min="780" max="780" width="11.42578125" style="3" customWidth="1"/>
    <col min="781" max="781" width="8.5703125" style="3" bestFit="1" customWidth="1"/>
    <col min="782" max="782" width="14.14062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3.42578125" style="3" bestFit="1" customWidth="1"/>
    <col min="1032" max="1034" width="5.5703125" style="3" bestFit="1" customWidth="1"/>
    <col min="1035" max="1035" width="4.85546875" style="3" bestFit="1" customWidth="1"/>
    <col min="1036" max="1036" width="11.42578125" style="3" customWidth="1"/>
    <col min="1037" max="1037" width="8.5703125" style="3" bestFit="1" customWidth="1"/>
    <col min="1038" max="1038" width="14.14062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3.42578125" style="3" bestFit="1" customWidth="1"/>
    <col min="1288" max="1290" width="5.5703125" style="3" bestFit="1" customWidth="1"/>
    <col min="1291" max="1291" width="4.85546875" style="3" bestFit="1" customWidth="1"/>
    <col min="1292" max="1292" width="11.42578125" style="3" customWidth="1"/>
    <col min="1293" max="1293" width="8.5703125" style="3" bestFit="1" customWidth="1"/>
    <col min="1294" max="1294" width="14.14062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3.42578125" style="3" bestFit="1" customWidth="1"/>
    <col min="1544" max="1546" width="5.5703125" style="3" bestFit="1" customWidth="1"/>
    <col min="1547" max="1547" width="4.85546875" style="3" bestFit="1" customWidth="1"/>
    <col min="1548" max="1548" width="11.42578125" style="3" customWidth="1"/>
    <col min="1549" max="1549" width="8.5703125" style="3" bestFit="1" customWidth="1"/>
    <col min="1550" max="1550" width="14.14062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3.42578125" style="3" bestFit="1" customWidth="1"/>
    <col min="1800" max="1802" width="5.5703125" style="3" bestFit="1" customWidth="1"/>
    <col min="1803" max="1803" width="4.85546875" style="3" bestFit="1" customWidth="1"/>
    <col min="1804" max="1804" width="11.42578125" style="3" customWidth="1"/>
    <col min="1805" max="1805" width="8.5703125" style="3" bestFit="1" customWidth="1"/>
    <col min="1806" max="1806" width="14.14062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3.42578125" style="3" bestFit="1" customWidth="1"/>
    <col min="2056" max="2058" width="5.5703125" style="3" bestFit="1" customWidth="1"/>
    <col min="2059" max="2059" width="4.85546875" style="3" bestFit="1" customWidth="1"/>
    <col min="2060" max="2060" width="11.42578125" style="3" customWidth="1"/>
    <col min="2061" max="2061" width="8.5703125" style="3" bestFit="1" customWidth="1"/>
    <col min="2062" max="2062" width="14.14062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3.42578125" style="3" bestFit="1" customWidth="1"/>
    <col min="2312" max="2314" width="5.5703125" style="3" bestFit="1" customWidth="1"/>
    <col min="2315" max="2315" width="4.85546875" style="3" bestFit="1" customWidth="1"/>
    <col min="2316" max="2316" width="11.42578125" style="3" customWidth="1"/>
    <col min="2317" max="2317" width="8.5703125" style="3" bestFit="1" customWidth="1"/>
    <col min="2318" max="2318" width="14.14062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3.42578125" style="3" bestFit="1" customWidth="1"/>
    <col min="2568" max="2570" width="5.5703125" style="3" bestFit="1" customWidth="1"/>
    <col min="2571" max="2571" width="4.85546875" style="3" bestFit="1" customWidth="1"/>
    <col min="2572" max="2572" width="11.42578125" style="3" customWidth="1"/>
    <col min="2573" max="2573" width="8.5703125" style="3" bestFit="1" customWidth="1"/>
    <col min="2574" max="2574" width="14.14062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3.42578125" style="3" bestFit="1" customWidth="1"/>
    <col min="2824" max="2826" width="5.5703125" style="3" bestFit="1" customWidth="1"/>
    <col min="2827" max="2827" width="4.85546875" style="3" bestFit="1" customWidth="1"/>
    <col min="2828" max="2828" width="11.42578125" style="3" customWidth="1"/>
    <col min="2829" max="2829" width="8.5703125" style="3" bestFit="1" customWidth="1"/>
    <col min="2830" max="2830" width="14.14062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3.42578125" style="3" bestFit="1" customWidth="1"/>
    <col min="3080" max="3082" width="5.5703125" style="3" bestFit="1" customWidth="1"/>
    <col min="3083" max="3083" width="4.85546875" style="3" bestFit="1" customWidth="1"/>
    <col min="3084" max="3084" width="11.42578125" style="3" customWidth="1"/>
    <col min="3085" max="3085" width="8.5703125" style="3" bestFit="1" customWidth="1"/>
    <col min="3086" max="3086" width="14.14062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3.42578125" style="3" bestFit="1" customWidth="1"/>
    <col min="3336" max="3338" width="5.5703125" style="3" bestFit="1" customWidth="1"/>
    <col min="3339" max="3339" width="4.85546875" style="3" bestFit="1" customWidth="1"/>
    <col min="3340" max="3340" width="11.42578125" style="3" customWidth="1"/>
    <col min="3341" max="3341" width="8.5703125" style="3" bestFit="1" customWidth="1"/>
    <col min="3342" max="3342" width="14.14062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3.42578125" style="3" bestFit="1" customWidth="1"/>
    <col min="3592" max="3594" width="5.5703125" style="3" bestFit="1" customWidth="1"/>
    <col min="3595" max="3595" width="4.85546875" style="3" bestFit="1" customWidth="1"/>
    <col min="3596" max="3596" width="11.42578125" style="3" customWidth="1"/>
    <col min="3597" max="3597" width="8.5703125" style="3" bestFit="1" customWidth="1"/>
    <col min="3598" max="3598" width="14.14062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3.42578125" style="3" bestFit="1" customWidth="1"/>
    <col min="3848" max="3850" width="5.5703125" style="3" bestFit="1" customWidth="1"/>
    <col min="3851" max="3851" width="4.85546875" style="3" bestFit="1" customWidth="1"/>
    <col min="3852" max="3852" width="11.42578125" style="3" customWidth="1"/>
    <col min="3853" max="3853" width="8.5703125" style="3" bestFit="1" customWidth="1"/>
    <col min="3854" max="3854" width="14.14062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3.42578125" style="3" bestFit="1" customWidth="1"/>
    <col min="4104" max="4106" width="5.5703125" style="3" bestFit="1" customWidth="1"/>
    <col min="4107" max="4107" width="4.85546875" style="3" bestFit="1" customWidth="1"/>
    <col min="4108" max="4108" width="11.42578125" style="3" customWidth="1"/>
    <col min="4109" max="4109" width="8.5703125" style="3" bestFit="1" customWidth="1"/>
    <col min="4110" max="4110" width="14.14062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3.42578125" style="3" bestFit="1" customWidth="1"/>
    <col min="4360" max="4362" width="5.5703125" style="3" bestFit="1" customWidth="1"/>
    <col min="4363" max="4363" width="4.85546875" style="3" bestFit="1" customWidth="1"/>
    <col min="4364" max="4364" width="11.42578125" style="3" customWidth="1"/>
    <col min="4365" max="4365" width="8.5703125" style="3" bestFit="1" customWidth="1"/>
    <col min="4366" max="4366" width="14.14062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3.42578125" style="3" bestFit="1" customWidth="1"/>
    <col min="4616" max="4618" width="5.5703125" style="3" bestFit="1" customWidth="1"/>
    <col min="4619" max="4619" width="4.85546875" style="3" bestFit="1" customWidth="1"/>
    <col min="4620" max="4620" width="11.42578125" style="3" customWidth="1"/>
    <col min="4621" max="4621" width="8.5703125" style="3" bestFit="1" customWidth="1"/>
    <col min="4622" max="4622" width="14.14062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3.42578125" style="3" bestFit="1" customWidth="1"/>
    <col min="4872" max="4874" width="5.5703125" style="3" bestFit="1" customWidth="1"/>
    <col min="4875" max="4875" width="4.85546875" style="3" bestFit="1" customWidth="1"/>
    <col min="4876" max="4876" width="11.42578125" style="3" customWidth="1"/>
    <col min="4877" max="4877" width="8.5703125" style="3" bestFit="1" customWidth="1"/>
    <col min="4878" max="4878" width="14.14062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3.42578125" style="3" bestFit="1" customWidth="1"/>
    <col min="5128" max="5130" width="5.5703125" style="3" bestFit="1" customWidth="1"/>
    <col min="5131" max="5131" width="4.85546875" style="3" bestFit="1" customWidth="1"/>
    <col min="5132" max="5132" width="11.42578125" style="3" customWidth="1"/>
    <col min="5133" max="5133" width="8.5703125" style="3" bestFit="1" customWidth="1"/>
    <col min="5134" max="5134" width="14.14062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3.42578125" style="3" bestFit="1" customWidth="1"/>
    <col min="5384" max="5386" width="5.5703125" style="3" bestFit="1" customWidth="1"/>
    <col min="5387" max="5387" width="4.85546875" style="3" bestFit="1" customWidth="1"/>
    <col min="5388" max="5388" width="11.42578125" style="3" customWidth="1"/>
    <col min="5389" max="5389" width="8.5703125" style="3" bestFit="1" customWidth="1"/>
    <col min="5390" max="5390" width="14.14062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3.42578125" style="3" bestFit="1" customWidth="1"/>
    <col min="5640" max="5642" width="5.5703125" style="3" bestFit="1" customWidth="1"/>
    <col min="5643" max="5643" width="4.85546875" style="3" bestFit="1" customWidth="1"/>
    <col min="5644" max="5644" width="11.42578125" style="3" customWidth="1"/>
    <col min="5645" max="5645" width="8.5703125" style="3" bestFit="1" customWidth="1"/>
    <col min="5646" max="5646" width="14.14062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3.42578125" style="3" bestFit="1" customWidth="1"/>
    <col min="5896" max="5898" width="5.5703125" style="3" bestFit="1" customWidth="1"/>
    <col min="5899" max="5899" width="4.85546875" style="3" bestFit="1" customWidth="1"/>
    <col min="5900" max="5900" width="11.42578125" style="3" customWidth="1"/>
    <col min="5901" max="5901" width="8.5703125" style="3" bestFit="1" customWidth="1"/>
    <col min="5902" max="5902" width="14.14062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3.42578125" style="3" bestFit="1" customWidth="1"/>
    <col min="6152" max="6154" width="5.5703125" style="3" bestFit="1" customWidth="1"/>
    <col min="6155" max="6155" width="4.85546875" style="3" bestFit="1" customWidth="1"/>
    <col min="6156" max="6156" width="11.42578125" style="3" customWidth="1"/>
    <col min="6157" max="6157" width="8.5703125" style="3" bestFit="1" customWidth="1"/>
    <col min="6158" max="6158" width="14.14062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3.42578125" style="3" bestFit="1" customWidth="1"/>
    <col min="6408" max="6410" width="5.5703125" style="3" bestFit="1" customWidth="1"/>
    <col min="6411" max="6411" width="4.85546875" style="3" bestFit="1" customWidth="1"/>
    <col min="6412" max="6412" width="11.42578125" style="3" customWidth="1"/>
    <col min="6413" max="6413" width="8.5703125" style="3" bestFit="1" customWidth="1"/>
    <col min="6414" max="6414" width="14.14062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3.42578125" style="3" bestFit="1" customWidth="1"/>
    <col min="6664" max="6666" width="5.5703125" style="3" bestFit="1" customWidth="1"/>
    <col min="6667" max="6667" width="4.85546875" style="3" bestFit="1" customWidth="1"/>
    <col min="6668" max="6668" width="11.42578125" style="3" customWidth="1"/>
    <col min="6669" max="6669" width="8.5703125" style="3" bestFit="1" customWidth="1"/>
    <col min="6670" max="6670" width="14.14062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3.42578125" style="3" bestFit="1" customWidth="1"/>
    <col min="6920" max="6922" width="5.5703125" style="3" bestFit="1" customWidth="1"/>
    <col min="6923" max="6923" width="4.85546875" style="3" bestFit="1" customWidth="1"/>
    <col min="6924" max="6924" width="11.42578125" style="3" customWidth="1"/>
    <col min="6925" max="6925" width="8.5703125" style="3" bestFit="1" customWidth="1"/>
    <col min="6926" max="6926" width="14.14062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3.42578125" style="3" bestFit="1" customWidth="1"/>
    <col min="7176" max="7178" width="5.5703125" style="3" bestFit="1" customWidth="1"/>
    <col min="7179" max="7179" width="4.85546875" style="3" bestFit="1" customWidth="1"/>
    <col min="7180" max="7180" width="11.42578125" style="3" customWidth="1"/>
    <col min="7181" max="7181" width="8.5703125" style="3" bestFit="1" customWidth="1"/>
    <col min="7182" max="7182" width="14.14062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3.42578125" style="3" bestFit="1" customWidth="1"/>
    <col min="7432" max="7434" width="5.5703125" style="3" bestFit="1" customWidth="1"/>
    <col min="7435" max="7435" width="4.85546875" style="3" bestFit="1" customWidth="1"/>
    <col min="7436" max="7436" width="11.42578125" style="3" customWidth="1"/>
    <col min="7437" max="7437" width="8.5703125" style="3" bestFit="1" customWidth="1"/>
    <col min="7438" max="7438" width="14.14062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3.42578125" style="3" bestFit="1" customWidth="1"/>
    <col min="7688" max="7690" width="5.5703125" style="3" bestFit="1" customWidth="1"/>
    <col min="7691" max="7691" width="4.85546875" style="3" bestFit="1" customWidth="1"/>
    <col min="7692" max="7692" width="11.42578125" style="3" customWidth="1"/>
    <col min="7693" max="7693" width="8.5703125" style="3" bestFit="1" customWidth="1"/>
    <col min="7694" max="7694" width="14.14062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3.42578125" style="3" bestFit="1" customWidth="1"/>
    <col min="7944" max="7946" width="5.5703125" style="3" bestFit="1" customWidth="1"/>
    <col min="7947" max="7947" width="4.85546875" style="3" bestFit="1" customWidth="1"/>
    <col min="7948" max="7948" width="11.42578125" style="3" customWidth="1"/>
    <col min="7949" max="7949" width="8.5703125" style="3" bestFit="1" customWidth="1"/>
    <col min="7950" max="7950" width="14.14062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3.42578125" style="3" bestFit="1" customWidth="1"/>
    <col min="8200" max="8202" width="5.5703125" style="3" bestFit="1" customWidth="1"/>
    <col min="8203" max="8203" width="4.85546875" style="3" bestFit="1" customWidth="1"/>
    <col min="8204" max="8204" width="11.42578125" style="3" customWidth="1"/>
    <col min="8205" max="8205" width="8.5703125" style="3" bestFit="1" customWidth="1"/>
    <col min="8206" max="8206" width="14.14062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3.42578125" style="3" bestFit="1" customWidth="1"/>
    <col min="8456" max="8458" width="5.5703125" style="3" bestFit="1" customWidth="1"/>
    <col min="8459" max="8459" width="4.85546875" style="3" bestFit="1" customWidth="1"/>
    <col min="8460" max="8460" width="11.42578125" style="3" customWidth="1"/>
    <col min="8461" max="8461" width="8.5703125" style="3" bestFit="1" customWidth="1"/>
    <col min="8462" max="8462" width="14.14062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3.42578125" style="3" bestFit="1" customWidth="1"/>
    <col min="8712" max="8714" width="5.5703125" style="3" bestFit="1" customWidth="1"/>
    <col min="8715" max="8715" width="4.85546875" style="3" bestFit="1" customWidth="1"/>
    <col min="8716" max="8716" width="11.42578125" style="3" customWidth="1"/>
    <col min="8717" max="8717" width="8.5703125" style="3" bestFit="1" customWidth="1"/>
    <col min="8718" max="8718" width="14.14062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3.42578125" style="3" bestFit="1" customWidth="1"/>
    <col min="8968" max="8970" width="5.5703125" style="3" bestFit="1" customWidth="1"/>
    <col min="8971" max="8971" width="4.85546875" style="3" bestFit="1" customWidth="1"/>
    <col min="8972" max="8972" width="11.42578125" style="3" customWidth="1"/>
    <col min="8973" max="8973" width="8.5703125" style="3" bestFit="1" customWidth="1"/>
    <col min="8974" max="8974" width="14.14062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3.42578125" style="3" bestFit="1" customWidth="1"/>
    <col min="9224" max="9226" width="5.5703125" style="3" bestFit="1" customWidth="1"/>
    <col min="9227" max="9227" width="4.85546875" style="3" bestFit="1" customWidth="1"/>
    <col min="9228" max="9228" width="11.42578125" style="3" customWidth="1"/>
    <col min="9229" max="9229" width="8.5703125" style="3" bestFit="1" customWidth="1"/>
    <col min="9230" max="9230" width="14.14062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3.42578125" style="3" bestFit="1" customWidth="1"/>
    <col min="9480" max="9482" width="5.5703125" style="3" bestFit="1" customWidth="1"/>
    <col min="9483" max="9483" width="4.85546875" style="3" bestFit="1" customWidth="1"/>
    <col min="9484" max="9484" width="11.42578125" style="3" customWidth="1"/>
    <col min="9485" max="9485" width="8.5703125" style="3" bestFit="1" customWidth="1"/>
    <col min="9486" max="9486" width="14.14062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3.42578125" style="3" bestFit="1" customWidth="1"/>
    <col min="9736" max="9738" width="5.5703125" style="3" bestFit="1" customWidth="1"/>
    <col min="9739" max="9739" width="4.85546875" style="3" bestFit="1" customWidth="1"/>
    <col min="9740" max="9740" width="11.42578125" style="3" customWidth="1"/>
    <col min="9741" max="9741" width="8.5703125" style="3" bestFit="1" customWidth="1"/>
    <col min="9742" max="9742" width="14.14062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3.42578125" style="3" bestFit="1" customWidth="1"/>
    <col min="9992" max="9994" width="5.5703125" style="3" bestFit="1" customWidth="1"/>
    <col min="9995" max="9995" width="4.85546875" style="3" bestFit="1" customWidth="1"/>
    <col min="9996" max="9996" width="11.42578125" style="3" customWidth="1"/>
    <col min="9997" max="9997" width="8.5703125" style="3" bestFit="1" customWidth="1"/>
    <col min="9998" max="9998" width="14.14062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3.42578125" style="3" bestFit="1" customWidth="1"/>
    <col min="10248" max="10250" width="5.5703125" style="3" bestFit="1" customWidth="1"/>
    <col min="10251" max="10251" width="4.85546875" style="3" bestFit="1" customWidth="1"/>
    <col min="10252" max="10252" width="11.42578125" style="3" customWidth="1"/>
    <col min="10253" max="10253" width="8.5703125" style="3" bestFit="1" customWidth="1"/>
    <col min="10254" max="10254" width="14.14062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3.42578125" style="3" bestFit="1" customWidth="1"/>
    <col min="10504" max="10506" width="5.5703125" style="3" bestFit="1" customWidth="1"/>
    <col min="10507" max="10507" width="4.85546875" style="3" bestFit="1" customWidth="1"/>
    <col min="10508" max="10508" width="11.42578125" style="3" customWidth="1"/>
    <col min="10509" max="10509" width="8.5703125" style="3" bestFit="1" customWidth="1"/>
    <col min="10510" max="10510" width="14.14062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3.42578125" style="3" bestFit="1" customWidth="1"/>
    <col min="10760" max="10762" width="5.5703125" style="3" bestFit="1" customWidth="1"/>
    <col min="10763" max="10763" width="4.85546875" style="3" bestFit="1" customWidth="1"/>
    <col min="10764" max="10764" width="11.42578125" style="3" customWidth="1"/>
    <col min="10765" max="10765" width="8.5703125" style="3" bestFit="1" customWidth="1"/>
    <col min="10766" max="10766" width="14.14062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3.42578125" style="3" bestFit="1" customWidth="1"/>
    <col min="11016" max="11018" width="5.5703125" style="3" bestFit="1" customWidth="1"/>
    <col min="11019" max="11019" width="4.85546875" style="3" bestFit="1" customWidth="1"/>
    <col min="11020" max="11020" width="11.42578125" style="3" customWidth="1"/>
    <col min="11021" max="11021" width="8.5703125" style="3" bestFit="1" customWidth="1"/>
    <col min="11022" max="11022" width="14.14062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3.42578125" style="3" bestFit="1" customWidth="1"/>
    <col min="11272" max="11274" width="5.5703125" style="3" bestFit="1" customWidth="1"/>
    <col min="11275" max="11275" width="4.85546875" style="3" bestFit="1" customWidth="1"/>
    <col min="11276" max="11276" width="11.42578125" style="3" customWidth="1"/>
    <col min="11277" max="11277" width="8.5703125" style="3" bestFit="1" customWidth="1"/>
    <col min="11278" max="11278" width="14.14062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3.42578125" style="3" bestFit="1" customWidth="1"/>
    <col min="11528" max="11530" width="5.5703125" style="3" bestFit="1" customWidth="1"/>
    <col min="11531" max="11531" width="4.85546875" style="3" bestFit="1" customWidth="1"/>
    <col min="11532" max="11532" width="11.42578125" style="3" customWidth="1"/>
    <col min="11533" max="11533" width="8.5703125" style="3" bestFit="1" customWidth="1"/>
    <col min="11534" max="11534" width="14.14062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3.42578125" style="3" bestFit="1" customWidth="1"/>
    <col min="11784" max="11786" width="5.5703125" style="3" bestFit="1" customWidth="1"/>
    <col min="11787" max="11787" width="4.85546875" style="3" bestFit="1" customWidth="1"/>
    <col min="11788" max="11788" width="11.42578125" style="3" customWidth="1"/>
    <col min="11789" max="11789" width="8.5703125" style="3" bestFit="1" customWidth="1"/>
    <col min="11790" max="11790" width="14.14062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3.42578125" style="3" bestFit="1" customWidth="1"/>
    <col min="12040" max="12042" width="5.5703125" style="3" bestFit="1" customWidth="1"/>
    <col min="12043" max="12043" width="4.85546875" style="3" bestFit="1" customWidth="1"/>
    <col min="12044" max="12044" width="11.42578125" style="3" customWidth="1"/>
    <col min="12045" max="12045" width="8.5703125" style="3" bestFit="1" customWidth="1"/>
    <col min="12046" max="12046" width="14.14062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3.42578125" style="3" bestFit="1" customWidth="1"/>
    <col min="12296" max="12298" width="5.5703125" style="3" bestFit="1" customWidth="1"/>
    <col min="12299" max="12299" width="4.85546875" style="3" bestFit="1" customWidth="1"/>
    <col min="12300" max="12300" width="11.42578125" style="3" customWidth="1"/>
    <col min="12301" max="12301" width="8.5703125" style="3" bestFit="1" customWidth="1"/>
    <col min="12302" max="12302" width="14.14062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3.42578125" style="3" bestFit="1" customWidth="1"/>
    <col min="12552" max="12554" width="5.5703125" style="3" bestFit="1" customWidth="1"/>
    <col min="12555" max="12555" width="4.85546875" style="3" bestFit="1" customWidth="1"/>
    <col min="12556" max="12556" width="11.42578125" style="3" customWidth="1"/>
    <col min="12557" max="12557" width="8.5703125" style="3" bestFit="1" customWidth="1"/>
    <col min="12558" max="12558" width="14.14062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3.42578125" style="3" bestFit="1" customWidth="1"/>
    <col min="12808" max="12810" width="5.5703125" style="3" bestFit="1" customWidth="1"/>
    <col min="12811" max="12811" width="4.85546875" style="3" bestFit="1" customWidth="1"/>
    <col min="12812" max="12812" width="11.42578125" style="3" customWidth="1"/>
    <col min="12813" max="12813" width="8.5703125" style="3" bestFit="1" customWidth="1"/>
    <col min="12814" max="12814" width="14.14062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3.42578125" style="3" bestFit="1" customWidth="1"/>
    <col min="13064" max="13066" width="5.5703125" style="3" bestFit="1" customWidth="1"/>
    <col min="13067" max="13067" width="4.85546875" style="3" bestFit="1" customWidth="1"/>
    <col min="13068" max="13068" width="11.42578125" style="3" customWidth="1"/>
    <col min="13069" max="13069" width="8.5703125" style="3" bestFit="1" customWidth="1"/>
    <col min="13070" max="13070" width="14.14062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3.42578125" style="3" bestFit="1" customWidth="1"/>
    <col min="13320" max="13322" width="5.5703125" style="3" bestFit="1" customWidth="1"/>
    <col min="13323" max="13323" width="4.85546875" style="3" bestFit="1" customWidth="1"/>
    <col min="13324" max="13324" width="11.42578125" style="3" customWidth="1"/>
    <col min="13325" max="13325" width="8.5703125" style="3" bestFit="1" customWidth="1"/>
    <col min="13326" max="13326" width="14.14062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3.42578125" style="3" bestFit="1" customWidth="1"/>
    <col min="13576" max="13578" width="5.5703125" style="3" bestFit="1" customWidth="1"/>
    <col min="13579" max="13579" width="4.85546875" style="3" bestFit="1" customWidth="1"/>
    <col min="13580" max="13580" width="11.42578125" style="3" customWidth="1"/>
    <col min="13581" max="13581" width="8.5703125" style="3" bestFit="1" customWidth="1"/>
    <col min="13582" max="13582" width="14.14062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3.42578125" style="3" bestFit="1" customWidth="1"/>
    <col min="13832" max="13834" width="5.5703125" style="3" bestFit="1" customWidth="1"/>
    <col min="13835" max="13835" width="4.85546875" style="3" bestFit="1" customWidth="1"/>
    <col min="13836" max="13836" width="11.42578125" style="3" customWidth="1"/>
    <col min="13837" max="13837" width="8.5703125" style="3" bestFit="1" customWidth="1"/>
    <col min="13838" max="13838" width="14.14062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3.42578125" style="3" bestFit="1" customWidth="1"/>
    <col min="14088" max="14090" width="5.5703125" style="3" bestFit="1" customWidth="1"/>
    <col min="14091" max="14091" width="4.85546875" style="3" bestFit="1" customWidth="1"/>
    <col min="14092" max="14092" width="11.42578125" style="3" customWidth="1"/>
    <col min="14093" max="14093" width="8.5703125" style="3" bestFit="1" customWidth="1"/>
    <col min="14094" max="14094" width="14.14062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3.42578125" style="3" bestFit="1" customWidth="1"/>
    <col min="14344" max="14346" width="5.5703125" style="3" bestFit="1" customWidth="1"/>
    <col min="14347" max="14347" width="4.85546875" style="3" bestFit="1" customWidth="1"/>
    <col min="14348" max="14348" width="11.42578125" style="3" customWidth="1"/>
    <col min="14349" max="14349" width="8.5703125" style="3" bestFit="1" customWidth="1"/>
    <col min="14350" max="14350" width="14.14062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3.42578125" style="3" bestFit="1" customWidth="1"/>
    <col min="14600" max="14602" width="5.5703125" style="3" bestFit="1" customWidth="1"/>
    <col min="14603" max="14603" width="4.85546875" style="3" bestFit="1" customWidth="1"/>
    <col min="14604" max="14604" width="11.42578125" style="3" customWidth="1"/>
    <col min="14605" max="14605" width="8.5703125" style="3" bestFit="1" customWidth="1"/>
    <col min="14606" max="14606" width="14.14062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3.42578125" style="3" bestFit="1" customWidth="1"/>
    <col min="14856" max="14858" width="5.5703125" style="3" bestFit="1" customWidth="1"/>
    <col min="14859" max="14859" width="4.85546875" style="3" bestFit="1" customWidth="1"/>
    <col min="14860" max="14860" width="11.42578125" style="3" customWidth="1"/>
    <col min="14861" max="14861" width="8.5703125" style="3" bestFit="1" customWidth="1"/>
    <col min="14862" max="14862" width="14.14062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3.42578125" style="3" bestFit="1" customWidth="1"/>
    <col min="15112" max="15114" width="5.5703125" style="3" bestFit="1" customWidth="1"/>
    <col min="15115" max="15115" width="4.85546875" style="3" bestFit="1" customWidth="1"/>
    <col min="15116" max="15116" width="11.42578125" style="3" customWidth="1"/>
    <col min="15117" max="15117" width="8.5703125" style="3" bestFit="1" customWidth="1"/>
    <col min="15118" max="15118" width="14.14062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3.42578125" style="3" bestFit="1" customWidth="1"/>
    <col min="15368" max="15370" width="5.5703125" style="3" bestFit="1" customWidth="1"/>
    <col min="15371" max="15371" width="4.85546875" style="3" bestFit="1" customWidth="1"/>
    <col min="15372" max="15372" width="11.42578125" style="3" customWidth="1"/>
    <col min="15373" max="15373" width="8.5703125" style="3" bestFit="1" customWidth="1"/>
    <col min="15374" max="15374" width="14.14062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3.42578125" style="3" bestFit="1" customWidth="1"/>
    <col min="15624" max="15626" width="5.5703125" style="3" bestFit="1" customWidth="1"/>
    <col min="15627" max="15627" width="4.85546875" style="3" bestFit="1" customWidth="1"/>
    <col min="15628" max="15628" width="11.42578125" style="3" customWidth="1"/>
    <col min="15629" max="15629" width="8.5703125" style="3" bestFit="1" customWidth="1"/>
    <col min="15630" max="15630" width="14.14062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3.42578125" style="3" bestFit="1" customWidth="1"/>
    <col min="15880" max="15882" width="5.5703125" style="3" bestFit="1" customWidth="1"/>
    <col min="15883" max="15883" width="4.85546875" style="3" bestFit="1" customWidth="1"/>
    <col min="15884" max="15884" width="11.42578125" style="3" customWidth="1"/>
    <col min="15885" max="15885" width="8.5703125" style="3" bestFit="1" customWidth="1"/>
    <col min="15886" max="15886" width="14.14062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3.42578125" style="3" bestFit="1" customWidth="1"/>
    <col min="16136" max="16138" width="5.5703125" style="3" bestFit="1" customWidth="1"/>
    <col min="16139" max="16139" width="4.85546875" style="3" bestFit="1" customWidth="1"/>
    <col min="16140" max="16140" width="11.42578125" style="3" customWidth="1"/>
    <col min="16141" max="16141" width="8.5703125" style="3" bestFit="1" customWidth="1"/>
    <col min="16142" max="16142" width="14.140625" style="3" bestFit="1" customWidth="1"/>
    <col min="16143" max="16384" width="9.140625" style="3"/>
  </cols>
  <sheetData>
    <row r="1" spans="1:14" s="2" customFormat="1" ht="29.1" customHeight="1" x14ac:dyDescent="0.2">
      <c r="A1" s="40" t="s">
        <v>1274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61" t="s">
        <v>225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">
      <c r="A6" s="6" t="s">
        <v>1275</v>
      </c>
      <c r="B6" s="6" t="s">
        <v>1441</v>
      </c>
      <c r="C6" s="6" t="s">
        <v>1276</v>
      </c>
      <c r="D6" s="6" t="s">
        <v>1007</v>
      </c>
      <c r="E6" s="6" t="str">
        <f>"1,1766"</f>
        <v>1,1766</v>
      </c>
      <c r="F6" s="6" t="s">
        <v>65</v>
      </c>
      <c r="G6" s="6" t="s">
        <v>66</v>
      </c>
      <c r="H6" s="8" t="s">
        <v>49</v>
      </c>
      <c r="I6" s="8" t="s">
        <v>230</v>
      </c>
      <c r="J6" s="8" t="s">
        <v>231</v>
      </c>
      <c r="K6" s="7"/>
      <c r="L6" s="6" t="str">
        <f>"52,5"</f>
        <v>52,5</v>
      </c>
      <c r="M6" s="8" t="str">
        <f>"61,7715"</f>
        <v>61,7715</v>
      </c>
      <c r="N6" s="6" t="s">
        <v>799</v>
      </c>
    </row>
    <row r="8" spans="1:14" ht="15" x14ac:dyDescent="0.2">
      <c r="A8" s="32" t="s">
        <v>196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A9" s="6" t="s">
        <v>1277</v>
      </c>
      <c r="B9" s="6" t="s">
        <v>1443</v>
      </c>
      <c r="C9" s="6" t="s">
        <v>1278</v>
      </c>
      <c r="D9" s="6" t="s">
        <v>1279</v>
      </c>
      <c r="E9" s="6" t="str">
        <f>"1,1478"</f>
        <v>1,1478</v>
      </c>
      <c r="F9" s="6" t="s">
        <v>65</v>
      </c>
      <c r="G9" s="6" t="s">
        <v>66</v>
      </c>
      <c r="H9" s="8" t="s">
        <v>32</v>
      </c>
      <c r="I9" s="8" t="s">
        <v>41</v>
      </c>
      <c r="J9" s="7" t="s">
        <v>659</v>
      </c>
      <c r="K9" s="7"/>
      <c r="L9" s="6" t="str">
        <f>"82,5"</f>
        <v>82,5</v>
      </c>
      <c r="M9" s="8" t="str">
        <f>"94,6935"</f>
        <v>94,6935</v>
      </c>
      <c r="N9" s="6" t="s">
        <v>1280</v>
      </c>
    </row>
    <row r="11" spans="1:14" ht="15" x14ac:dyDescent="0.2">
      <c r="A11" s="32" t="s">
        <v>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x14ac:dyDescent="0.2">
      <c r="A12" s="6" t="s">
        <v>1281</v>
      </c>
      <c r="B12" s="6" t="s">
        <v>1438</v>
      </c>
      <c r="C12" s="6" t="s">
        <v>1282</v>
      </c>
      <c r="D12" s="6" t="s">
        <v>620</v>
      </c>
      <c r="E12" s="6" t="str">
        <f>"1,0455"</f>
        <v>1,0455</v>
      </c>
      <c r="F12" s="6" t="s">
        <v>14</v>
      </c>
      <c r="G12" s="6" t="s">
        <v>495</v>
      </c>
      <c r="H12" s="8" t="s">
        <v>231</v>
      </c>
      <c r="I12" s="8" t="s">
        <v>598</v>
      </c>
      <c r="J12" s="8" t="s">
        <v>594</v>
      </c>
      <c r="K12" s="7"/>
      <c r="L12" s="6" t="str">
        <f>"57,5"</f>
        <v>57,5</v>
      </c>
      <c r="M12" s="8" t="str">
        <f>"60,1163"</f>
        <v>60,1163</v>
      </c>
      <c r="N12" s="6" t="s">
        <v>799</v>
      </c>
    </row>
    <row r="14" spans="1:14" ht="15" x14ac:dyDescent="0.2">
      <c r="A14" s="32" t="s">
        <v>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x14ac:dyDescent="0.2">
      <c r="A15" s="6" t="s">
        <v>1283</v>
      </c>
      <c r="B15" s="6" t="s">
        <v>1439</v>
      </c>
      <c r="C15" s="6" t="s">
        <v>1284</v>
      </c>
      <c r="D15" s="6" t="s">
        <v>13</v>
      </c>
      <c r="E15" s="6" t="str">
        <f>"0,7729"</f>
        <v>0,7729</v>
      </c>
      <c r="F15" s="6" t="s">
        <v>14</v>
      </c>
      <c r="G15" s="6" t="s">
        <v>1285</v>
      </c>
      <c r="H15" s="8" t="s">
        <v>659</v>
      </c>
      <c r="I15" s="7" t="s">
        <v>68</v>
      </c>
      <c r="J15" s="7" t="s">
        <v>114</v>
      </c>
      <c r="K15" s="7"/>
      <c r="L15" s="6" t="str">
        <f>"85,0"</f>
        <v>85,0</v>
      </c>
      <c r="M15" s="8" t="str">
        <f>"65,6965"</f>
        <v>65,6965</v>
      </c>
      <c r="N15" s="6" t="s">
        <v>1286</v>
      </c>
    </row>
    <row r="17" spans="1:14" ht="15" x14ac:dyDescent="0.2">
      <c r="A17" s="32" t="s">
        <v>19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x14ac:dyDescent="0.2">
      <c r="A18" s="6" t="s">
        <v>1287</v>
      </c>
      <c r="B18" s="6" t="s">
        <v>1438</v>
      </c>
      <c r="C18" s="6" t="s">
        <v>1288</v>
      </c>
      <c r="D18" s="6" t="s">
        <v>841</v>
      </c>
      <c r="E18" s="6" t="str">
        <f>"0,7152"</f>
        <v>0,7152</v>
      </c>
      <c r="F18" s="6" t="s">
        <v>65</v>
      </c>
      <c r="G18" s="6" t="s">
        <v>66</v>
      </c>
      <c r="H18" s="8" t="s">
        <v>83</v>
      </c>
      <c r="I18" s="7" t="s">
        <v>323</v>
      </c>
      <c r="J18" s="7" t="s">
        <v>323</v>
      </c>
      <c r="K18" s="7"/>
      <c r="L18" s="6" t="str">
        <f>"110,0"</f>
        <v>110,0</v>
      </c>
      <c r="M18" s="8" t="str">
        <f>"78,6720"</f>
        <v>78,6720</v>
      </c>
      <c r="N18" s="6"/>
    </row>
    <row r="20" spans="1:14" ht="15" x14ac:dyDescent="0.2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x14ac:dyDescent="0.2">
      <c r="A21" s="6" t="s">
        <v>1289</v>
      </c>
      <c r="B21" s="6" t="s">
        <v>1443</v>
      </c>
      <c r="C21" s="6" t="s">
        <v>1284</v>
      </c>
      <c r="D21" s="6" t="s">
        <v>1290</v>
      </c>
      <c r="E21" s="6" t="str">
        <f>"0,6699"</f>
        <v>0,6699</v>
      </c>
      <c r="F21" s="6" t="s">
        <v>65</v>
      </c>
      <c r="G21" s="6" t="s">
        <v>66</v>
      </c>
      <c r="H21" s="8" t="s">
        <v>887</v>
      </c>
      <c r="I21" s="8" t="s">
        <v>774</v>
      </c>
      <c r="J21" s="8" t="s">
        <v>243</v>
      </c>
      <c r="K21" s="7"/>
      <c r="L21" s="6" t="str">
        <f>"182,5"</f>
        <v>182,5</v>
      </c>
      <c r="M21" s="8" t="str">
        <f>"122,2568"</f>
        <v>122,2568</v>
      </c>
      <c r="N21" s="6"/>
    </row>
    <row r="23" spans="1:14" ht="15" x14ac:dyDescent="0.2">
      <c r="A23" s="32" t="s">
        <v>50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x14ac:dyDescent="0.2">
      <c r="A24" s="9" t="s">
        <v>1291</v>
      </c>
      <c r="B24" s="9" t="s">
        <v>1444</v>
      </c>
      <c r="C24" s="9" t="s">
        <v>1292</v>
      </c>
      <c r="D24" s="9" t="s">
        <v>1169</v>
      </c>
      <c r="E24" s="9" t="str">
        <f>"0,6384"</f>
        <v>0,6384</v>
      </c>
      <c r="F24" s="9" t="s">
        <v>14</v>
      </c>
      <c r="G24" s="9" t="s">
        <v>718</v>
      </c>
      <c r="H24" s="10" t="s">
        <v>388</v>
      </c>
      <c r="I24" s="10" t="s">
        <v>432</v>
      </c>
      <c r="J24" s="25" t="s">
        <v>438</v>
      </c>
      <c r="K24" s="25"/>
      <c r="L24" s="9" t="str">
        <f>"217,5"</f>
        <v>217,5</v>
      </c>
      <c r="M24" s="10" t="str">
        <f>"138,8520"</f>
        <v>138,8520</v>
      </c>
      <c r="N24" s="9" t="s">
        <v>1293</v>
      </c>
    </row>
    <row r="25" spans="1:14" x14ac:dyDescent="0.2">
      <c r="A25" s="11" t="s">
        <v>1294</v>
      </c>
      <c r="B25" s="11" t="s">
        <v>1443</v>
      </c>
      <c r="C25" s="11" t="s">
        <v>52</v>
      </c>
      <c r="D25" s="11" t="s">
        <v>53</v>
      </c>
      <c r="E25" s="11" t="str">
        <f>"0,6562"</f>
        <v>0,6562</v>
      </c>
      <c r="F25" s="11" t="s">
        <v>14</v>
      </c>
      <c r="G25" s="11" t="s">
        <v>54</v>
      </c>
      <c r="H25" s="13" t="s">
        <v>426</v>
      </c>
      <c r="I25" s="13" t="s">
        <v>467</v>
      </c>
      <c r="J25" s="13" t="s">
        <v>269</v>
      </c>
      <c r="K25" s="12"/>
      <c r="L25" s="11" t="str">
        <f>"165,0"</f>
        <v>165,0</v>
      </c>
      <c r="M25" s="13" t="str">
        <f>"108,2730"</f>
        <v>108,2730</v>
      </c>
      <c r="N25" s="11"/>
    </row>
    <row r="26" spans="1:14" x14ac:dyDescent="0.2">
      <c r="A26" s="14" t="s">
        <v>51</v>
      </c>
      <c r="B26" s="14" t="s">
        <v>1443</v>
      </c>
      <c r="C26" s="14" t="s">
        <v>907</v>
      </c>
      <c r="D26" s="14" t="s">
        <v>53</v>
      </c>
      <c r="E26" s="14" t="str">
        <f>"0,6562"</f>
        <v>0,6562</v>
      </c>
      <c r="F26" s="14" t="s">
        <v>14</v>
      </c>
      <c r="G26" s="14" t="s">
        <v>54</v>
      </c>
      <c r="H26" s="16" t="s">
        <v>426</v>
      </c>
      <c r="I26" s="16" t="s">
        <v>467</v>
      </c>
      <c r="J26" s="16" t="s">
        <v>269</v>
      </c>
      <c r="K26" s="15"/>
      <c r="L26" s="14" t="str">
        <f>"165,0"</f>
        <v>165,0</v>
      </c>
      <c r="M26" s="16" t="str">
        <f>"139,7804"</f>
        <v>139,7804</v>
      </c>
      <c r="N26" s="14"/>
    </row>
    <row r="28" spans="1:14" ht="15" x14ac:dyDescent="0.2">
      <c r="A28" s="32" t="s">
        <v>70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x14ac:dyDescent="0.2">
      <c r="A29" s="9" t="s">
        <v>1295</v>
      </c>
      <c r="B29" s="9" t="s">
        <v>1444</v>
      </c>
      <c r="C29" s="9" t="s">
        <v>1296</v>
      </c>
      <c r="D29" s="9" t="s">
        <v>1297</v>
      </c>
      <c r="E29" s="9" t="str">
        <f>"0,6086"</f>
        <v>0,6086</v>
      </c>
      <c r="F29" s="9" t="s">
        <v>65</v>
      </c>
      <c r="G29" s="9" t="s">
        <v>66</v>
      </c>
      <c r="H29" s="10" t="s">
        <v>280</v>
      </c>
      <c r="I29" s="10" t="s">
        <v>412</v>
      </c>
      <c r="J29" s="10" t="s">
        <v>957</v>
      </c>
      <c r="K29" s="25"/>
      <c r="L29" s="9" t="str">
        <f>"207,5"</f>
        <v>207,5</v>
      </c>
      <c r="M29" s="10" t="str">
        <f>"126,2845"</f>
        <v>126,2845</v>
      </c>
      <c r="N29" s="9" t="s">
        <v>894</v>
      </c>
    </row>
    <row r="30" spans="1:14" x14ac:dyDescent="0.2">
      <c r="A30" s="11" t="s">
        <v>1298</v>
      </c>
      <c r="B30" s="11" t="s">
        <v>1437</v>
      </c>
      <c r="C30" s="11" t="s">
        <v>1299</v>
      </c>
      <c r="D30" s="11" t="s">
        <v>1076</v>
      </c>
      <c r="E30" s="11" t="str">
        <f>"0,6194"</f>
        <v>0,6194</v>
      </c>
      <c r="F30" s="11" t="s">
        <v>65</v>
      </c>
      <c r="G30" s="11" t="s">
        <v>66</v>
      </c>
      <c r="H30" s="13" t="s">
        <v>664</v>
      </c>
      <c r="I30" s="12" t="s">
        <v>467</v>
      </c>
      <c r="J30" s="12" t="s">
        <v>467</v>
      </c>
      <c r="K30" s="12"/>
      <c r="L30" s="11" t="str">
        <f>"145,0"</f>
        <v>145,0</v>
      </c>
      <c r="M30" s="13" t="str">
        <f>"89,8130"</f>
        <v>89,8130</v>
      </c>
      <c r="N30" s="11" t="s">
        <v>62</v>
      </c>
    </row>
    <row r="31" spans="1:14" x14ac:dyDescent="0.2">
      <c r="A31" s="11" t="s">
        <v>1300</v>
      </c>
      <c r="B31" s="11" t="s">
        <v>1436</v>
      </c>
      <c r="C31" s="11" t="s">
        <v>1301</v>
      </c>
      <c r="D31" s="11" t="s">
        <v>732</v>
      </c>
      <c r="E31" s="11" t="str">
        <f>"0,6116"</f>
        <v>0,6116</v>
      </c>
      <c r="F31" s="11" t="s">
        <v>65</v>
      </c>
      <c r="G31" s="11" t="s">
        <v>66</v>
      </c>
      <c r="H31" s="12" t="s">
        <v>255</v>
      </c>
      <c r="I31" s="12" t="s">
        <v>270</v>
      </c>
      <c r="J31" s="12" t="s">
        <v>270</v>
      </c>
      <c r="K31" s="12"/>
      <c r="L31" s="11" t="str">
        <f>"0,0"</f>
        <v>0,0</v>
      </c>
      <c r="M31" s="13" t="str">
        <f>"0,0000"</f>
        <v>0,0000</v>
      </c>
      <c r="N31" s="11" t="s">
        <v>62</v>
      </c>
    </row>
    <row r="32" spans="1:14" x14ac:dyDescent="0.2">
      <c r="A32" s="11" t="s">
        <v>1295</v>
      </c>
      <c r="B32" s="11" t="s">
        <v>1444</v>
      </c>
      <c r="C32" s="11" t="s">
        <v>1302</v>
      </c>
      <c r="D32" s="11" t="s">
        <v>1297</v>
      </c>
      <c r="E32" s="11" t="str">
        <f>"0,6086"</f>
        <v>0,6086</v>
      </c>
      <c r="F32" s="11" t="s">
        <v>65</v>
      </c>
      <c r="G32" s="11" t="s">
        <v>66</v>
      </c>
      <c r="H32" s="13" t="s">
        <v>280</v>
      </c>
      <c r="I32" s="13" t="s">
        <v>412</v>
      </c>
      <c r="J32" s="13" t="s">
        <v>957</v>
      </c>
      <c r="K32" s="12"/>
      <c r="L32" s="11" t="str">
        <f>"207,5"</f>
        <v>207,5</v>
      </c>
      <c r="M32" s="13" t="str">
        <f>"131,7147"</f>
        <v>131,7147</v>
      </c>
      <c r="N32" s="11" t="s">
        <v>894</v>
      </c>
    </row>
    <row r="33" spans="1:14" x14ac:dyDescent="0.2">
      <c r="A33" s="11" t="s">
        <v>1303</v>
      </c>
      <c r="B33" s="11" t="s">
        <v>1442</v>
      </c>
      <c r="C33" s="11" t="s">
        <v>1304</v>
      </c>
      <c r="D33" s="11" t="s">
        <v>1305</v>
      </c>
      <c r="E33" s="11" t="str">
        <f>"0,6121"</f>
        <v>0,6121</v>
      </c>
      <c r="F33" s="11" t="s">
        <v>14</v>
      </c>
      <c r="G33" s="11" t="s">
        <v>93</v>
      </c>
      <c r="H33" s="13" t="s">
        <v>400</v>
      </c>
      <c r="I33" s="12" t="s">
        <v>269</v>
      </c>
      <c r="J33" s="12"/>
      <c r="K33" s="12"/>
      <c r="L33" s="11" t="str">
        <f>"160,0"</f>
        <v>160,0</v>
      </c>
      <c r="M33" s="13" t="str">
        <f>"99,8947"</f>
        <v>99,8947</v>
      </c>
      <c r="N33" s="11" t="s">
        <v>1306</v>
      </c>
    </row>
    <row r="34" spans="1:14" x14ac:dyDescent="0.2">
      <c r="A34" s="14" t="s">
        <v>1307</v>
      </c>
      <c r="B34" s="14" t="s">
        <v>1437</v>
      </c>
      <c r="C34" s="14" t="s">
        <v>1308</v>
      </c>
      <c r="D34" s="14" t="s">
        <v>78</v>
      </c>
      <c r="E34" s="14" t="str">
        <f>"0,6220"</f>
        <v>0,6220</v>
      </c>
      <c r="F34" s="14" t="s">
        <v>65</v>
      </c>
      <c r="G34" s="14" t="s">
        <v>66</v>
      </c>
      <c r="H34" s="16" t="s">
        <v>355</v>
      </c>
      <c r="I34" s="15" t="s">
        <v>664</v>
      </c>
      <c r="J34" s="16" t="s">
        <v>664</v>
      </c>
      <c r="K34" s="15"/>
      <c r="L34" s="14" t="str">
        <f>"145,0"</f>
        <v>145,0</v>
      </c>
      <c r="M34" s="16" t="str">
        <f>"91,9938"</f>
        <v>91,9938</v>
      </c>
      <c r="N34" s="14"/>
    </row>
    <row r="36" spans="1:14" ht="15" x14ac:dyDescent="0.2">
      <c r="A36" s="32" t="s">
        <v>81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x14ac:dyDescent="0.2">
      <c r="A37" s="9" t="s">
        <v>1309</v>
      </c>
      <c r="B37" s="9" t="s">
        <v>1444</v>
      </c>
      <c r="C37" s="9" t="s">
        <v>724</v>
      </c>
      <c r="D37" s="9" t="s">
        <v>1310</v>
      </c>
      <c r="E37" s="9" t="str">
        <f>"0,5905"</f>
        <v>0,5905</v>
      </c>
      <c r="F37" s="9" t="s">
        <v>65</v>
      </c>
      <c r="G37" s="9" t="s">
        <v>66</v>
      </c>
      <c r="H37" s="10" t="s">
        <v>413</v>
      </c>
      <c r="I37" s="10" t="s">
        <v>535</v>
      </c>
      <c r="J37" s="25" t="s">
        <v>1311</v>
      </c>
      <c r="K37" s="25"/>
      <c r="L37" s="9" t="str">
        <f>"225,0"</f>
        <v>225,0</v>
      </c>
      <c r="M37" s="10" t="str">
        <f>"132,8625"</f>
        <v>132,8625</v>
      </c>
      <c r="N37" s="9" t="s">
        <v>1312</v>
      </c>
    </row>
    <row r="38" spans="1:14" x14ac:dyDescent="0.2">
      <c r="A38" s="11" t="s">
        <v>1313</v>
      </c>
      <c r="B38" s="11" t="s">
        <v>1443</v>
      </c>
      <c r="C38" s="11" t="s">
        <v>1314</v>
      </c>
      <c r="D38" s="11" t="s">
        <v>1315</v>
      </c>
      <c r="E38" s="11" t="str">
        <f>"0,5964"</f>
        <v>0,5964</v>
      </c>
      <c r="F38" s="11" t="s">
        <v>65</v>
      </c>
      <c r="G38" s="11" t="s">
        <v>66</v>
      </c>
      <c r="H38" s="13" t="s">
        <v>388</v>
      </c>
      <c r="I38" s="13" t="s">
        <v>442</v>
      </c>
      <c r="J38" s="12" t="s">
        <v>507</v>
      </c>
      <c r="K38" s="12"/>
      <c r="L38" s="11" t="str">
        <f>"220,0"</f>
        <v>220,0</v>
      </c>
      <c r="M38" s="13" t="str">
        <f>"131,2080"</f>
        <v>131,2080</v>
      </c>
      <c r="N38" s="11" t="s">
        <v>1316</v>
      </c>
    </row>
    <row r="39" spans="1:14" x14ac:dyDescent="0.2">
      <c r="A39" s="11" t="s">
        <v>1317</v>
      </c>
      <c r="B39" s="11" t="s">
        <v>1442</v>
      </c>
      <c r="C39" s="11" t="s">
        <v>1318</v>
      </c>
      <c r="D39" s="11" t="s">
        <v>1310</v>
      </c>
      <c r="E39" s="11" t="str">
        <f>"0,5905"</f>
        <v>0,5905</v>
      </c>
      <c r="F39" s="11" t="s">
        <v>14</v>
      </c>
      <c r="G39" s="11" t="s">
        <v>877</v>
      </c>
      <c r="H39" s="13" t="s">
        <v>255</v>
      </c>
      <c r="I39" s="13" t="s">
        <v>270</v>
      </c>
      <c r="J39" s="12" t="s">
        <v>279</v>
      </c>
      <c r="K39" s="12"/>
      <c r="L39" s="11" t="str">
        <f>"190,0"</f>
        <v>190,0</v>
      </c>
      <c r="M39" s="13" t="str">
        <f>"112,1950"</f>
        <v>112,1950</v>
      </c>
      <c r="N39" s="11" t="s">
        <v>1319</v>
      </c>
    </row>
    <row r="41" spans="1:14" ht="15" x14ac:dyDescent="0.2">
      <c r="A41" s="32" t="s">
        <v>84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x14ac:dyDescent="0.2">
      <c r="A42" s="9" t="s">
        <v>1322</v>
      </c>
      <c r="B42" s="9" t="s">
        <v>1443</v>
      </c>
      <c r="C42" s="9" t="s">
        <v>1323</v>
      </c>
      <c r="D42" s="9" t="s">
        <v>1324</v>
      </c>
      <c r="E42" s="9" t="str">
        <f>"0,5747"</f>
        <v>0,5747</v>
      </c>
      <c r="F42" s="9" t="s">
        <v>277</v>
      </c>
      <c r="G42" s="9" t="s">
        <v>278</v>
      </c>
      <c r="H42" s="10" t="s">
        <v>507</v>
      </c>
      <c r="I42" s="10" t="s">
        <v>536</v>
      </c>
      <c r="J42" s="25" t="s">
        <v>394</v>
      </c>
      <c r="K42" s="25"/>
      <c r="L42" s="9" t="str">
        <f>"235,0"</f>
        <v>235,0</v>
      </c>
      <c r="M42" s="10" t="str">
        <f>"135,0545"</f>
        <v>135,0545</v>
      </c>
      <c r="N42" s="9" t="s">
        <v>1325</v>
      </c>
    </row>
    <row r="43" spans="1:14" x14ac:dyDescent="0.2">
      <c r="A43" s="11" t="s">
        <v>1326</v>
      </c>
      <c r="B43" s="11" t="s">
        <v>1443</v>
      </c>
      <c r="C43" s="11" t="s">
        <v>1327</v>
      </c>
      <c r="D43" s="11" t="s">
        <v>1328</v>
      </c>
      <c r="E43" s="11" t="str">
        <f>"0,5757"</f>
        <v>0,5757</v>
      </c>
      <c r="F43" s="11" t="s">
        <v>14</v>
      </c>
      <c r="G43" s="11" t="s">
        <v>133</v>
      </c>
      <c r="H43" s="13" t="s">
        <v>388</v>
      </c>
      <c r="I43" s="13" t="s">
        <v>442</v>
      </c>
      <c r="J43" s="13" t="s">
        <v>535</v>
      </c>
      <c r="K43" s="12"/>
      <c r="L43" s="11" t="str">
        <f>"225,0"</f>
        <v>225,0</v>
      </c>
      <c r="M43" s="13" t="str">
        <f>"129,5325"</f>
        <v>129,5325</v>
      </c>
      <c r="N43" s="11"/>
    </row>
    <row r="44" spans="1:14" x14ac:dyDescent="0.2">
      <c r="A44" s="14" t="s">
        <v>1329</v>
      </c>
      <c r="B44" s="14" t="s">
        <v>1443</v>
      </c>
      <c r="C44" s="14" t="s">
        <v>1330</v>
      </c>
      <c r="D44" s="14" t="s">
        <v>1331</v>
      </c>
      <c r="E44" s="14" t="str">
        <f>"0,5821"</f>
        <v>0,5821</v>
      </c>
      <c r="F44" s="14" t="s">
        <v>65</v>
      </c>
      <c r="G44" s="14" t="s">
        <v>66</v>
      </c>
      <c r="H44" s="16" t="s">
        <v>769</v>
      </c>
      <c r="I44" s="16" t="s">
        <v>449</v>
      </c>
      <c r="J44" s="16" t="s">
        <v>383</v>
      </c>
      <c r="K44" s="15"/>
      <c r="L44" s="14" t="str">
        <f>"197,5"</f>
        <v>197,5</v>
      </c>
      <c r="M44" s="16" t="str">
        <f>"118,5287"</f>
        <v>118,5287</v>
      </c>
      <c r="N44" s="14" t="s">
        <v>62</v>
      </c>
    </row>
    <row r="46" spans="1:14" ht="15" x14ac:dyDescent="0.2">
      <c r="A46" s="32" t="s">
        <v>182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x14ac:dyDescent="0.2">
      <c r="A47" s="9" t="s">
        <v>1332</v>
      </c>
      <c r="B47" s="9" t="s">
        <v>1443</v>
      </c>
      <c r="C47" s="9" t="s">
        <v>1333</v>
      </c>
      <c r="D47" s="9" t="s">
        <v>1334</v>
      </c>
      <c r="E47" s="9" t="str">
        <f>"0,5617"</f>
        <v>0,5617</v>
      </c>
      <c r="F47" s="9" t="s">
        <v>65</v>
      </c>
      <c r="G47" s="9" t="s">
        <v>66</v>
      </c>
      <c r="H47" s="10" t="s">
        <v>442</v>
      </c>
      <c r="I47" s="25" t="s">
        <v>507</v>
      </c>
      <c r="J47" s="10" t="s">
        <v>507</v>
      </c>
      <c r="K47" s="25"/>
      <c r="L47" s="9" t="str">
        <f>"230,0"</f>
        <v>230,0</v>
      </c>
      <c r="M47" s="10" t="str">
        <f>"129,1910"</f>
        <v>129,1910</v>
      </c>
      <c r="N47" s="9" t="s">
        <v>894</v>
      </c>
    </row>
    <row r="48" spans="1:14" x14ac:dyDescent="0.2">
      <c r="A48" s="14" t="s">
        <v>1332</v>
      </c>
      <c r="B48" s="14" t="s">
        <v>1443</v>
      </c>
      <c r="C48" s="14" t="s">
        <v>1335</v>
      </c>
      <c r="D48" s="14" t="s">
        <v>1334</v>
      </c>
      <c r="E48" s="14" t="str">
        <f>"0,5617"</f>
        <v>0,5617</v>
      </c>
      <c r="F48" s="14" t="s">
        <v>65</v>
      </c>
      <c r="G48" s="14" t="s">
        <v>66</v>
      </c>
      <c r="H48" s="16" t="s">
        <v>442</v>
      </c>
      <c r="I48" s="15" t="s">
        <v>507</v>
      </c>
      <c r="J48" s="16" t="s">
        <v>507</v>
      </c>
      <c r="K48" s="15"/>
      <c r="L48" s="14" t="str">
        <f>"230,0"</f>
        <v>230,0</v>
      </c>
      <c r="M48" s="16" t="str">
        <f>"129,1910"</f>
        <v>129,1910</v>
      </c>
      <c r="N48" s="14" t="s">
        <v>894</v>
      </c>
    </row>
    <row r="50" spans="1:14" ht="15" x14ac:dyDescent="0.2">
      <c r="F50" s="17" t="s">
        <v>96</v>
      </c>
    </row>
    <row r="51" spans="1:14" ht="15" x14ac:dyDescent="0.2">
      <c r="F51" s="17" t="s">
        <v>97</v>
      </c>
    </row>
    <row r="52" spans="1:14" ht="15" x14ac:dyDescent="0.2">
      <c r="F52" s="17" t="s">
        <v>98</v>
      </c>
    </row>
    <row r="53" spans="1:14" ht="15" x14ac:dyDescent="0.2">
      <c r="F53" s="17"/>
    </row>
    <row r="55" spans="1:14" ht="18" x14ac:dyDescent="0.25">
      <c r="A55" s="18" t="s">
        <v>99</v>
      </c>
      <c r="B55" s="18"/>
      <c r="C55" s="18"/>
    </row>
    <row r="56" spans="1:14" ht="15" x14ac:dyDescent="0.2">
      <c r="A56" s="19" t="s">
        <v>100</v>
      </c>
      <c r="B56" s="19"/>
      <c r="C56" s="19"/>
    </row>
    <row r="57" spans="1:14" ht="14.25" x14ac:dyDescent="0.2">
      <c r="A57" s="21"/>
      <c r="B57" s="21"/>
      <c r="C57" s="22" t="s">
        <v>107</v>
      </c>
    </row>
    <row r="58" spans="1:14" ht="15" x14ac:dyDescent="0.2">
      <c r="A58" s="23" t="s">
        <v>101</v>
      </c>
      <c r="B58" s="23"/>
      <c r="C58" s="23" t="s">
        <v>102</v>
      </c>
      <c r="D58" s="23" t="s">
        <v>103</v>
      </c>
      <c r="E58" s="23" t="s">
        <v>104</v>
      </c>
      <c r="F58" s="23" t="s">
        <v>291</v>
      </c>
    </row>
    <row r="59" spans="1:14" x14ac:dyDescent="0.2">
      <c r="A59" s="20" t="s">
        <v>1336</v>
      </c>
      <c r="B59" s="20"/>
      <c r="C59" s="4" t="s">
        <v>107</v>
      </c>
      <c r="D59" s="4" t="s">
        <v>68</v>
      </c>
      <c r="E59" s="4" t="s">
        <v>432</v>
      </c>
      <c r="F59" s="24" t="s">
        <v>1337</v>
      </c>
    </row>
    <row r="60" spans="1:14" x14ac:dyDescent="0.2">
      <c r="A60" s="20" t="s">
        <v>1338</v>
      </c>
      <c r="B60" s="20"/>
      <c r="C60" s="4" t="s">
        <v>107</v>
      </c>
      <c r="D60" s="4" t="s">
        <v>304</v>
      </c>
      <c r="E60" s="4" t="s">
        <v>536</v>
      </c>
      <c r="F60" s="24" t="s">
        <v>1339</v>
      </c>
    </row>
    <row r="61" spans="1:14" x14ac:dyDescent="0.2">
      <c r="A61" s="20" t="s">
        <v>1340</v>
      </c>
      <c r="B61" s="20"/>
      <c r="C61" s="4" t="s">
        <v>107</v>
      </c>
      <c r="D61" s="4" t="s">
        <v>83</v>
      </c>
      <c r="E61" s="4" t="s">
        <v>535</v>
      </c>
      <c r="F61" s="24" t="s">
        <v>1341</v>
      </c>
    </row>
    <row r="64" spans="1:14" x14ac:dyDescent="0.2">
      <c r="A64" s="3"/>
      <c r="B64" s="3"/>
      <c r="C64" s="3"/>
      <c r="D64" s="3"/>
      <c r="E64" s="3"/>
      <c r="F64" s="3"/>
      <c r="G64" s="3"/>
      <c r="L64" s="3"/>
      <c r="N64" s="3"/>
    </row>
    <row r="65" spans="1:14" x14ac:dyDescent="0.2">
      <c r="A65" s="3"/>
      <c r="B65" s="3"/>
      <c r="C65" s="3"/>
      <c r="D65" s="3"/>
      <c r="E65" s="3"/>
      <c r="F65" s="3"/>
      <c r="G65" s="3"/>
      <c r="L65" s="3"/>
      <c r="N65" s="3"/>
    </row>
    <row r="66" spans="1:14" x14ac:dyDescent="0.2">
      <c r="A66" s="3"/>
      <c r="B66" s="3"/>
      <c r="C66" s="3"/>
      <c r="D66" s="3"/>
      <c r="E66" s="3"/>
      <c r="F66" s="3"/>
      <c r="G66" s="3"/>
      <c r="L66" s="3"/>
      <c r="N66" s="3"/>
    </row>
    <row r="67" spans="1:14" x14ac:dyDescent="0.2">
      <c r="A67" s="3"/>
      <c r="B67" s="3"/>
      <c r="C67" s="3"/>
      <c r="D67" s="3"/>
      <c r="E67" s="3"/>
      <c r="F67" s="3"/>
      <c r="G67" s="3"/>
      <c r="L67" s="3"/>
      <c r="N67" s="3"/>
    </row>
    <row r="68" spans="1:14" x14ac:dyDescent="0.2">
      <c r="A68" s="3"/>
      <c r="B68" s="3"/>
      <c r="C68" s="3"/>
      <c r="D68" s="3"/>
      <c r="E68" s="3"/>
      <c r="F68" s="3"/>
      <c r="G68" s="3"/>
      <c r="L68" s="3"/>
      <c r="N68" s="3"/>
    </row>
    <row r="69" spans="1:14" x14ac:dyDescent="0.2">
      <c r="A69" s="3"/>
      <c r="B69" s="3"/>
      <c r="C69" s="3"/>
      <c r="D69" s="3"/>
      <c r="E69" s="3"/>
      <c r="F69" s="3"/>
      <c r="G69" s="3"/>
      <c r="L69" s="3"/>
      <c r="N69" s="3"/>
    </row>
    <row r="70" spans="1:14" x14ac:dyDescent="0.2">
      <c r="A70" s="3"/>
      <c r="B70" s="3"/>
      <c r="C70" s="3"/>
      <c r="D70" s="3"/>
      <c r="E70" s="3"/>
      <c r="F70" s="3"/>
      <c r="G70" s="3"/>
      <c r="L70" s="3"/>
      <c r="N70" s="3"/>
    </row>
    <row r="71" spans="1:14" x14ac:dyDescent="0.2">
      <c r="A71" s="3"/>
      <c r="B71" s="3"/>
      <c r="C71" s="3"/>
      <c r="D71" s="3"/>
      <c r="E71" s="3"/>
      <c r="F71" s="3"/>
      <c r="G71" s="3"/>
      <c r="L71" s="3"/>
      <c r="N71" s="3"/>
    </row>
    <row r="72" spans="1:14" x14ac:dyDescent="0.2">
      <c r="A72" s="3"/>
      <c r="B72" s="3"/>
      <c r="C72" s="3"/>
      <c r="D72" s="3"/>
      <c r="E72" s="3"/>
      <c r="F72" s="3"/>
      <c r="G72" s="3"/>
      <c r="L72" s="3"/>
      <c r="N72" s="3"/>
    </row>
    <row r="73" spans="1:14" x14ac:dyDescent="0.2">
      <c r="A73" s="3"/>
      <c r="B73" s="3"/>
      <c r="C73" s="3"/>
      <c r="D73" s="3"/>
      <c r="E73" s="3"/>
      <c r="F73" s="3"/>
      <c r="G73" s="3"/>
      <c r="L73" s="3"/>
      <c r="N73" s="3"/>
    </row>
    <row r="74" spans="1:14" x14ac:dyDescent="0.2">
      <c r="A74" s="3"/>
      <c r="B74" s="3"/>
      <c r="C74" s="3"/>
      <c r="D74" s="3"/>
      <c r="E74" s="3"/>
      <c r="F74" s="3"/>
      <c r="G74" s="3"/>
      <c r="L74" s="3"/>
      <c r="N74" s="3"/>
    </row>
    <row r="75" spans="1:14" x14ac:dyDescent="0.2">
      <c r="A75" s="3"/>
      <c r="B75" s="3"/>
      <c r="C75" s="3"/>
      <c r="D75" s="3"/>
      <c r="E75" s="3"/>
      <c r="F75" s="3"/>
      <c r="G75" s="3"/>
      <c r="L75" s="3"/>
      <c r="N75" s="3"/>
    </row>
    <row r="76" spans="1:14" x14ac:dyDescent="0.2">
      <c r="A76" s="3"/>
      <c r="B76" s="3"/>
      <c r="C76" s="3"/>
      <c r="D76" s="3"/>
      <c r="E76" s="3"/>
      <c r="F76" s="3"/>
      <c r="G76" s="3"/>
      <c r="L76" s="3"/>
      <c r="N76" s="3"/>
    </row>
    <row r="77" spans="1:14" x14ac:dyDescent="0.2">
      <c r="A77" s="3"/>
      <c r="B77" s="3"/>
      <c r="C77" s="3"/>
      <c r="D77" s="3"/>
      <c r="E77" s="3"/>
      <c r="F77" s="3"/>
      <c r="G77" s="3"/>
      <c r="L77" s="3"/>
      <c r="N77" s="3"/>
    </row>
    <row r="78" spans="1:14" x14ac:dyDescent="0.2">
      <c r="A78" s="3"/>
      <c r="B78" s="3"/>
      <c r="C78" s="3"/>
      <c r="D78" s="3"/>
      <c r="E78" s="3"/>
      <c r="F78" s="3"/>
      <c r="G78" s="3"/>
      <c r="L78" s="3"/>
      <c r="N78" s="3"/>
    </row>
    <row r="79" spans="1:14" x14ac:dyDescent="0.2">
      <c r="A79" s="3"/>
      <c r="B79" s="3"/>
      <c r="C79" s="3"/>
      <c r="D79" s="3"/>
      <c r="E79" s="3"/>
      <c r="F79" s="3"/>
      <c r="G79" s="3"/>
      <c r="L79" s="3"/>
      <c r="N79" s="3"/>
    </row>
    <row r="80" spans="1:14" x14ac:dyDescent="0.2">
      <c r="A80" s="3"/>
      <c r="B80" s="3"/>
      <c r="C80" s="3"/>
      <c r="D80" s="3"/>
      <c r="E80" s="3"/>
      <c r="F80" s="3"/>
      <c r="G80" s="3"/>
      <c r="L80" s="3"/>
      <c r="N80" s="3"/>
    </row>
    <row r="81" spans="1:14" x14ac:dyDescent="0.2">
      <c r="A81" s="3"/>
      <c r="B81" s="3"/>
      <c r="C81" s="3"/>
      <c r="D81" s="3"/>
      <c r="E81" s="3"/>
      <c r="F81" s="3"/>
      <c r="G81" s="3"/>
      <c r="L81" s="3"/>
      <c r="N81" s="3"/>
    </row>
    <row r="82" spans="1:14" x14ac:dyDescent="0.2">
      <c r="A82" s="3"/>
      <c r="B82" s="3"/>
      <c r="C82" s="3"/>
      <c r="D82" s="3"/>
      <c r="E82" s="3"/>
      <c r="F82" s="3"/>
      <c r="G82" s="3"/>
      <c r="L82" s="3"/>
      <c r="N82" s="3"/>
    </row>
    <row r="83" spans="1:14" x14ac:dyDescent="0.2">
      <c r="A83" s="3"/>
      <c r="B83" s="3"/>
      <c r="C83" s="3"/>
      <c r="D83" s="3"/>
      <c r="E83" s="3"/>
      <c r="F83" s="3"/>
      <c r="G83" s="3"/>
      <c r="L83" s="3"/>
      <c r="N83" s="3"/>
    </row>
    <row r="84" spans="1:14" x14ac:dyDescent="0.2">
      <c r="A84" s="3"/>
      <c r="B84" s="3"/>
      <c r="C84" s="3"/>
      <c r="D84" s="3"/>
      <c r="E84" s="3"/>
      <c r="F84" s="3"/>
      <c r="G84" s="3"/>
      <c r="L84" s="3"/>
      <c r="N84" s="3"/>
    </row>
    <row r="85" spans="1:14" x14ac:dyDescent="0.2">
      <c r="A85" s="3"/>
      <c r="B85" s="3"/>
      <c r="C85" s="3"/>
      <c r="D85" s="3"/>
      <c r="E85" s="3"/>
      <c r="F85" s="3"/>
      <c r="G85" s="3"/>
      <c r="L85" s="3"/>
      <c r="N85" s="3"/>
    </row>
    <row r="86" spans="1:14" x14ac:dyDescent="0.2">
      <c r="A86" s="3"/>
      <c r="B86" s="3"/>
      <c r="C86" s="3"/>
      <c r="D86" s="3"/>
      <c r="E86" s="3"/>
      <c r="F86" s="3"/>
      <c r="G86" s="3"/>
      <c r="L86" s="3"/>
      <c r="N86" s="3"/>
    </row>
    <row r="87" spans="1:14" x14ac:dyDescent="0.2">
      <c r="A87" s="3"/>
      <c r="B87" s="3"/>
      <c r="C87" s="3"/>
      <c r="D87" s="3"/>
      <c r="E87" s="3"/>
      <c r="F87" s="3"/>
      <c r="G87" s="3"/>
      <c r="L87" s="3"/>
      <c r="N87" s="3"/>
    </row>
    <row r="88" spans="1:14" x14ac:dyDescent="0.2">
      <c r="A88" s="3"/>
      <c r="B88" s="3"/>
      <c r="C88" s="3"/>
      <c r="D88" s="3"/>
      <c r="E88" s="3"/>
      <c r="F88" s="3"/>
      <c r="G88" s="3"/>
      <c r="L88" s="3"/>
      <c r="N88" s="3"/>
    </row>
    <row r="89" spans="1:14" x14ac:dyDescent="0.2">
      <c r="A89" s="3"/>
      <c r="B89" s="3"/>
      <c r="C89" s="3"/>
      <c r="D89" s="3"/>
      <c r="E89" s="3"/>
      <c r="F89" s="3"/>
      <c r="G89" s="3"/>
      <c r="L89" s="3"/>
      <c r="N89" s="3"/>
    </row>
    <row r="90" spans="1:14" x14ac:dyDescent="0.2">
      <c r="A90" s="3"/>
      <c r="B90" s="3"/>
      <c r="C90" s="3"/>
      <c r="D90" s="3"/>
      <c r="E90" s="3"/>
      <c r="F90" s="3"/>
      <c r="G90" s="3"/>
      <c r="L90" s="3"/>
      <c r="N90" s="3"/>
    </row>
    <row r="91" spans="1:14" x14ac:dyDescent="0.2">
      <c r="A91" s="3"/>
      <c r="B91" s="3"/>
      <c r="C91" s="3"/>
      <c r="D91" s="3"/>
      <c r="E91" s="3"/>
      <c r="F91" s="3"/>
      <c r="G91" s="3"/>
      <c r="L91" s="3"/>
      <c r="N91" s="3"/>
    </row>
    <row r="92" spans="1:14" x14ac:dyDescent="0.2">
      <c r="A92" s="3"/>
      <c r="B92" s="3"/>
      <c r="C92" s="3"/>
      <c r="D92" s="3"/>
      <c r="E92" s="3"/>
      <c r="F92" s="3"/>
      <c r="G92" s="3"/>
      <c r="L92" s="3"/>
      <c r="N92" s="3"/>
    </row>
    <row r="93" spans="1:14" x14ac:dyDescent="0.2">
      <c r="A93" s="3"/>
      <c r="B93" s="3"/>
      <c r="C93" s="3"/>
      <c r="D93" s="3"/>
      <c r="E93" s="3"/>
      <c r="F93" s="3"/>
      <c r="G93" s="3"/>
      <c r="L93" s="3"/>
      <c r="N93" s="3"/>
    </row>
    <row r="94" spans="1:14" x14ac:dyDescent="0.2">
      <c r="A94" s="3"/>
      <c r="B94" s="3"/>
      <c r="C94" s="3"/>
      <c r="D94" s="3"/>
      <c r="E94" s="3"/>
      <c r="F94" s="3"/>
      <c r="G94" s="3"/>
      <c r="L94" s="3"/>
      <c r="N94" s="3"/>
    </row>
    <row r="95" spans="1:14" x14ac:dyDescent="0.2">
      <c r="A95" s="3"/>
      <c r="B95" s="3"/>
      <c r="C95" s="3"/>
      <c r="D95" s="3"/>
      <c r="E95" s="3"/>
      <c r="F95" s="3"/>
      <c r="G95" s="3"/>
      <c r="L95" s="3"/>
      <c r="N95" s="3"/>
    </row>
    <row r="96" spans="1:14" x14ac:dyDescent="0.2">
      <c r="A96" s="3"/>
      <c r="B96" s="3"/>
      <c r="C96" s="3"/>
      <c r="D96" s="3"/>
      <c r="E96" s="3"/>
      <c r="F96" s="3"/>
      <c r="G96" s="3"/>
      <c r="L96" s="3"/>
      <c r="N96" s="3"/>
    </row>
    <row r="97" spans="1:14" x14ac:dyDescent="0.2">
      <c r="A97" s="3"/>
      <c r="B97" s="3"/>
      <c r="C97" s="3"/>
      <c r="D97" s="3"/>
      <c r="E97" s="3"/>
      <c r="F97" s="3"/>
      <c r="G97" s="3"/>
      <c r="L97" s="3"/>
      <c r="N97" s="3"/>
    </row>
    <row r="98" spans="1:14" x14ac:dyDescent="0.2">
      <c r="A98" s="3"/>
      <c r="B98" s="3"/>
      <c r="C98" s="3"/>
      <c r="D98" s="3"/>
      <c r="E98" s="3"/>
      <c r="F98" s="3"/>
      <c r="G98" s="3"/>
      <c r="L98" s="3"/>
      <c r="N98" s="3"/>
    </row>
    <row r="99" spans="1:14" x14ac:dyDescent="0.2">
      <c r="A99" s="3"/>
      <c r="B99" s="3"/>
      <c r="C99" s="3"/>
      <c r="D99" s="3"/>
      <c r="E99" s="3"/>
      <c r="F99" s="3"/>
      <c r="G99" s="3"/>
      <c r="L99" s="3"/>
      <c r="N99" s="3"/>
    </row>
    <row r="100" spans="1:14" x14ac:dyDescent="0.2">
      <c r="A100" s="3"/>
      <c r="B100" s="3"/>
      <c r="C100" s="3"/>
      <c r="D100" s="3"/>
      <c r="E100" s="3"/>
      <c r="F100" s="3"/>
      <c r="G100" s="3"/>
      <c r="L100" s="3"/>
      <c r="N100" s="3"/>
    </row>
    <row r="101" spans="1:14" x14ac:dyDescent="0.2">
      <c r="A101" s="3"/>
      <c r="B101" s="3"/>
      <c r="C101" s="3"/>
      <c r="D101" s="3"/>
      <c r="E101" s="3"/>
      <c r="F101" s="3"/>
      <c r="G101" s="3"/>
      <c r="L101" s="3"/>
      <c r="N101" s="3"/>
    </row>
    <row r="102" spans="1:14" x14ac:dyDescent="0.2">
      <c r="A102" s="3"/>
      <c r="B102" s="3"/>
      <c r="C102" s="3"/>
      <c r="D102" s="3"/>
      <c r="E102" s="3"/>
      <c r="F102" s="3"/>
      <c r="G102" s="3"/>
      <c r="L102" s="3"/>
      <c r="N102" s="3"/>
    </row>
    <row r="103" spans="1:14" x14ac:dyDescent="0.2">
      <c r="A103" s="3"/>
      <c r="B103" s="3"/>
      <c r="C103" s="3"/>
      <c r="D103" s="3"/>
      <c r="E103" s="3"/>
      <c r="F103" s="3"/>
      <c r="G103" s="3"/>
      <c r="L103" s="3"/>
      <c r="N103" s="3"/>
    </row>
    <row r="104" spans="1:14" x14ac:dyDescent="0.2">
      <c r="A104" s="3"/>
      <c r="B104" s="3"/>
      <c r="C104" s="3"/>
      <c r="D104" s="3"/>
      <c r="E104" s="3"/>
      <c r="F104" s="3"/>
      <c r="G104" s="3"/>
      <c r="L104" s="3"/>
      <c r="N104" s="3"/>
    </row>
    <row r="105" spans="1:14" x14ac:dyDescent="0.2">
      <c r="A105" s="3"/>
      <c r="B105" s="3"/>
      <c r="C105" s="3"/>
      <c r="D105" s="3"/>
      <c r="E105" s="3"/>
      <c r="F105" s="3"/>
      <c r="G105" s="3"/>
      <c r="L105" s="3"/>
      <c r="N105" s="3"/>
    </row>
    <row r="106" spans="1:14" x14ac:dyDescent="0.2">
      <c r="A106" s="3"/>
      <c r="B106" s="3"/>
      <c r="C106" s="3"/>
      <c r="D106" s="3"/>
      <c r="E106" s="3"/>
      <c r="F106" s="3"/>
      <c r="G106" s="3"/>
      <c r="L106" s="3"/>
      <c r="N106" s="3"/>
    </row>
    <row r="107" spans="1:14" x14ac:dyDescent="0.2">
      <c r="A107" s="3"/>
      <c r="B107" s="3"/>
      <c r="C107" s="3"/>
      <c r="D107" s="3"/>
      <c r="E107" s="3"/>
      <c r="F107" s="3"/>
      <c r="G107" s="3"/>
      <c r="L107" s="3"/>
      <c r="N107" s="3"/>
    </row>
    <row r="108" spans="1:14" x14ac:dyDescent="0.2">
      <c r="A108" s="3"/>
      <c r="B108" s="3"/>
      <c r="C108" s="3"/>
      <c r="D108" s="3"/>
      <c r="E108" s="3"/>
      <c r="F108" s="3"/>
      <c r="G108" s="3"/>
      <c r="L108" s="3"/>
      <c r="N108" s="3"/>
    </row>
    <row r="109" spans="1:14" x14ac:dyDescent="0.2">
      <c r="A109" s="3"/>
      <c r="B109" s="3"/>
      <c r="C109" s="3"/>
      <c r="D109" s="3"/>
      <c r="E109" s="3"/>
      <c r="F109" s="3"/>
      <c r="G109" s="3"/>
      <c r="L109" s="3"/>
      <c r="N109" s="3"/>
    </row>
    <row r="110" spans="1:14" x14ac:dyDescent="0.2">
      <c r="A110" s="3"/>
      <c r="B110" s="3"/>
      <c r="C110" s="3"/>
      <c r="D110" s="3"/>
      <c r="E110" s="3"/>
      <c r="F110" s="3"/>
      <c r="G110" s="3"/>
      <c r="L110" s="3"/>
      <c r="N110" s="3"/>
    </row>
    <row r="111" spans="1:14" x14ac:dyDescent="0.2">
      <c r="A111" s="3"/>
      <c r="B111" s="3"/>
      <c r="C111" s="3"/>
      <c r="D111" s="3"/>
      <c r="E111" s="3"/>
      <c r="F111" s="3"/>
      <c r="G111" s="3"/>
      <c r="L111" s="3"/>
      <c r="N111" s="3"/>
    </row>
    <row r="112" spans="1:14" x14ac:dyDescent="0.2">
      <c r="A112" s="3"/>
      <c r="B112" s="3"/>
      <c r="C112" s="3"/>
      <c r="D112" s="3"/>
      <c r="E112" s="3"/>
      <c r="F112" s="3"/>
      <c r="G112" s="3"/>
      <c r="L112" s="3"/>
      <c r="N112" s="3"/>
    </row>
    <row r="113" spans="1:14" x14ac:dyDescent="0.2">
      <c r="A113" s="3"/>
      <c r="B113" s="3"/>
      <c r="C113" s="3"/>
      <c r="D113" s="3"/>
      <c r="E113" s="3"/>
      <c r="F113" s="3"/>
      <c r="G113" s="3"/>
      <c r="L113" s="3"/>
      <c r="N113" s="3"/>
    </row>
    <row r="114" spans="1:14" x14ac:dyDescent="0.2">
      <c r="A114" s="3"/>
      <c r="B114" s="3"/>
      <c r="C114" s="3"/>
      <c r="D114" s="3"/>
      <c r="E114" s="3"/>
      <c r="F114" s="3"/>
      <c r="G114" s="3"/>
      <c r="L114" s="3"/>
      <c r="N114" s="3"/>
    </row>
    <row r="115" spans="1:14" x14ac:dyDescent="0.2">
      <c r="A115" s="3"/>
      <c r="B115" s="3"/>
      <c r="C115" s="3"/>
      <c r="D115" s="3"/>
      <c r="E115" s="3"/>
      <c r="F115" s="3"/>
      <c r="G115" s="3"/>
      <c r="L115" s="3"/>
      <c r="N115" s="3"/>
    </row>
    <row r="116" spans="1:14" x14ac:dyDescent="0.2">
      <c r="A116" s="3"/>
      <c r="B116" s="3"/>
      <c r="C116" s="3"/>
      <c r="D116" s="3"/>
      <c r="E116" s="3"/>
      <c r="F116" s="3"/>
      <c r="G116" s="3"/>
      <c r="L116" s="3"/>
      <c r="N116" s="3"/>
    </row>
    <row r="117" spans="1:14" x14ac:dyDescent="0.2">
      <c r="A117" s="3"/>
      <c r="B117" s="3"/>
      <c r="C117" s="3"/>
      <c r="D117" s="3"/>
      <c r="E117" s="3"/>
      <c r="F117" s="3"/>
      <c r="G117" s="3"/>
      <c r="L117" s="3"/>
      <c r="N117" s="3"/>
    </row>
    <row r="118" spans="1:14" x14ac:dyDescent="0.2">
      <c r="A118" s="3"/>
      <c r="B118" s="3"/>
      <c r="C118" s="3"/>
      <c r="D118" s="3"/>
      <c r="E118" s="3"/>
      <c r="F118" s="3"/>
      <c r="G118" s="3"/>
      <c r="L118" s="3"/>
      <c r="N118" s="3"/>
    </row>
    <row r="119" spans="1:14" x14ac:dyDescent="0.2">
      <c r="A119" s="3"/>
      <c r="B119" s="3"/>
      <c r="C119" s="3"/>
      <c r="D119" s="3"/>
      <c r="E119" s="3"/>
      <c r="F119" s="3"/>
      <c r="G119" s="3"/>
      <c r="L119" s="3"/>
      <c r="N119" s="3"/>
    </row>
    <row r="120" spans="1:14" x14ac:dyDescent="0.2">
      <c r="A120" s="3"/>
      <c r="B120" s="3"/>
      <c r="C120" s="3"/>
      <c r="D120" s="3"/>
      <c r="E120" s="3"/>
      <c r="F120" s="3"/>
      <c r="G120" s="3"/>
      <c r="L120" s="3"/>
      <c r="N120" s="3"/>
    </row>
    <row r="121" spans="1:14" x14ac:dyDescent="0.2">
      <c r="A121" s="3"/>
      <c r="B121" s="3"/>
      <c r="C121" s="3"/>
      <c r="D121" s="3"/>
      <c r="E121" s="3"/>
      <c r="F121" s="3"/>
      <c r="G121" s="3"/>
      <c r="L121" s="3"/>
      <c r="N121" s="3"/>
    </row>
    <row r="122" spans="1:14" x14ac:dyDescent="0.2">
      <c r="A122" s="3"/>
      <c r="B122" s="3"/>
      <c r="C122" s="3"/>
      <c r="D122" s="3"/>
      <c r="E122" s="3"/>
      <c r="F122" s="3"/>
      <c r="G122" s="3"/>
      <c r="L122" s="3"/>
      <c r="N122" s="3"/>
    </row>
    <row r="123" spans="1:14" x14ac:dyDescent="0.2">
      <c r="A123" s="3"/>
      <c r="B123" s="3"/>
      <c r="C123" s="3"/>
      <c r="D123" s="3"/>
      <c r="E123" s="3"/>
      <c r="F123" s="3"/>
      <c r="G123" s="3"/>
      <c r="L123" s="3"/>
      <c r="N123" s="3"/>
    </row>
    <row r="124" spans="1:14" x14ac:dyDescent="0.2">
      <c r="A124" s="3"/>
      <c r="B124" s="3"/>
      <c r="C124" s="3"/>
      <c r="D124" s="3"/>
      <c r="E124" s="3"/>
      <c r="F124" s="3"/>
      <c r="G124" s="3"/>
      <c r="L124" s="3"/>
      <c r="N124" s="3"/>
    </row>
    <row r="125" spans="1:14" x14ac:dyDescent="0.2">
      <c r="A125" s="3"/>
      <c r="B125" s="3"/>
      <c r="C125" s="3"/>
      <c r="D125" s="3"/>
      <c r="E125" s="3"/>
      <c r="F125" s="3"/>
      <c r="G125" s="3"/>
      <c r="L125" s="3"/>
      <c r="N125" s="3"/>
    </row>
    <row r="126" spans="1:14" x14ac:dyDescent="0.2">
      <c r="A126" s="3"/>
      <c r="B126" s="3"/>
      <c r="C126" s="3"/>
      <c r="D126" s="3"/>
      <c r="E126" s="3"/>
      <c r="F126" s="3"/>
      <c r="G126" s="3"/>
      <c r="L126" s="3"/>
      <c r="N126" s="3"/>
    </row>
    <row r="127" spans="1:14" x14ac:dyDescent="0.2">
      <c r="A127" s="3"/>
      <c r="B127" s="3"/>
      <c r="C127" s="3"/>
      <c r="D127" s="3"/>
      <c r="E127" s="3"/>
      <c r="F127" s="3"/>
      <c r="G127" s="3"/>
      <c r="L127" s="3"/>
      <c r="N127" s="3"/>
    </row>
    <row r="128" spans="1:14" x14ac:dyDescent="0.2">
      <c r="A128" s="3"/>
      <c r="B128" s="3"/>
      <c r="C128" s="3"/>
      <c r="D128" s="3"/>
      <c r="E128" s="3"/>
      <c r="F128" s="3"/>
      <c r="G128" s="3"/>
      <c r="L128" s="3"/>
      <c r="N128" s="3"/>
    </row>
    <row r="129" spans="1:14" x14ac:dyDescent="0.2">
      <c r="A129" s="3"/>
      <c r="B129" s="3"/>
      <c r="C129" s="3"/>
      <c r="D129" s="3"/>
      <c r="E129" s="3"/>
      <c r="F129" s="3"/>
      <c r="G129" s="3"/>
      <c r="L129" s="3"/>
      <c r="N129" s="3"/>
    </row>
    <row r="130" spans="1:14" x14ac:dyDescent="0.2">
      <c r="A130" s="3"/>
      <c r="B130" s="3"/>
      <c r="C130" s="3"/>
      <c r="D130" s="3"/>
      <c r="E130" s="3"/>
      <c r="F130" s="3"/>
      <c r="G130" s="3"/>
      <c r="L130" s="3"/>
      <c r="N130" s="3"/>
    </row>
    <row r="131" spans="1:14" x14ac:dyDescent="0.2">
      <c r="A131" s="3"/>
      <c r="B131" s="3"/>
      <c r="C131" s="3"/>
      <c r="D131" s="3"/>
      <c r="E131" s="3"/>
      <c r="F131" s="3"/>
      <c r="G131" s="3"/>
      <c r="L131" s="3"/>
      <c r="N131" s="3"/>
    </row>
    <row r="132" spans="1:14" x14ac:dyDescent="0.2">
      <c r="A132" s="3"/>
      <c r="B132" s="3"/>
      <c r="C132" s="3"/>
      <c r="D132" s="3"/>
      <c r="E132" s="3"/>
      <c r="F132" s="3"/>
      <c r="G132" s="3"/>
      <c r="L132" s="3"/>
      <c r="N132" s="3"/>
    </row>
    <row r="133" spans="1:14" x14ac:dyDescent="0.2">
      <c r="A133" s="3"/>
      <c r="B133" s="3"/>
      <c r="C133" s="3"/>
      <c r="D133" s="3"/>
      <c r="E133" s="3"/>
      <c r="F133" s="3"/>
      <c r="G133" s="3"/>
      <c r="L133" s="3"/>
      <c r="N133" s="3"/>
    </row>
    <row r="134" spans="1:14" x14ac:dyDescent="0.2">
      <c r="A134" s="3"/>
      <c r="B134" s="3"/>
      <c r="C134" s="3"/>
      <c r="D134" s="3"/>
      <c r="E134" s="3"/>
      <c r="F134" s="3"/>
      <c r="G134" s="3"/>
      <c r="L134" s="3"/>
      <c r="N134" s="3"/>
    </row>
    <row r="135" spans="1:14" x14ac:dyDescent="0.2">
      <c r="A135" s="3"/>
      <c r="B135" s="3"/>
      <c r="C135" s="3"/>
      <c r="D135" s="3"/>
      <c r="E135" s="3"/>
      <c r="F135" s="3"/>
      <c r="G135" s="3"/>
      <c r="L135" s="3"/>
      <c r="N135" s="3"/>
    </row>
    <row r="136" spans="1:14" x14ac:dyDescent="0.2">
      <c r="A136" s="3"/>
      <c r="B136" s="3"/>
      <c r="C136" s="3"/>
      <c r="D136" s="3"/>
      <c r="E136" s="3"/>
      <c r="F136" s="3"/>
      <c r="G136" s="3"/>
      <c r="L136" s="3"/>
      <c r="N136" s="3"/>
    </row>
    <row r="137" spans="1:14" x14ac:dyDescent="0.2">
      <c r="A137" s="3"/>
      <c r="B137" s="3"/>
      <c r="C137" s="3"/>
      <c r="D137" s="3"/>
      <c r="E137" s="3"/>
      <c r="F137" s="3"/>
      <c r="G137" s="3"/>
      <c r="L137" s="3"/>
      <c r="N137" s="3"/>
    </row>
    <row r="138" spans="1:14" x14ac:dyDescent="0.2">
      <c r="A138" s="3"/>
      <c r="B138" s="3"/>
      <c r="C138" s="3"/>
      <c r="D138" s="3"/>
      <c r="E138" s="3"/>
      <c r="F138" s="3"/>
      <c r="G138" s="3"/>
      <c r="L138" s="3"/>
      <c r="N138" s="3"/>
    </row>
    <row r="139" spans="1:14" x14ac:dyDescent="0.2">
      <c r="A139" s="3"/>
      <c r="B139" s="3"/>
      <c r="C139" s="3"/>
      <c r="D139" s="3"/>
      <c r="E139" s="3"/>
      <c r="F139" s="3"/>
      <c r="G139" s="3"/>
      <c r="L139" s="3"/>
      <c r="N139" s="3"/>
    </row>
    <row r="140" spans="1:14" x14ac:dyDescent="0.2">
      <c r="A140" s="3"/>
      <c r="B140" s="3"/>
      <c r="C140" s="3"/>
      <c r="D140" s="3"/>
      <c r="E140" s="3"/>
      <c r="F140" s="3"/>
      <c r="G140" s="3"/>
      <c r="L140" s="3"/>
      <c r="N140" s="3"/>
    </row>
    <row r="141" spans="1:14" x14ac:dyDescent="0.2">
      <c r="A141" s="3"/>
      <c r="B141" s="3"/>
      <c r="C141" s="3"/>
      <c r="D141" s="3"/>
      <c r="E141" s="3"/>
      <c r="F141" s="3"/>
      <c r="G141" s="3"/>
      <c r="L141" s="3"/>
      <c r="N141" s="3"/>
    </row>
    <row r="142" spans="1:14" x14ac:dyDescent="0.2">
      <c r="A142" s="3"/>
      <c r="B142" s="3"/>
      <c r="C142" s="3"/>
      <c r="D142" s="3"/>
      <c r="E142" s="3"/>
      <c r="F142" s="3"/>
      <c r="G142" s="3"/>
      <c r="L142" s="3"/>
      <c r="N142" s="3"/>
    </row>
    <row r="143" spans="1:14" x14ac:dyDescent="0.2">
      <c r="A143" s="3"/>
      <c r="B143" s="3"/>
      <c r="C143" s="3"/>
      <c r="D143" s="3"/>
      <c r="E143" s="3"/>
      <c r="F143" s="3"/>
      <c r="G143" s="3"/>
      <c r="L143" s="3"/>
      <c r="N143" s="3"/>
    </row>
    <row r="144" spans="1:14" x14ac:dyDescent="0.2">
      <c r="A144" s="3"/>
      <c r="B144" s="3"/>
      <c r="C144" s="3"/>
      <c r="D144" s="3"/>
      <c r="E144" s="3"/>
      <c r="F144" s="3"/>
      <c r="G144" s="3"/>
      <c r="L144" s="3"/>
      <c r="N144" s="3"/>
    </row>
    <row r="145" spans="1:14" x14ac:dyDescent="0.2">
      <c r="A145" s="3"/>
      <c r="B145" s="3"/>
      <c r="C145" s="3"/>
      <c r="D145" s="3"/>
      <c r="E145" s="3"/>
      <c r="F145" s="3"/>
      <c r="G145" s="3"/>
      <c r="L145" s="3"/>
      <c r="N145" s="3"/>
    </row>
    <row r="146" spans="1:14" x14ac:dyDescent="0.2">
      <c r="A146" s="3"/>
      <c r="B146" s="3"/>
      <c r="C146" s="3"/>
      <c r="D146" s="3"/>
      <c r="E146" s="3"/>
      <c r="F146" s="3"/>
      <c r="G146" s="3"/>
      <c r="L146" s="3"/>
      <c r="N146" s="3"/>
    </row>
    <row r="147" spans="1:14" x14ac:dyDescent="0.2">
      <c r="A147" s="3"/>
      <c r="B147" s="3"/>
      <c r="C147" s="3"/>
      <c r="D147" s="3"/>
      <c r="E147" s="3"/>
      <c r="F147" s="3"/>
      <c r="G147" s="3"/>
      <c r="L147" s="3"/>
      <c r="N147" s="3"/>
    </row>
    <row r="148" spans="1:14" x14ac:dyDescent="0.2">
      <c r="A148" s="3"/>
      <c r="B148" s="3"/>
      <c r="C148" s="3"/>
      <c r="D148" s="3"/>
      <c r="E148" s="3"/>
      <c r="F148" s="3"/>
      <c r="G148" s="3"/>
      <c r="L148" s="3"/>
      <c r="N148" s="3"/>
    </row>
    <row r="149" spans="1:14" x14ac:dyDescent="0.2">
      <c r="A149" s="3"/>
      <c r="B149" s="3"/>
      <c r="C149" s="3"/>
      <c r="D149" s="3"/>
      <c r="E149" s="3"/>
      <c r="F149" s="3"/>
      <c r="G149" s="3"/>
      <c r="L149" s="3"/>
      <c r="N149" s="3"/>
    </row>
    <row r="150" spans="1:14" x14ac:dyDescent="0.2">
      <c r="A150" s="3"/>
      <c r="B150" s="3"/>
      <c r="C150" s="3"/>
      <c r="D150" s="3"/>
      <c r="E150" s="3"/>
      <c r="F150" s="3"/>
      <c r="G150" s="3"/>
      <c r="L150" s="3"/>
      <c r="N150" s="3"/>
    </row>
    <row r="151" spans="1:14" x14ac:dyDescent="0.2">
      <c r="A151" s="3"/>
      <c r="B151" s="3"/>
      <c r="C151" s="3"/>
      <c r="D151" s="3"/>
      <c r="E151" s="3"/>
      <c r="F151" s="3"/>
      <c r="G151" s="3"/>
      <c r="L151" s="3"/>
      <c r="N151" s="3"/>
    </row>
    <row r="152" spans="1:14" x14ac:dyDescent="0.2">
      <c r="A152" s="3"/>
      <c r="B152" s="3"/>
      <c r="C152" s="3"/>
      <c r="D152" s="3"/>
      <c r="E152" s="3"/>
      <c r="F152" s="3"/>
      <c r="G152" s="3"/>
      <c r="L152" s="3"/>
      <c r="N152" s="3"/>
    </row>
    <row r="153" spans="1:14" x14ac:dyDescent="0.2">
      <c r="A153" s="3"/>
      <c r="B153" s="3"/>
      <c r="C153" s="3"/>
      <c r="D153" s="3"/>
      <c r="E153" s="3"/>
      <c r="F153" s="3"/>
      <c r="G153" s="3"/>
      <c r="L153" s="3"/>
      <c r="N153" s="3"/>
    </row>
    <row r="154" spans="1:14" x14ac:dyDescent="0.2">
      <c r="A154" s="3"/>
      <c r="B154" s="3"/>
      <c r="C154" s="3"/>
      <c r="D154" s="3"/>
      <c r="E154" s="3"/>
      <c r="F154" s="3"/>
      <c r="G154" s="3"/>
      <c r="L154" s="3"/>
      <c r="N154" s="3"/>
    </row>
    <row r="155" spans="1:14" x14ac:dyDescent="0.2">
      <c r="A155" s="3"/>
      <c r="B155" s="3"/>
      <c r="C155" s="3"/>
      <c r="D155" s="3"/>
      <c r="E155" s="3"/>
      <c r="F155" s="3"/>
      <c r="G155" s="3"/>
      <c r="L155" s="3"/>
      <c r="N155" s="3"/>
    </row>
    <row r="156" spans="1:14" x14ac:dyDescent="0.2">
      <c r="A156" s="3"/>
      <c r="B156" s="3"/>
      <c r="C156" s="3"/>
      <c r="D156" s="3"/>
      <c r="E156" s="3"/>
      <c r="F156" s="3"/>
      <c r="G156" s="3"/>
      <c r="L156" s="3"/>
      <c r="N156" s="3"/>
    </row>
    <row r="157" spans="1:14" x14ac:dyDescent="0.2">
      <c r="A157" s="3"/>
      <c r="B157" s="3"/>
      <c r="C157" s="3"/>
      <c r="D157" s="3"/>
      <c r="E157" s="3"/>
      <c r="F157" s="3"/>
      <c r="G157" s="3"/>
      <c r="L157" s="3"/>
      <c r="N157" s="3"/>
    </row>
    <row r="158" spans="1:14" x14ac:dyDescent="0.2">
      <c r="A158" s="3"/>
      <c r="B158" s="3"/>
      <c r="C158" s="3"/>
      <c r="D158" s="3"/>
      <c r="E158" s="3"/>
      <c r="F158" s="3"/>
      <c r="G158" s="3"/>
      <c r="L158" s="3"/>
      <c r="N158" s="3"/>
    </row>
    <row r="159" spans="1:14" x14ac:dyDescent="0.2">
      <c r="A159" s="3"/>
      <c r="B159" s="3"/>
      <c r="C159" s="3"/>
      <c r="D159" s="3"/>
      <c r="E159" s="3"/>
      <c r="F159" s="3"/>
      <c r="G159" s="3"/>
      <c r="L159" s="3"/>
      <c r="N159" s="3"/>
    </row>
    <row r="160" spans="1:14" x14ac:dyDescent="0.2">
      <c r="A160" s="3"/>
      <c r="B160" s="3"/>
      <c r="C160" s="3"/>
      <c r="D160" s="3"/>
      <c r="E160" s="3"/>
      <c r="F160" s="3"/>
      <c r="G160" s="3"/>
      <c r="L160" s="3"/>
      <c r="N160" s="3"/>
    </row>
    <row r="161" spans="1:14" x14ac:dyDescent="0.2">
      <c r="A161" s="3"/>
      <c r="B161" s="3"/>
      <c r="C161" s="3"/>
      <c r="D161" s="3"/>
      <c r="E161" s="3"/>
      <c r="F161" s="3"/>
      <c r="G161" s="3"/>
      <c r="L161" s="3"/>
      <c r="N161" s="3"/>
    </row>
    <row r="162" spans="1:14" x14ac:dyDescent="0.2">
      <c r="A162" s="3"/>
      <c r="B162" s="3"/>
      <c r="C162" s="3"/>
      <c r="D162" s="3"/>
      <c r="E162" s="3"/>
      <c r="F162" s="3"/>
      <c r="G162" s="3"/>
      <c r="L162" s="3"/>
      <c r="N162" s="3"/>
    </row>
    <row r="163" spans="1:14" x14ac:dyDescent="0.2">
      <c r="A163" s="3"/>
      <c r="B163" s="3"/>
      <c r="C163" s="3"/>
      <c r="D163" s="3"/>
      <c r="E163" s="3"/>
      <c r="F163" s="3"/>
      <c r="G163" s="3"/>
      <c r="L163" s="3"/>
      <c r="N163" s="3"/>
    </row>
    <row r="164" spans="1:14" x14ac:dyDescent="0.2">
      <c r="A164" s="3"/>
      <c r="B164" s="3"/>
      <c r="C164" s="3"/>
      <c r="D164" s="3"/>
      <c r="E164" s="3"/>
      <c r="F164" s="3"/>
      <c r="G164" s="3"/>
      <c r="L164" s="3"/>
      <c r="N164" s="3"/>
    </row>
    <row r="165" spans="1:14" x14ac:dyDescent="0.2">
      <c r="A165" s="3"/>
      <c r="B165" s="3"/>
      <c r="C165" s="3"/>
      <c r="D165" s="3"/>
      <c r="E165" s="3"/>
      <c r="F165" s="3"/>
      <c r="G165" s="3"/>
      <c r="L165" s="3"/>
      <c r="N165" s="3"/>
    </row>
    <row r="166" spans="1:14" x14ac:dyDescent="0.2">
      <c r="A166" s="3"/>
      <c r="B166" s="3"/>
      <c r="C166" s="3"/>
      <c r="D166" s="3"/>
      <c r="E166" s="3"/>
      <c r="F166" s="3"/>
      <c r="G166" s="3"/>
      <c r="L166" s="3"/>
      <c r="N166" s="3"/>
    </row>
    <row r="167" spans="1:14" x14ac:dyDescent="0.2">
      <c r="A167" s="3"/>
      <c r="B167" s="3"/>
      <c r="C167" s="3"/>
      <c r="D167" s="3"/>
      <c r="E167" s="3"/>
      <c r="F167" s="3"/>
      <c r="G167" s="3"/>
      <c r="L167" s="3"/>
      <c r="N167" s="3"/>
    </row>
    <row r="168" spans="1:14" x14ac:dyDescent="0.2">
      <c r="A168" s="3"/>
      <c r="B168" s="3"/>
      <c r="C168" s="3"/>
      <c r="D168" s="3"/>
      <c r="E168" s="3"/>
      <c r="F168" s="3"/>
      <c r="G168" s="3"/>
      <c r="L168" s="3"/>
      <c r="N168" s="3"/>
    </row>
    <row r="169" spans="1:14" x14ac:dyDescent="0.2">
      <c r="A169" s="3"/>
      <c r="B169" s="3"/>
      <c r="C169" s="3"/>
      <c r="D169" s="3"/>
      <c r="E169" s="3"/>
      <c r="F169" s="3"/>
      <c r="G169" s="3"/>
      <c r="L169" s="3"/>
      <c r="N169" s="3"/>
    </row>
    <row r="170" spans="1:14" x14ac:dyDescent="0.2">
      <c r="A170" s="3"/>
      <c r="B170" s="3"/>
      <c r="C170" s="3"/>
      <c r="D170" s="3"/>
      <c r="E170" s="3"/>
      <c r="F170" s="3"/>
      <c r="G170" s="3"/>
      <c r="L170" s="3"/>
      <c r="N170" s="3"/>
    </row>
    <row r="171" spans="1:14" x14ac:dyDescent="0.2">
      <c r="A171" s="3"/>
      <c r="B171" s="3"/>
      <c r="C171" s="3"/>
      <c r="D171" s="3"/>
      <c r="E171" s="3"/>
      <c r="F171" s="3"/>
      <c r="G171" s="3"/>
      <c r="L171" s="3"/>
      <c r="N171" s="3"/>
    </row>
    <row r="172" spans="1:14" x14ac:dyDescent="0.2">
      <c r="A172" s="3"/>
      <c r="B172" s="3"/>
      <c r="C172" s="3"/>
      <c r="D172" s="3"/>
      <c r="E172" s="3"/>
      <c r="F172" s="3"/>
      <c r="G172" s="3"/>
      <c r="L172" s="3"/>
      <c r="N172" s="3"/>
    </row>
    <row r="173" spans="1:14" x14ac:dyDescent="0.2">
      <c r="A173" s="3"/>
      <c r="B173" s="3"/>
      <c r="C173" s="3"/>
      <c r="D173" s="3"/>
      <c r="E173" s="3"/>
      <c r="F173" s="3"/>
      <c r="G173" s="3"/>
      <c r="L173" s="3"/>
      <c r="N173" s="3"/>
    </row>
    <row r="174" spans="1:14" x14ac:dyDescent="0.2">
      <c r="A174" s="3"/>
      <c r="B174" s="3"/>
      <c r="C174" s="3"/>
      <c r="D174" s="3"/>
      <c r="E174" s="3"/>
      <c r="F174" s="3"/>
      <c r="G174" s="3"/>
      <c r="L174" s="3"/>
      <c r="N174" s="3"/>
    </row>
    <row r="175" spans="1:14" x14ac:dyDescent="0.2">
      <c r="A175" s="3"/>
      <c r="B175" s="3"/>
      <c r="C175" s="3"/>
      <c r="D175" s="3"/>
      <c r="E175" s="3"/>
      <c r="F175" s="3"/>
      <c r="G175" s="3"/>
      <c r="L175" s="3"/>
      <c r="N175" s="3"/>
    </row>
    <row r="176" spans="1:14" x14ac:dyDescent="0.2">
      <c r="A176" s="3"/>
      <c r="B176" s="3"/>
      <c r="C176" s="3"/>
      <c r="D176" s="3"/>
      <c r="E176" s="3"/>
      <c r="F176" s="3"/>
      <c r="G176" s="3"/>
      <c r="L176" s="3"/>
      <c r="N176" s="3"/>
    </row>
    <row r="177" spans="1:14" x14ac:dyDescent="0.2">
      <c r="A177" s="3"/>
      <c r="B177" s="3"/>
      <c r="C177" s="3"/>
      <c r="D177" s="3"/>
      <c r="E177" s="3"/>
      <c r="F177" s="3"/>
      <c r="G177" s="3"/>
      <c r="L177" s="3"/>
      <c r="N177" s="3"/>
    </row>
    <row r="178" spans="1:14" x14ac:dyDescent="0.2">
      <c r="A178" s="3"/>
      <c r="B178" s="3"/>
      <c r="C178" s="3"/>
      <c r="D178" s="3"/>
      <c r="E178" s="3"/>
      <c r="F178" s="3"/>
      <c r="G178" s="3"/>
      <c r="L178" s="3"/>
      <c r="N178" s="3"/>
    </row>
    <row r="179" spans="1:14" x14ac:dyDescent="0.2">
      <c r="A179" s="3"/>
      <c r="B179" s="3"/>
      <c r="C179" s="3"/>
      <c r="D179" s="3"/>
      <c r="E179" s="3"/>
      <c r="F179" s="3"/>
      <c r="G179" s="3"/>
      <c r="L179" s="3"/>
      <c r="N179" s="3"/>
    </row>
    <row r="180" spans="1:14" x14ac:dyDescent="0.2">
      <c r="A180" s="3"/>
      <c r="B180" s="3"/>
      <c r="C180" s="3"/>
      <c r="D180" s="3"/>
      <c r="E180" s="3"/>
      <c r="F180" s="3"/>
      <c r="G180" s="3"/>
      <c r="L180" s="3"/>
      <c r="N180" s="3"/>
    </row>
    <row r="181" spans="1:14" x14ac:dyDescent="0.2">
      <c r="A181" s="3"/>
      <c r="B181" s="3"/>
      <c r="C181" s="3"/>
      <c r="D181" s="3"/>
      <c r="E181" s="3"/>
      <c r="F181" s="3"/>
      <c r="G181" s="3"/>
      <c r="L181" s="3"/>
      <c r="N181" s="3"/>
    </row>
    <row r="182" spans="1:14" x14ac:dyDescent="0.2">
      <c r="A182" s="3"/>
      <c r="B182" s="3"/>
      <c r="C182" s="3"/>
      <c r="D182" s="3"/>
      <c r="E182" s="3"/>
      <c r="F182" s="3"/>
      <c r="G182" s="3"/>
      <c r="L182" s="3"/>
      <c r="N182" s="3"/>
    </row>
    <row r="183" spans="1:14" x14ac:dyDescent="0.2">
      <c r="A183" s="3"/>
      <c r="B183" s="3"/>
      <c r="C183" s="3"/>
      <c r="D183" s="3"/>
      <c r="E183" s="3"/>
      <c r="F183" s="3"/>
      <c r="G183" s="3"/>
      <c r="L183" s="3"/>
      <c r="N183" s="3"/>
    </row>
    <row r="184" spans="1:14" x14ac:dyDescent="0.2">
      <c r="A184" s="3"/>
      <c r="B184" s="3"/>
      <c r="C184" s="3"/>
      <c r="D184" s="3"/>
      <c r="E184" s="3"/>
      <c r="F184" s="3"/>
      <c r="G184" s="3"/>
      <c r="L184" s="3"/>
      <c r="N184" s="3"/>
    </row>
    <row r="185" spans="1:14" x14ac:dyDescent="0.2">
      <c r="A185" s="3"/>
      <c r="B185" s="3"/>
      <c r="C185" s="3"/>
      <c r="D185" s="3"/>
      <c r="E185" s="3"/>
      <c r="F185" s="3"/>
      <c r="G185" s="3"/>
      <c r="L185" s="3"/>
      <c r="N185" s="3"/>
    </row>
    <row r="186" spans="1:14" x14ac:dyDescent="0.2">
      <c r="A186" s="3"/>
      <c r="B186" s="3"/>
      <c r="C186" s="3"/>
      <c r="D186" s="3"/>
      <c r="E186" s="3"/>
      <c r="F186" s="3"/>
      <c r="G186" s="3"/>
      <c r="L186" s="3"/>
      <c r="N186" s="3"/>
    </row>
    <row r="187" spans="1:14" x14ac:dyDescent="0.2">
      <c r="A187" s="3"/>
      <c r="B187" s="3"/>
      <c r="C187" s="3"/>
      <c r="D187" s="3"/>
      <c r="E187" s="3"/>
      <c r="F187" s="3"/>
      <c r="G187" s="3"/>
      <c r="L187" s="3"/>
      <c r="N187" s="3"/>
    </row>
    <row r="188" spans="1:14" x14ac:dyDescent="0.2">
      <c r="A188" s="3"/>
      <c r="B188" s="3"/>
      <c r="C188" s="3"/>
      <c r="D188" s="3"/>
      <c r="E188" s="3"/>
      <c r="F188" s="3"/>
      <c r="G188" s="3"/>
      <c r="L188" s="3"/>
      <c r="N188" s="3"/>
    </row>
    <row r="189" spans="1:14" x14ac:dyDescent="0.2">
      <c r="A189" s="3"/>
      <c r="B189" s="3"/>
      <c r="C189" s="3"/>
      <c r="D189" s="3"/>
      <c r="E189" s="3"/>
      <c r="F189" s="3"/>
      <c r="G189" s="3"/>
      <c r="L189" s="3"/>
      <c r="N189" s="3"/>
    </row>
    <row r="190" spans="1:14" x14ac:dyDescent="0.2">
      <c r="A190" s="3"/>
      <c r="B190" s="3"/>
      <c r="C190" s="3"/>
      <c r="D190" s="3"/>
      <c r="E190" s="3"/>
      <c r="F190" s="3"/>
      <c r="G190" s="3"/>
      <c r="L190" s="3"/>
      <c r="N190" s="3"/>
    </row>
    <row r="191" spans="1:14" x14ac:dyDescent="0.2">
      <c r="A191" s="3"/>
      <c r="B191" s="3"/>
      <c r="C191" s="3"/>
      <c r="D191" s="3"/>
      <c r="E191" s="3"/>
      <c r="F191" s="3"/>
      <c r="G191" s="3"/>
      <c r="L191" s="3"/>
      <c r="N191" s="3"/>
    </row>
    <row r="192" spans="1:14" x14ac:dyDescent="0.2">
      <c r="A192" s="3"/>
      <c r="B192" s="3"/>
      <c r="C192" s="3"/>
      <c r="D192" s="3"/>
      <c r="E192" s="3"/>
      <c r="F192" s="3"/>
      <c r="G192" s="3"/>
      <c r="L192" s="3"/>
      <c r="N192" s="3"/>
    </row>
    <row r="193" spans="1:14" x14ac:dyDescent="0.2">
      <c r="A193" s="3"/>
      <c r="B193" s="3"/>
      <c r="C193" s="3"/>
      <c r="D193" s="3"/>
      <c r="E193" s="3"/>
      <c r="F193" s="3"/>
      <c r="G193" s="3"/>
      <c r="L193" s="3"/>
      <c r="N193" s="3"/>
    </row>
    <row r="194" spans="1:14" x14ac:dyDescent="0.2">
      <c r="A194" s="3"/>
      <c r="B194" s="3"/>
      <c r="C194" s="3"/>
      <c r="D194" s="3"/>
      <c r="E194" s="3"/>
      <c r="F194" s="3"/>
      <c r="G194" s="3"/>
      <c r="L194" s="3"/>
      <c r="N194" s="3"/>
    </row>
    <row r="195" spans="1:14" x14ac:dyDescent="0.2">
      <c r="A195" s="3"/>
      <c r="B195" s="3"/>
      <c r="C195" s="3"/>
      <c r="D195" s="3"/>
      <c r="E195" s="3"/>
      <c r="F195" s="3"/>
      <c r="G195" s="3"/>
      <c r="L195" s="3"/>
      <c r="N195" s="3"/>
    </row>
    <row r="196" spans="1:14" x14ac:dyDescent="0.2">
      <c r="A196" s="3"/>
      <c r="B196" s="3"/>
      <c r="C196" s="3"/>
      <c r="D196" s="3"/>
      <c r="E196" s="3"/>
      <c r="F196" s="3"/>
      <c r="G196" s="3"/>
      <c r="L196" s="3"/>
      <c r="N196" s="3"/>
    </row>
    <row r="197" spans="1:14" x14ac:dyDescent="0.2">
      <c r="A197" s="3"/>
      <c r="B197" s="3"/>
      <c r="C197" s="3"/>
      <c r="D197" s="3"/>
      <c r="E197" s="3"/>
      <c r="F197" s="3"/>
      <c r="G197" s="3"/>
      <c r="L197" s="3"/>
      <c r="N197" s="3"/>
    </row>
    <row r="198" spans="1:14" x14ac:dyDescent="0.2">
      <c r="A198" s="3"/>
      <c r="B198" s="3"/>
      <c r="C198" s="3"/>
      <c r="D198" s="3"/>
      <c r="E198" s="3"/>
      <c r="F198" s="3"/>
      <c r="G198" s="3"/>
      <c r="L198" s="3"/>
      <c r="N198" s="3"/>
    </row>
    <row r="199" spans="1:14" x14ac:dyDescent="0.2">
      <c r="A199" s="3"/>
      <c r="B199" s="3"/>
      <c r="C199" s="3"/>
      <c r="D199" s="3"/>
      <c r="E199" s="3"/>
      <c r="F199" s="3"/>
      <c r="G199" s="3"/>
      <c r="L199" s="3"/>
      <c r="N199" s="3"/>
    </row>
    <row r="200" spans="1:14" x14ac:dyDescent="0.2">
      <c r="A200" s="3"/>
      <c r="B200" s="3"/>
      <c r="C200" s="3"/>
      <c r="D200" s="3"/>
      <c r="E200" s="3"/>
      <c r="F200" s="3"/>
      <c r="G200" s="3"/>
      <c r="L200" s="3"/>
      <c r="N200" s="3"/>
    </row>
    <row r="201" spans="1:14" x14ac:dyDescent="0.2">
      <c r="A201" s="3"/>
      <c r="B201" s="3"/>
      <c r="C201" s="3"/>
      <c r="D201" s="3"/>
      <c r="E201" s="3"/>
      <c r="F201" s="3"/>
      <c r="G201" s="3"/>
      <c r="L201" s="3"/>
      <c r="N201" s="3"/>
    </row>
    <row r="202" spans="1:14" x14ac:dyDescent="0.2">
      <c r="A202" s="3"/>
      <c r="B202" s="3"/>
      <c r="C202" s="3"/>
      <c r="D202" s="3"/>
      <c r="E202" s="3"/>
      <c r="F202" s="3"/>
      <c r="G202" s="3"/>
      <c r="L202" s="3"/>
      <c r="N202" s="3"/>
    </row>
    <row r="203" spans="1:14" x14ac:dyDescent="0.2">
      <c r="A203" s="3"/>
      <c r="B203" s="3"/>
      <c r="C203" s="3"/>
      <c r="D203" s="3"/>
      <c r="E203" s="3"/>
      <c r="F203" s="3"/>
      <c r="G203" s="3"/>
      <c r="L203" s="3"/>
      <c r="N203" s="3"/>
    </row>
    <row r="204" spans="1:14" x14ac:dyDescent="0.2">
      <c r="A204" s="3"/>
      <c r="B204" s="3"/>
      <c r="C204" s="3"/>
      <c r="D204" s="3"/>
      <c r="E204" s="3"/>
      <c r="F204" s="3"/>
      <c r="G204" s="3"/>
      <c r="L204" s="3"/>
      <c r="N204" s="3"/>
    </row>
    <row r="205" spans="1:14" x14ac:dyDescent="0.2">
      <c r="A205" s="3"/>
      <c r="B205" s="3"/>
      <c r="C205" s="3"/>
      <c r="D205" s="3"/>
      <c r="E205" s="3"/>
      <c r="F205" s="3"/>
      <c r="G205" s="3"/>
      <c r="L205" s="3"/>
      <c r="N205" s="3"/>
    </row>
    <row r="206" spans="1:14" x14ac:dyDescent="0.2">
      <c r="A206" s="3"/>
      <c r="B206" s="3"/>
      <c r="C206" s="3"/>
      <c r="D206" s="3"/>
      <c r="E206" s="3"/>
      <c r="F206" s="3"/>
      <c r="G206" s="3"/>
      <c r="L206" s="3"/>
      <c r="N206" s="3"/>
    </row>
    <row r="207" spans="1:14" x14ac:dyDescent="0.2">
      <c r="A207" s="3"/>
      <c r="B207" s="3"/>
      <c r="C207" s="3"/>
      <c r="D207" s="3"/>
      <c r="E207" s="3"/>
      <c r="F207" s="3"/>
      <c r="G207" s="3"/>
      <c r="L207" s="3"/>
      <c r="N207" s="3"/>
    </row>
    <row r="208" spans="1:14" x14ac:dyDescent="0.2">
      <c r="A208" s="3"/>
      <c r="B208" s="3"/>
      <c r="C208" s="3"/>
      <c r="D208" s="3"/>
      <c r="E208" s="3"/>
      <c r="F208" s="3"/>
      <c r="G208" s="3"/>
      <c r="L208" s="3"/>
      <c r="N208" s="3"/>
    </row>
    <row r="209" spans="1:14" x14ac:dyDescent="0.2">
      <c r="A209" s="3"/>
      <c r="B209" s="3"/>
      <c r="C209" s="3"/>
      <c r="D209" s="3"/>
      <c r="E209" s="3"/>
      <c r="F209" s="3"/>
      <c r="G209" s="3"/>
      <c r="L209" s="3"/>
      <c r="N209" s="3"/>
    </row>
    <row r="210" spans="1:14" x14ac:dyDescent="0.2">
      <c r="A210" s="3"/>
      <c r="B210" s="3"/>
      <c r="C210" s="3"/>
      <c r="D210" s="3"/>
      <c r="E210" s="3"/>
      <c r="F210" s="3"/>
      <c r="G210" s="3"/>
      <c r="L210" s="3"/>
      <c r="N210" s="3"/>
    </row>
    <row r="211" spans="1:14" x14ac:dyDescent="0.2">
      <c r="A211" s="3"/>
      <c r="B211" s="3"/>
      <c r="C211" s="3"/>
      <c r="D211" s="3"/>
      <c r="E211" s="3"/>
      <c r="F211" s="3"/>
      <c r="G211" s="3"/>
      <c r="L211" s="3"/>
      <c r="N211" s="3"/>
    </row>
    <row r="212" spans="1:14" x14ac:dyDescent="0.2">
      <c r="A212" s="3"/>
      <c r="B212" s="3"/>
      <c r="C212" s="3"/>
      <c r="D212" s="3"/>
      <c r="E212" s="3"/>
      <c r="F212" s="3"/>
      <c r="G212" s="3"/>
      <c r="L212" s="3"/>
      <c r="N212" s="3"/>
    </row>
    <row r="213" spans="1:14" x14ac:dyDescent="0.2">
      <c r="A213" s="3"/>
      <c r="B213" s="3"/>
      <c r="C213" s="3"/>
      <c r="D213" s="3"/>
      <c r="E213" s="3"/>
      <c r="F213" s="3"/>
      <c r="G213" s="3"/>
      <c r="L213" s="3"/>
      <c r="N213" s="3"/>
    </row>
    <row r="214" spans="1:14" x14ac:dyDescent="0.2">
      <c r="A214" s="3"/>
      <c r="B214" s="3"/>
      <c r="C214" s="3"/>
      <c r="D214" s="3"/>
      <c r="E214" s="3"/>
      <c r="F214" s="3"/>
      <c r="G214" s="3"/>
      <c r="L214" s="3"/>
      <c r="N214" s="3"/>
    </row>
    <row r="215" spans="1:14" x14ac:dyDescent="0.2">
      <c r="A215" s="3"/>
      <c r="B215" s="3"/>
      <c r="C215" s="3"/>
      <c r="D215" s="3"/>
      <c r="E215" s="3"/>
      <c r="F215" s="3"/>
      <c r="G215" s="3"/>
      <c r="L215" s="3"/>
      <c r="N215" s="3"/>
    </row>
    <row r="216" spans="1:14" x14ac:dyDescent="0.2">
      <c r="A216" s="3"/>
      <c r="B216" s="3"/>
      <c r="C216" s="3"/>
      <c r="D216" s="3"/>
      <c r="E216" s="3"/>
      <c r="F216" s="3"/>
      <c r="G216" s="3"/>
      <c r="L216" s="3"/>
      <c r="N216" s="3"/>
    </row>
    <row r="217" spans="1:14" x14ac:dyDescent="0.2">
      <c r="A217" s="3"/>
      <c r="B217" s="3"/>
      <c r="C217" s="3"/>
      <c r="D217" s="3"/>
      <c r="E217" s="3"/>
      <c r="F217" s="3"/>
      <c r="G217" s="3"/>
      <c r="L217" s="3"/>
      <c r="N217" s="3"/>
    </row>
    <row r="218" spans="1:14" x14ac:dyDescent="0.2">
      <c r="A218" s="3"/>
      <c r="B218" s="3"/>
      <c r="C218" s="3"/>
      <c r="D218" s="3"/>
      <c r="E218" s="3"/>
      <c r="F218" s="3"/>
      <c r="G218" s="3"/>
      <c r="L218" s="3"/>
      <c r="N218" s="3"/>
    </row>
    <row r="219" spans="1:14" x14ac:dyDescent="0.2">
      <c r="A219" s="3"/>
      <c r="B219" s="3"/>
      <c r="C219" s="3"/>
      <c r="D219" s="3"/>
      <c r="E219" s="3"/>
      <c r="F219" s="3"/>
      <c r="G219" s="3"/>
      <c r="L219" s="3"/>
      <c r="N219" s="3"/>
    </row>
    <row r="220" spans="1:14" x14ac:dyDescent="0.2">
      <c r="A220" s="3"/>
      <c r="B220" s="3"/>
      <c r="C220" s="3"/>
      <c r="D220" s="3"/>
      <c r="E220" s="3"/>
      <c r="F220" s="3"/>
      <c r="G220" s="3"/>
      <c r="L220" s="3"/>
      <c r="N220" s="3"/>
    </row>
    <row r="221" spans="1:14" x14ac:dyDescent="0.2">
      <c r="A221" s="3"/>
      <c r="B221" s="3"/>
      <c r="C221" s="3"/>
      <c r="D221" s="3"/>
      <c r="E221" s="3"/>
      <c r="F221" s="3"/>
      <c r="G221" s="3"/>
      <c r="L221" s="3"/>
      <c r="N221" s="3"/>
    </row>
    <row r="222" spans="1:14" x14ac:dyDescent="0.2">
      <c r="A222" s="3"/>
      <c r="B222" s="3"/>
      <c r="C222" s="3"/>
      <c r="D222" s="3"/>
      <c r="E222" s="3"/>
      <c r="F222" s="3"/>
      <c r="G222" s="3"/>
      <c r="L222" s="3"/>
      <c r="N222" s="3"/>
    </row>
    <row r="223" spans="1:14" x14ac:dyDescent="0.2">
      <c r="A223" s="3"/>
      <c r="B223" s="3"/>
      <c r="C223" s="3"/>
      <c r="D223" s="3"/>
      <c r="E223" s="3"/>
      <c r="F223" s="3"/>
      <c r="G223" s="3"/>
      <c r="L223" s="3"/>
      <c r="N223" s="3"/>
    </row>
    <row r="224" spans="1:14" x14ac:dyDescent="0.2">
      <c r="A224" s="3"/>
      <c r="B224" s="3"/>
      <c r="C224" s="3"/>
      <c r="D224" s="3"/>
      <c r="E224" s="3"/>
      <c r="F224" s="3"/>
      <c r="G224" s="3"/>
      <c r="L224" s="3"/>
      <c r="N224" s="3"/>
    </row>
    <row r="225" spans="1:14" x14ac:dyDescent="0.2">
      <c r="A225" s="3"/>
      <c r="B225" s="3"/>
      <c r="C225" s="3"/>
      <c r="D225" s="3"/>
      <c r="E225" s="3"/>
      <c r="F225" s="3"/>
      <c r="G225" s="3"/>
      <c r="L225" s="3"/>
      <c r="N225" s="3"/>
    </row>
    <row r="226" spans="1:14" x14ac:dyDescent="0.2">
      <c r="A226" s="3"/>
      <c r="B226" s="3"/>
      <c r="C226" s="3"/>
      <c r="D226" s="3"/>
      <c r="E226" s="3"/>
      <c r="F226" s="3"/>
      <c r="G226" s="3"/>
      <c r="L226" s="3"/>
      <c r="N226" s="3"/>
    </row>
    <row r="227" spans="1:14" x14ac:dyDescent="0.2">
      <c r="A227" s="3"/>
      <c r="B227" s="3"/>
      <c r="C227" s="3"/>
      <c r="D227" s="3"/>
      <c r="E227" s="3"/>
      <c r="F227" s="3"/>
      <c r="G227" s="3"/>
      <c r="L227" s="3"/>
      <c r="N227" s="3"/>
    </row>
    <row r="228" spans="1:14" x14ac:dyDescent="0.2">
      <c r="A228" s="3"/>
      <c r="B228" s="3"/>
      <c r="C228" s="3"/>
      <c r="D228" s="3"/>
      <c r="E228" s="3"/>
      <c r="F228" s="3"/>
      <c r="G228" s="3"/>
      <c r="L228" s="3"/>
      <c r="N228" s="3"/>
    </row>
    <row r="229" spans="1:14" x14ac:dyDescent="0.2">
      <c r="A229" s="3"/>
      <c r="B229" s="3"/>
      <c r="C229" s="3"/>
      <c r="D229" s="3"/>
      <c r="E229" s="3"/>
      <c r="F229" s="3"/>
      <c r="G229" s="3"/>
      <c r="L229" s="3"/>
      <c r="N229" s="3"/>
    </row>
    <row r="230" spans="1:14" x14ac:dyDescent="0.2">
      <c r="A230" s="3"/>
      <c r="B230" s="3"/>
      <c r="C230" s="3"/>
      <c r="D230" s="3"/>
      <c r="E230" s="3"/>
      <c r="F230" s="3"/>
      <c r="G230" s="3"/>
      <c r="L230" s="3"/>
      <c r="N230" s="3"/>
    </row>
    <row r="231" spans="1:14" x14ac:dyDescent="0.2">
      <c r="A231" s="3"/>
      <c r="B231" s="3"/>
      <c r="C231" s="3"/>
      <c r="D231" s="3"/>
      <c r="E231" s="3"/>
      <c r="F231" s="3"/>
      <c r="G231" s="3"/>
      <c r="L231" s="3"/>
      <c r="N231" s="3"/>
    </row>
    <row r="232" spans="1:14" x14ac:dyDescent="0.2">
      <c r="A232" s="3"/>
      <c r="B232" s="3"/>
      <c r="C232" s="3"/>
      <c r="D232" s="3"/>
      <c r="E232" s="3"/>
      <c r="F232" s="3"/>
      <c r="G232" s="3"/>
      <c r="L232" s="3"/>
      <c r="N232" s="3"/>
    </row>
    <row r="233" spans="1:14" x14ac:dyDescent="0.2">
      <c r="A233" s="3"/>
      <c r="B233" s="3"/>
      <c r="C233" s="3"/>
      <c r="D233" s="3"/>
      <c r="E233" s="3"/>
      <c r="F233" s="3"/>
      <c r="G233" s="3"/>
      <c r="L233" s="3"/>
      <c r="N233" s="3"/>
    </row>
    <row r="234" spans="1:14" x14ac:dyDescent="0.2">
      <c r="A234" s="3"/>
      <c r="B234" s="3"/>
      <c r="C234" s="3"/>
      <c r="D234" s="3"/>
      <c r="E234" s="3"/>
      <c r="F234" s="3"/>
      <c r="G234" s="3"/>
      <c r="L234" s="3"/>
      <c r="N234" s="3"/>
    </row>
    <row r="235" spans="1:14" x14ac:dyDescent="0.2">
      <c r="A235" s="3"/>
      <c r="B235" s="3"/>
      <c r="C235" s="3"/>
      <c r="D235" s="3"/>
      <c r="E235" s="3"/>
      <c r="F235" s="3"/>
      <c r="G235" s="3"/>
      <c r="L235" s="3"/>
      <c r="N235" s="3"/>
    </row>
    <row r="236" spans="1:14" x14ac:dyDescent="0.2">
      <c r="A236" s="3"/>
      <c r="B236" s="3"/>
      <c r="C236" s="3"/>
      <c r="D236" s="3"/>
      <c r="E236" s="3"/>
      <c r="F236" s="3"/>
      <c r="G236" s="3"/>
      <c r="L236" s="3"/>
      <c r="N236" s="3"/>
    </row>
    <row r="237" spans="1:14" x14ac:dyDescent="0.2">
      <c r="A237" s="3"/>
      <c r="B237" s="3"/>
      <c r="C237" s="3"/>
      <c r="D237" s="3"/>
      <c r="E237" s="3"/>
      <c r="F237" s="3"/>
      <c r="G237" s="3"/>
      <c r="L237" s="3"/>
      <c r="N237" s="3"/>
    </row>
    <row r="238" spans="1:14" x14ac:dyDescent="0.2">
      <c r="A238" s="3"/>
      <c r="B238" s="3"/>
      <c r="C238" s="3"/>
      <c r="D238" s="3"/>
      <c r="E238" s="3"/>
      <c r="F238" s="3"/>
      <c r="G238" s="3"/>
      <c r="L238" s="3"/>
      <c r="N238" s="3"/>
    </row>
    <row r="239" spans="1:14" x14ac:dyDescent="0.2">
      <c r="A239" s="3"/>
      <c r="B239" s="3"/>
      <c r="C239" s="3"/>
      <c r="D239" s="3"/>
      <c r="E239" s="3"/>
      <c r="F239" s="3"/>
      <c r="G239" s="3"/>
      <c r="L239" s="3"/>
      <c r="N239" s="3"/>
    </row>
    <row r="240" spans="1:14" x14ac:dyDescent="0.2">
      <c r="A240" s="3"/>
      <c r="B240" s="3"/>
      <c r="C240" s="3"/>
      <c r="D240" s="3"/>
      <c r="E240" s="3"/>
      <c r="F240" s="3"/>
      <c r="G240" s="3"/>
      <c r="L240" s="3"/>
      <c r="N240" s="3"/>
    </row>
    <row r="241" spans="1:14" x14ac:dyDescent="0.2">
      <c r="A241" s="3"/>
      <c r="B241" s="3"/>
      <c r="C241" s="3"/>
      <c r="D241" s="3"/>
      <c r="E241" s="3"/>
      <c r="F241" s="3"/>
      <c r="G241" s="3"/>
      <c r="L241" s="3"/>
      <c r="N241" s="3"/>
    </row>
    <row r="242" spans="1:14" x14ac:dyDescent="0.2">
      <c r="A242" s="3"/>
      <c r="B242" s="3"/>
      <c r="C242" s="3"/>
      <c r="D242" s="3"/>
      <c r="E242" s="3"/>
      <c r="F242" s="3"/>
      <c r="G242" s="3"/>
      <c r="L242" s="3"/>
      <c r="N242" s="3"/>
    </row>
    <row r="243" spans="1:14" x14ac:dyDescent="0.2">
      <c r="A243" s="3"/>
      <c r="B243" s="3"/>
      <c r="C243" s="3"/>
      <c r="D243" s="3"/>
      <c r="E243" s="3"/>
      <c r="F243" s="3"/>
      <c r="G243" s="3"/>
      <c r="L243" s="3"/>
      <c r="N243" s="3"/>
    </row>
    <row r="244" spans="1:14" x14ac:dyDescent="0.2">
      <c r="A244" s="3"/>
      <c r="B244" s="3"/>
      <c r="C244" s="3"/>
      <c r="D244" s="3"/>
      <c r="E244" s="3"/>
      <c r="F244" s="3"/>
      <c r="G244" s="3"/>
      <c r="L244" s="3"/>
      <c r="N244" s="3"/>
    </row>
    <row r="245" spans="1:14" x14ac:dyDescent="0.2">
      <c r="A245" s="3"/>
      <c r="B245" s="3"/>
      <c r="C245" s="3"/>
      <c r="D245" s="3"/>
      <c r="E245" s="3"/>
      <c r="F245" s="3"/>
      <c r="G245" s="3"/>
      <c r="L245" s="3"/>
      <c r="N245" s="3"/>
    </row>
    <row r="246" spans="1:14" x14ac:dyDescent="0.2">
      <c r="A246" s="3"/>
      <c r="B246" s="3"/>
      <c r="C246" s="3"/>
      <c r="D246" s="3"/>
      <c r="E246" s="3"/>
      <c r="F246" s="3"/>
      <c r="G246" s="3"/>
      <c r="L246" s="3"/>
      <c r="N246" s="3"/>
    </row>
    <row r="247" spans="1:14" x14ac:dyDescent="0.2">
      <c r="A247" s="3"/>
      <c r="B247" s="3"/>
      <c r="C247" s="3"/>
      <c r="D247" s="3"/>
      <c r="E247" s="3"/>
      <c r="F247" s="3"/>
      <c r="G247" s="3"/>
      <c r="L247" s="3"/>
      <c r="N247" s="3"/>
    </row>
    <row r="248" spans="1:14" x14ac:dyDescent="0.2">
      <c r="A248" s="3"/>
      <c r="B248" s="3"/>
      <c r="C248" s="3"/>
      <c r="D248" s="3"/>
      <c r="E248" s="3"/>
      <c r="F248" s="3"/>
      <c r="G248" s="3"/>
      <c r="L248" s="3"/>
      <c r="N248" s="3"/>
    </row>
    <row r="249" spans="1:14" x14ac:dyDescent="0.2">
      <c r="A249" s="3"/>
      <c r="B249" s="3"/>
      <c r="C249" s="3"/>
      <c r="D249" s="3"/>
      <c r="E249" s="3"/>
      <c r="F249" s="3"/>
      <c r="G249" s="3"/>
      <c r="L249" s="3"/>
      <c r="N249" s="3"/>
    </row>
    <row r="250" spans="1:14" x14ac:dyDescent="0.2">
      <c r="A250" s="3"/>
      <c r="B250" s="3"/>
      <c r="C250" s="3"/>
      <c r="D250" s="3"/>
      <c r="E250" s="3"/>
      <c r="F250" s="3"/>
      <c r="G250" s="3"/>
      <c r="L250" s="3"/>
      <c r="N250" s="3"/>
    </row>
    <row r="251" spans="1:14" x14ac:dyDescent="0.2">
      <c r="A251" s="3"/>
      <c r="B251" s="3"/>
      <c r="C251" s="3"/>
      <c r="D251" s="3"/>
      <c r="E251" s="3"/>
      <c r="F251" s="3"/>
      <c r="G251" s="3"/>
      <c r="L251" s="3"/>
      <c r="N251" s="3"/>
    </row>
    <row r="252" spans="1:14" x14ac:dyDescent="0.2">
      <c r="A252" s="3"/>
      <c r="B252" s="3"/>
      <c r="C252" s="3"/>
      <c r="D252" s="3"/>
      <c r="E252" s="3"/>
      <c r="F252" s="3"/>
      <c r="G252" s="3"/>
      <c r="L252" s="3"/>
      <c r="N252" s="3"/>
    </row>
    <row r="253" spans="1:14" x14ac:dyDescent="0.2">
      <c r="A253" s="3"/>
      <c r="B253" s="3"/>
      <c r="C253" s="3"/>
      <c r="D253" s="3"/>
      <c r="E253" s="3"/>
      <c r="F253" s="3"/>
      <c r="G253" s="3"/>
      <c r="L253" s="3"/>
      <c r="N253" s="3"/>
    </row>
    <row r="254" spans="1:14" x14ac:dyDescent="0.2">
      <c r="A254" s="3"/>
      <c r="B254" s="3"/>
      <c r="C254" s="3"/>
      <c r="D254" s="3"/>
      <c r="E254" s="3"/>
      <c r="F254" s="3"/>
      <c r="G254" s="3"/>
      <c r="L254" s="3"/>
      <c r="N254" s="3"/>
    </row>
    <row r="255" spans="1:14" x14ac:dyDescent="0.2">
      <c r="A255" s="3"/>
      <c r="B255" s="3"/>
      <c r="C255" s="3"/>
      <c r="D255" s="3"/>
      <c r="E255" s="3"/>
      <c r="F255" s="3"/>
      <c r="G255" s="3"/>
      <c r="L255" s="3"/>
      <c r="N255" s="3"/>
    </row>
    <row r="256" spans="1:14" x14ac:dyDescent="0.2">
      <c r="A256" s="3"/>
      <c r="B256" s="3"/>
      <c r="C256" s="3"/>
      <c r="D256" s="3"/>
      <c r="E256" s="3"/>
      <c r="F256" s="3"/>
      <c r="G256" s="3"/>
      <c r="L256" s="3"/>
      <c r="N256" s="3"/>
    </row>
    <row r="257" spans="1:14" x14ac:dyDescent="0.2">
      <c r="A257" s="3"/>
      <c r="B257" s="3"/>
      <c r="C257" s="3"/>
      <c r="D257" s="3"/>
      <c r="E257" s="3"/>
      <c r="F257" s="3"/>
      <c r="G257" s="3"/>
      <c r="L257" s="3"/>
      <c r="N257" s="3"/>
    </row>
    <row r="258" spans="1:14" x14ac:dyDescent="0.2">
      <c r="A258" s="3"/>
      <c r="B258" s="3"/>
      <c r="C258" s="3"/>
      <c r="D258" s="3"/>
      <c r="E258" s="3"/>
      <c r="F258" s="3"/>
      <c r="G258" s="3"/>
      <c r="L258" s="3"/>
      <c r="N258" s="3"/>
    </row>
    <row r="259" spans="1:14" x14ac:dyDescent="0.2">
      <c r="A259" s="3"/>
      <c r="B259" s="3"/>
      <c r="C259" s="3"/>
      <c r="D259" s="3"/>
      <c r="E259" s="3"/>
      <c r="F259" s="3"/>
      <c r="G259" s="3"/>
      <c r="L259" s="3"/>
      <c r="N259" s="3"/>
    </row>
    <row r="260" spans="1:14" x14ac:dyDescent="0.2">
      <c r="A260" s="3"/>
      <c r="B260" s="3"/>
      <c r="C260" s="3"/>
      <c r="D260" s="3"/>
      <c r="E260" s="3"/>
      <c r="F260" s="3"/>
      <c r="G260" s="3"/>
      <c r="L260" s="3"/>
      <c r="N260" s="3"/>
    </row>
    <row r="261" spans="1:14" x14ac:dyDescent="0.2">
      <c r="A261" s="3"/>
      <c r="B261" s="3"/>
      <c r="C261" s="3"/>
      <c r="D261" s="3"/>
      <c r="E261" s="3"/>
      <c r="F261" s="3"/>
      <c r="G261" s="3"/>
      <c r="L261" s="3"/>
      <c r="N261" s="3"/>
    </row>
    <row r="262" spans="1:14" x14ac:dyDescent="0.2">
      <c r="A262" s="3"/>
      <c r="B262" s="3"/>
      <c r="C262" s="3"/>
      <c r="D262" s="3"/>
      <c r="E262" s="3"/>
      <c r="F262" s="3"/>
      <c r="G262" s="3"/>
      <c r="L262" s="3"/>
      <c r="N262" s="3"/>
    </row>
    <row r="263" spans="1:14" x14ac:dyDescent="0.2">
      <c r="A263" s="3"/>
      <c r="B263" s="3"/>
      <c r="C263" s="3"/>
      <c r="D263" s="3"/>
      <c r="E263" s="3"/>
      <c r="F263" s="3"/>
      <c r="G263" s="3"/>
      <c r="L263" s="3"/>
      <c r="N263" s="3"/>
    </row>
    <row r="264" spans="1:14" x14ac:dyDescent="0.2">
      <c r="A264" s="3"/>
      <c r="B264" s="3"/>
      <c r="C264" s="3"/>
      <c r="D264" s="3"/>
      <c r="E264" s="3"/>
      <c r="F264" s="3"/>
      <c r="G264" s="3"/>
      <c r="L264" s="3"/>
      <c r="N264" s="3"/>
    </row>
    <row r="265" spans="1:14" x14ac:dyDescent="0.2">
      <c r="A265" s="3"/>
      <c r="B265" s="3"/>
      <c r="C265" s="3"/>
      <c r="D265" s="3"/>
      <c r="E265" s="3"/>
      <c r="F265" s="3"/>
      <c r="G265" s="3"/>
      <c r="L265" s="3"/>
      <c r="N265" s="3"/>
    </row>
    <row r="266" spans="1:14" x14ac:dyDescent="0.2">
      <c r="A266" s="3"/>
      <c r="B266" s="3"/>
      <c r="C266" s="3"/>
      <c r="D266" s="3"/>
      <c r="E266" s="3"/>
      <c r="F266" s="3"/>
      <c r="G266" s="3"/>
      <c r="L266" s="3"/>
      <c r="N266" s="3"/>
    </row>
    <row r="267" spans="1:14" x14ac:dyDescent="0.2">
      <c r="A267" s="3"/>
      <c r="B267" s="3"/>
      <c r="C267" s="3"/>
      <c r="D267" s="3"/>
      <c r="E267" s="3"/>
      <c r="F267" s="3"/>
      <c r="G267" s="3"/>
      <c r="L267" s="3"/>
      <c r="N267" s="3"/>
    </row>
    <row r="268" spans="1:14" x14ac:dyDescent="0.2">
      <c r="A268" s="3"/>
      <c r="B268" s="3"/>
      <c r="C268" s="3"/>
      <c r="D268" s="3"/>
      <c r="E268" s="3"/>
      <c r="F268" s="3"/>
      <c r="G268" s="3"/>
      <c r="L268" s="3"/>
      <c r="N268" s="3"/>
    </row>
    <row r="269" spans="1:14" x14ac:dyDescent="0.2">
      <c r="A269" s="3"/>
      <c r="B269" s="3"/>
      <c r="C269" s="3"/>
      <c r="D269" s="3"/>
      <c r="E269" s="3"/>
      <c r="F269" s="3"/>
      <c r="G269" s="3"/>
      <c r="L269" s="3"/>
      <c r="N269" s="3"/>
    </row>
    <row r="270" spans="1:14" x14ac:dyDescent="0.2">
      <c r="A270" s="3"/>
      <c r="B270" s="3"/>
      <c r="C270" s="3"/>
      <c r="D270" s="3"/>
      <c r="E270" s="3"/>
      <c r="F270" s="3"/>
      <c r="G270" s="3"/>
      <c r="L270" s="3"/>
      <c r="N270" s="3"/>
    </row>
    <row r="271" spans="1:14" x14ac:dyDescent="0.2">
      <c r="A271" s="3"/>
      <c r="B271" s="3"/>
      <c r="C271" s="3"/>
      <c r="D271" s="3"/>
      <c r="E271" s="3"/>
      <c r="F271" s="3"/>
      <c r="G271" s="3"/>
      <c r="L271" s="3"/>
      <c r="N271" s="3"/>
    </row>
    <row r="272" spans="1:14" x14ac:dyDescent="0.2">
      <c r="A272" s="3"/>
      <c r="B272" s="3"/>
      <c r="C272" s="3"/>
      <c r="D272" s="3"/>
      <c r="E272" s="3"/>
      <c r="F272" s="3"/>
      <c r="G272" s="3"/>
      <c r="L272" s="3"/>
      <c r="N272" s="3"/>
    </row>
    <row r="273" spans="1:14" x14ac:dyDescent="0.2">
      <c r="A273" s="3"/>
      <c r="B273" s="3"/>
      <c r="C273" s="3"/>
      <c r="D273" s="3"/>
      <c r="E273" s="3"/>
      <c r="F273" s="3"/>
      <c r="G273" s="3"/>
      <c r="L273" s="3"/>
      <c r="N273" s="3"/>
    </row>
    <row r="274" spans="1:14" x14ac:dyDescent="0.2">
      <c r="A274" s="3"/>
      <c r="B274" s="3"/>
      <c r="C274" s="3"/>
      <c r="D274" s="3"/>
      <c r="E274" s="3"/>
      <c r="F274" s="3"/>
      <c r="G274" s="3"/>
      <c r="L274" s="3"/>
      <c r="N274" s="3"/>
    </row>
    <row r="275" spans="1:14" x14ac:dyDescent="0.2">
      <c r="A275" s="3"/>
      <c r="B275" s="3"/>
      <c r="C275" s="3"/>
      <c r="D275" s="3"/>
      <c r="E275" s="3"/>
      <c r="F275" s="3"/>
      <c r="G275" s="3"/>
      <c r="L275" s="3"/>
      <c r="N275" s="3"/>
    </row>
    <row r="276" spans="1:14" x14ac:dyDescent="0.2">
      <c r="A276" s="3"/>
      <c r="B276" s="3"/>
      <c r="C276" s="3"/>
      <c r="D276" s="3"/>
      <c r="E276" s="3"/>
      <c r="F276" s="3"/>
      <c r="G276" s="3"/>
      <c r="L276" s="3"/>
      <c r="N276" s="3"/>
    </row>
    <row r="277" spans="1:14" x14ac:dyDescent="0.2">
      <c r="A277" s="3"/>
      <c r="B277" s="3"/>
      <c r="C277" s="3"/>
      <c r="D277" s="3"/>
      <c r="E277" s="3"/>
      <c r="F277" s="3"/>
      <c r="G277" s="3"/>
      <c r="L277" s="3"/>
      <c r="N277" s="3"/>
    </row>
    <row r="278" spans="1:14" x14ac:dyDescent="0.2">
      <c r="A278" s="3"/>
      <c r="B278" s="3"/>
      <c r="C278" s="3"/>
      <c r="D278" s="3"/>
      <c r="E278" s="3"/>
      <c r="F278" s="3"/>
      <c r="G278" s="3"/>
      <c r="L278" s="3"/>
      <c r="N278" s="3"/>
    </row>
    <row r="279" spans="1:14" x14ac:dyDescent="0.2">
      <c r="A279" s="3"/>
      <c r="B279" s="3"/>
      <c r="C279" s="3"/>
      <c r="D279" s="3"/>
      <c r="E279" s="3"/>
      <c r="F279" s="3"/>
      <c r="G279" s="3"/>
      <c r="L279" s="3"/>
      <c r="N279" s="3"/>
    </row>
    <row r="280" spans="1:14" x14ac:dyDescent="0.2">
      <c r="A280" s="3"/>
      <c r="B280" s="3"/>
      <c r="C280" s="3"/>
      <c r="D280" s="3"/>
      <c r="E280" s="3"/>
      <c r="F280" s="3"/>
      <c r="G280" s="3"/>
      <c r="L280" s="3"/>
      <c r="N280" s="3"/>
    </row>
    <row r="281" spans="1:14" x14ac:dyDescent="0.2">
      <c r="A281" s="3"/>
      <c r="B281" s="3"/>
      <c r="C281" s="3"/>
      <c r="D281" s="3"/>
      <c r="E281" s="3"/>
      <c r="F281" s="3"/>
      <c r="G281" s="3"/>
      <c r="L281" s="3"/>
      <c r="N281" s="3"/>
    </row>
    <row r="282" spans="1:14" x14ac:dyDescent="0.2">
      <c r="A282" s="3"/>
      <c r="B282" s="3"/>
      <c r="C282" s="3"/>
      <c r="D282" s="3"/>
      <c r="E282" s="3"/>
      <c r="F282" s="3"/>
      <c r="G282" s="3"/>
      <c r="L282" s="3"/>
      <c r="N282" s="3"/>
    </row>
    <row r="283" spans="1:14" x14ac:dyDescent="0.2">
      <c r="A283" s="3"/>
      <c r="B283" s="3"/>
      <c r="C283" s="3"/>
      <c r="D283" s="3"/>
      <c r="E283" s="3"/>
      <c r="F283" s="3"/>
      <c r="G283" s="3"/>
      <c r="L283" s="3"/>
      <c r="N283" s="3"/>
    </row>
    <row r="284" spans="1:14" x14ac:dyDescent="0.2">
      <c r="A284" s="3"/>
      <c r="B284" s="3"/>
      <c r="C284" s="3"/>
      <c r="D284" s="3"/>
      <c r="E284" s="3"/>
      <c r="F284" s="3"/>
      <c r="G284" s="3"/>
      <c r="L284" s="3"/>
      <c r="N284" s="3"/>
    </row>
    <row r="285" spans="1:14" x14ac:dyDescent="0.2">
      <c r="A285" s="3"/>
      <c r="B285" s="3"/>
      <c r="C285" s="3"/>
      <c r="D285" s="3"/>
      <c r="E285" s="3"/>
      <c r="F285" s="3"/>
      <c r="G285" s="3"/>
      <c r="L285" s="3"/>
      <c r="N285" s="3"/>
    </row>
    <row r="286" spans="1:14" x14ac:dyDescent="0.2">
      <c r="A286" s="3"/>
      <c r="B286" s="3"/>
      <c r="C286" s="3"/>
      <c r="D286" s="3"/>
      <c r="E286" s="3"/>
      <c r="F286" s="3"/>
      <c r="G286" s="3"/>
      <c r="L286" s="3"/>
      <c r="N286" s="3"/>
    </row>
    <row r="287" spans="1:14" x14ac:dyDescent="0.2">
      <c r="A287" s="3"/>
      <c r="B287" s="3"/>
      <c r="C287" s="3"/>
      <c r="D287" s="3"/>
      <c r="E287" s="3"/>
      <c r="F287" s="3"/>
      <c r="G287" s="3"/>
      <c r="L287" s="3"/>
      <c r="N287" s="3"/>
    </row>
    <row r="288" spans="1:14" x14ac:dyDescent="0.2">
      <c r="A288" s="3"/>
      <c r="B288" s="3"/>
      <c r="C288" s="3"/>
      <c r="D288" s="3"/>
      <c r="E288" s="3"/>
      <c r="F288" s="3"/>
      <c r="G288" s="3"/>
      <c r="L288" s="3"/>
      <c r="N288" s="3"/>
    </row>
    <row r="289" spans="1:14" x14ac:dyDescent="0.2">
      <c r="A289" s="3"/>
      <c r="B289" s="3"/>
      <c r="C289" s="3"/>
      <c r="D289" s="3"/>
      <c r="E289" s="3"/>
      <c r="F289" s="3"/>
      <c r="G289" s="3"/>
      <c r="L289" s="3"/>
      <c r="N289" s="3"/>
    </row>
    <row r="290" spans="1:14" x14ac:dyDescent="0.2">
      <c r="A290" s="3"/>
      <c r="B290" s="3"/>
      <c r="C290" s="3"/>
      <c r="D290" s="3"/>
      <c r="E290" s="3"/>
      <c r="F290" s="3"/>
      <c r="G290" s="3"/>
      <c r="L290" s="3"/>
      <c r="N290" s="3"/>
    </row>
    <row r="291" spans="1:14" x14ac:dyDescent="0.2">
      <c r="A291" s="3"/>
      <c r="B291" s="3"/>
      <c r="C291" s="3"/>
      <c r="D291" s="3"/>
      <c r="E291" s="3"/>
      <c r="F291" s="3"/>
      <c r="G291" s="3"/>
      <c r="L291" s="3"/>
      <c r="N291" s="3"/>
    </row>
    <row r="292" spans="1:14" x14ac:dyDescent="0.2">
      <c r="A292" s="3"/>
      <c r="B292" s="3"/>
      <c r="C292" s="3"/>
      <c r="D292" s="3"/>
      <c r="E292" s="3"/>
      <c r="F292" s="3"/>
      <c r="G292" s="3"/>
      <c r="L292" s="3"/>
      <c r="N292" s="3"/>
    </row>
    <row r="293" spans="1:14" x14ac:dyDescent="0.2">
      <c r="A293" s="3"/>
      <c r="B293" s="3"/>
      <c r="C293" s="3"/>
      <c r="D293" s="3"/>
      <c r="E293" s="3"/>
      <c r="F293" s="3"/>
      <c r="G293" s="3"/>
      <c r="L293" s="3"/>
      <c r="N293" s="3"/>
    </row>
    <row r="294" spans="1:14" x14ac:dyDescent="0.2">
      <c r="A294" s="3"/>
      <c r="B294" s="3"/>
      <c r="C294" s="3"/>
      <c r="D294" s="3"/>
      <c r="E294" s="3"/>
      <c r="F294" s="3"/>
      <c r="G294" s="3"/>
      <c r="L294" s="3"/>
      <c r="N294" s="3"/>
    </row>
    <row r="295" spans="1:14" x14ac:dyDescent="0.2">
      <c r="A295" s="3"/>
      <c r="B295" s="3"/>
      <c r="C295" s="3"/>
      <c r="D295" s="3"/>
      <c r="E295" s="3"/>
      <c r="F295" s="3"/>
      <c r="G295" s="3"/>
      <c r="L295" s="3"/>
      <c r="N295" s="3"/>
    </row>
    <row r="296" spans="1:14" x14ac:dyDescent="0.2">
      <c r="A296" s="3"/>
      <c r="B296" s="3"/>
      <c r="C296" s="3"/>
      <c r="D296" s="3"/>
      <c r="E296" s="3"/>
      <c r="F296" s="3"/>
      <c r="G296" s="3"/>
      <c r="L296" s="3"/>
      <c r="N296" s="3"/>
    </row>
    <row r="297" spans="1:14" x14ac:dyDescent="0.2">
      <c r="A297" s="3"/>
      <c r="B297" s="3"/>
      <c r="C297" s="3"/>
      <c r="D297" s="3"/>
      <c r="E297" s="3"/>
      <c r="F297" s="3"/>
      <c r="G297" s="3"/>
      <c r="L297" s="3"/>
      <c r="N297" s="3"/>
    </row>
    <row r="298" spans="1:14" x14ac:dyDescent="0.2">
      <c r="A298" s="3"/>
      <c r="B298" s="3"/>
      <c r="C298" s="3"/>
      <c r="D298" s="3"/>
      <c r="E298" s="3"/>
      <c r="F298" s="3"/>
      <c r="G298" s="3"/>
      <c r="L298" s="3"/>
      <c r="N298" s="3"/>
    </row>
    <row r="299" spans="1:14" x14ac:dyDescent="0.2">
      <c r="A299" s="3"/>
      <c r="B299" s="3"/>
      <c r="C299" s="3"/>
      <c r="D299" s="3"/>
      <c r="E299" s="3"/>
      <c r="F299" s="3"/>
      <c r="G299" s="3"/>
      <c r="L299" s="3"/>
      <c r="N299" s="3"/>
    </row>
    <row r="300" spans="1:14" x14ac:dyDescent="0.2">
      <c r="A300" s="3"/>
      <c r="B300" s="3"/>
      <c r="C300" s="3"/>
      <c r="D300" s="3"/>
      <c r="E300" s="3"/>
      <c r="F300" s="3"/>
      <c r="G300" s="3"/>
      <c r="L300" s="3"/>
      <c r="N300" s="3"/>
    </row>
    <row r="301" spans="1:14" x14ac:dyDescent="0.2">
      <c r="A301" s="3"/>
      <c r="B301" s="3"/>
      <c r="C301" s="3"/>
      <c r="D301" s="3"/>
      <c r="E301" s="3"/>
      <c r="F301" s="3"/>
      <c r="G301" s="3"/>
      <c r="L301" s="3"/>
      <c r="N301" s="3"/>
    </row>
    <row r="302" spans="1:14" x14ac:dyDescent="0.2">
      <c r="A302" s="3"/>
      <c r="B302" s="3"/>
      <c r="C302" s="3"/>
      <c r="D302" s="3"/>
      <c r="E302" s="3"/>
      <c r="F302" s="3"/>
      <c r="G302" s="3"/>
      <c r="L302" s="3"/>
      <c r="N302" s="3"/>
    </row>
    <row r="303" spans="1:14" x14ac:dyDescent="0.2">
      <c r="A303" s="3"/>
      <c r="B303" s="3"/>
      <c r="C303" s="3"/>
      <c r="D303" s="3"/>
      <c r="E303" s="3"/>
      <c r="F303" s="3"/>
      <c r="G303" s="3"/>
      <c r="L303" s="3"/>
      <c r="N303" s="3"/>
    </row>
    <row r="304" spans="1:14" x14ac:dyDescent="0.2">
      <c r="A304" s="3"/>
      <c r="B304" s="3"/>
      <c r="C304" s="3"/>
      <c r="D304" s="3"/>
      <c r="E304" s="3"/>
      <c r="F304" s="3"/>
      <c r="G304" s="3"/>
      <c r="L304" s="3"/>
      <c r="N304" s="3"/>
    </row>
    <row r="305" spans="1:14" x14ac:dyDescent="0.2">
      <c r="A305" s="3"/>
      <c r="B305" s="3"/>
      <c r="C305" s="3"/>
      <c r="D305" s="3"/>
      <c r="E305" s="3"/>
      <c r="F305" s="3"/>
      <c r="G305" s="3"/>
      <c r="L305" s="3"/>
      <c r="N305" s="3"/>
    </row>
    <row r="306" spans="1:14" x14ac:dyDescent="0.2">
      <c r="A306" s="3"/>
      <c r="B306" s="3"/>
      <c r="C306" s="3"/>
      <c r="D306" s="3"/>
      <c r="E306" s="3"/>
      <c r="F306" s="3"/>
      <c r="G306" s="3"/>
      <c r="L306" s="3"/>
      <c r="N306" s="3"/>
    </row>
    <row r="307" spans="1:14" x14ac:dyDescent="0.2">
      <c r="A307" s="3"/>
      <c r="B307" s="3"/>
      <c r="C307" s="3"/>
      <c r="D307" s="3"/>
      <c r="E307" s="3"/>
      <c r="F307" s="3"/>
      <c r="G307" s="3"/>
      <c r="L307" s="3"/>
      <c r="N307" s="3"/>
    </row>
    <row r="308" spans="1:14" x14ac:dyDescent="0.2">
      <c r="A308" s="3"/>
      <c r="B308" s="3"/>
      <c r="C308" s="3"/>
      <c r="D308" s="3"/>
      <c r="E308" s="3"/>
      <c r="F308" s="3"/>
      <c r="G308" s="3"/>
      <c r="L308" s="3"/>
      <c r="N308" s="3"/>
    </row>
    <row r="309" spans="1:14" x14ac:dyDescent="0.2">
      <c r="A309" s="3"/>
      <c r="B309" s="3"/>
      <c r="C309" s="3"/>
      <c r="D309" s="3"/>
      <c r="E309" s="3"/>
      <c r="F309" s="3"/>
      <c r="G309" s="3"/>
      <c r="L309" s="3"/>
      <c r="N309" s="3"/>
    </row>
    <row r="310" spans="1:14" x14ac:dyDescent="0.2">
      <c r="A310" s="3"/>
      <c r="B310" s="3"/>
      <c r="C310" s="3"/>
      <c r="D310" s="3"/>
      <c r="E310" s="3"/>
      <c r="F310" s="3"/>
      <c r="G310" s="3"/>
      <c r="L310" s="3"/>
      <c r="N310" s="3"/>
    </row>
    <row r="311" spans="1:14" x14ac:dyDescent="0.2">
      <c r="A311" s="3"/>
      <c r="B311" s="3"/>
      <c r="C311" s="3"/>
      <c r="D311" s="3"/>
      <c r="E311" s="3"/>
      <c r="F311" s="3"/>
      <c r="G311" s="3"/>
      <c r="L311" s="3"/>
      <c r="N311" s="3"/>
    </row>
    <row r="312" spans="1:14" x14ac:dyDescent="0.2">
      <c r="A312" s="3"/>
      <c r="B312" s="3"/>
      <c r="C312" s="3"/>
      <c r="D312" s="3"/>
      <c r="E312" s="3"/>
      <c r="F312" s="3"/>
      <c r="G312" s="3"/>
      <c r="L312" s="3"/>
      <c r="N312" s="3"/>
    </row>
    <row r="313" spans="1:14" x14ac:dyDescent="0.2">
      <c r="A313" s="3"/>
      <c r="B313" s="3"/>
      <c r="C313" s="3"/>
      <c r="D313" s="3"/>
      <c r="E313" s="3"/>
      <c r="F313" s="3"/>
      <c r="G313" s="3"/>
      <c r="L313" s="3"/>
      <c r="N313" s="3"/>
    </row>
    <row r="314" spans="1:14" x14ac:dyDescent="0.2">
      <c r="A314" s="3"/>
      <c r="B314" s="3"/>
      <c r="C314" s="3"/>
      <c r="D314" s="3"/>
      <c r="E314" s="3"/>
      <c r="F314" s="3"/>
      <c r="G314" s="3"/>
      <c r="L314" s="3"/>
      <c r="N314" s="3"/>
    </row>
    <row r="315" spans="1:14" x14ac:dyDescent="0.2">
      <c r="A315" s="3"/>
      <c r="B315" s="3"/>
      <c r="C315" s="3"/>
      <c r="D315" s="3"/>
      <c r="E315" s="3"/>
      <c r="F315" s="3"/>
      <c r="G315" s="3"/>
      <c r="L315" s="3"/>
      <c r="N315" s="3"/>
    </row>
    <row r="316" spans="1:14" x14ac:dyDescent="0.2">
      <c r="A316" s="3"/>
      <c r="B316" s="3"/>
      <c r="C316" s="3"/>
      <c r="D316" s="3"/>
      <c r="E316" s="3"/>
      <c r="F316" s="3"/>
      <c r="G316" s="3"/>
      <c r="L316" s="3"/>
      <c r="N316" s="3"/>
    </row>
    <row r="317" spans="1:14" x14ac:dyDescent="0.2">
      <c r="A317" s="3"/>
      <c r="B317" s="3"/>
      <c r="C317" s="3"/>
      <c r="D317" s="3"/>
      <c r="E317" s="3"/>
      <c r="F317" s="3"/>
      <c r="G317" s="3"/>
      <c r="L317" s="3"/>
      <c r="N317" s="3"/>
    </row>
    <row r="318" spans="1:14" x14ac:dyDescent="0.2">
      <c r="A318" s="3"/>
      <c r="B318" s="3"/>
      <c r="C318" s="3"/>
      <c r="D318" s="3"/>
      <c r="E318" s="3"/>
      <c r="F318" s="3"/>
      <c r="G318" s="3"/>
      <c r="L318" s="3"/>
      <c r="N318" s="3"/>
    </row>
    <row r="319" spans="1:14" x14ac:dyDescent="0.2">
      <c r="A319" s="3"/>
      <c r="B319" s="3"/>
      <c r="C319" s="3"/>
      <c r="D319" s="3"/>
      <c r="E319" s="3"/>
      <c r="F319" s="3"/>
      <c r="G319" s="3"/>
      <c r="L319" s="3"/>
      <c r="N319" s="3"/>
    </row>
    <row r="320" spans="1:14" x14ac:dyDescent="0.2">
      <c r="A320" s="3"/>
      <c r="B320" s="3"/>
      <c r="C320" s="3"/>
      <c r="D320" s="3"/>
      <c r="E320" s="3"/>
      <c r="F320" s="3"/>
      <c r="G320" s="3"/>
      <c r="L320" s="3"/>
      <c r="N320" s="3"/>
    </row>
    <row r="321" spans="1:14" x14ac:dyDescent="0.2">
      <c r="A321" s="3"/>
      <c r="B321" s="3"/>
      <c r="C321" s="3"/>
      <c r="D321" s="3"/>
      <c r="E321" s="3"/>
      <c r="F321" s="3"/>
      <c r="G321" s="3"/>
      <c r="L321" s="3"/>
      <c r="N321" s="3"/>
    </row>
    <row r="322" spans="1:14" x14ac:dyDescent="0.2">
      <c r="A322" s="3"/>
      <c r="B322" s="3"/>
      <c r="C322" s="3"/>
      <c r="D322" s="3"/>
      <c r="E322" s="3"/>
      <c r="F322" s="3"/>
      <c r="G322" s="3"/>
      <c r="L322" s="3"/>
      <c r="N322" s="3"/>
    </row>
    <row r="323" spans="1:14" x14ac:dyDescent="0.2">
      <c r="A323" s="3"/>
      <c r="B323" s="3"/>
      <c r="C323" s="3"/>
      <c r="D323" s="3"/>
      <c r="E323" s="3"/>
      <c r="F323" s="3"/>
      <c r="G323" s="3"/>
      <c r="L323" s="3"/>
      <c r="N323" s="3"/>
    </row>
    <row r="324" spans="1:14" x14ac:dyDescent="0.2">
      <c r="A324" s="3"/>
      <c r="B324" s="3"/>
      <c r="C324" s="3"/>
      <c r="D324" s="3"/>
      <c r="E324" s="3"/>
      <c r="F324" s="3"/>
      <c r="G324" s="3"/>
      <c r="L324" s="3"/>
      <c r="N324" s="3"/>
    </row>
    <row r="325" spans="1:14" x14ac:dyDescent="0.2">
      <c r="A325" s="3"/>
      <c r="B325" s="3"/>
      <c r="C325" s="3"/>
      <c r="D325" s="3"/>
      <c r="E325" s="3"/>
      <c r="F325" s="3"/>
      <c r="G325" s="3"/>
      <c r="L325" s="3"/>
      <c r="N325" s="3"/>
    </row>
    <row r="326" spans="1:14" x14ac:dyDescent="0.2">
      <c r="A326" s="3"/>
      <c r="B326" s="3"/>
      <c r="C326" s="3"/>
      <c r="D326" s="3"/>
      <c r="E326" s="3"/>
      <c r="F326" s="3"/>
      <c r="G326" s="3"/>
      <c r="L326" s="3"/>
      <c r="N326" s="3"/>
    </row>
    <row r="327" spans="1:14" x14ac:dyDescent="0.2">
      <c r="A327" s="3"/>
      <c r="B327" s="3"/>
      <c r="C327" s="3"/>
      <c r="D327" s="3"/>
      <c r="E327" s="3"/>
      <c r="F327" s="3"/>
      <c r="G327" s="3"/>
      <c r="L327" s="3"/>
      <c r="N327" s="3"/>
    </row>
    <row r="328" spans="1:14" x14ac:dyDescent="0.2">
      <c r="A328" s="3"/>
      <c r="B328" s="3"/>
      <c r="C328" s="3"/>
      <c r="D328" s="3"/>
      <c r="E328" s="3"/>
      <c r="F328" s="3"/>
      <c r="G328" s="3"/>
      <c r="L328" s="3"/>
      <c r="N328" s="3"/>
    </row>
    <row r="329" spans="1:14" x14ac:dyDescent="0.2">
      <c r="A329" s="3"/>
      <c r="B329" s="3"/>
      <c r="C329" s="3"/>
      <c r="D329" s="3"/>
      <c r="E329" s="3"/>
      <c r="F329" s="3"/>
      <c r="G329" s="3"/>
      <c r="L329" s="3"/>
      <c r="N329" s="3"/>
    </row>
    <row r="330" spans="1:14" x14ac:dyDescent="0.2">
      <c r="A330" s="3"/>
      <c r="B330" s="3"/>
      <c r="C330" s="3"/>
      <c r="D330" s="3"/>
      <c r="E330" s="3"/>
      <c r="F330" s="3"/>
      <c r="G330" s="3"/>
      <c r="L330" s="3"/>
      <c r="N330" s="3"/>
    </row>
    <row r="331" spans="1:14" x14ac:dyDescent="0.2">
      <c r="A331" s="3"/>
      <c r="B331" s="3"/>
      <c r="C331" s="3"/>
      <c r="D331" s="3"/>
      <c r="E331" s="3"/>
      <c r="F331" s="3"/>
      <c r="G331" s="3"/>
      <c r="L331" s="3"/>
      <c r="N331" s="3"/>
    </row>
    <row r="332" spans="1:14" x14ac:dyDescent="0.2">
      <c r="A332" s="3"/>
      <c r="B332" s="3"/>
      <c r="C332" s="3"/>
      <c r="D332" s="3"/>
      <c r="E332" s="3"/>
      <c r="F332" s="3"/>
      <c r="G332" s="3"/>
      <c r="L332" s="3"/>
      <c r="N332" s="3"/>
    </row>
    <row r="333" spans="1:14" x14ac:dyDescent="0.2">
      <c r="A333" s="3"/>
      <c r="B333" s="3"/>
      <c r="C333" s="3"/>
      <c r="D333" s="3"/>
      <c r="E333" s="3"/>
      <c r="F333" s="3"/>
      <c r="G333" s="3"/>
      <c r="L333" s="3"/>
      <c r="N333" s="3"/>
    </row>
    <row r="334" spans="1:14" x14ac:dyDescent="0.2">
      <c r="A334" s="3"/>
      <c r="B334" s="3"/>
      <c r="C334" s="3"/>
      <c r="D334" s="3"/>
      <c r="E334" s="3"/>
      <c r="F334" s="3"/>
      <c r="G334" s="3"/>
      <c r="L334" s="3"/>
      <c r="N334" s="3"/>
    </row>
    <row r="335" spans="1:14" x14ac:dyDescent="0.2">
      <c r="A335" s="3"/>
      <c r="B335" s="3"/>
      <c r="C335" s="3"/>
      <c r="D335" s="3"/>
      <c r="E335" s="3"/>
      <c r="F335" s="3"/>
      <c r="G335" s="3"/>
      <c r="L335" s="3"/>
      <c r="N335" s="3"/>
    </row>
    <row r="336" spans="1:14" x14ac:dyDescent="0.2">
      <c r="A336" s="3"/>
      <c r="B336" s="3"/>
      <c r="C336" s="3"/>
      <c r="D336" s="3"/>
      <c r="E336" s="3"/>
      <c r="F336" s="3"/>
      <c r="G336" s="3"/>
      <c r="L336" s="3"/>
      <c r="N336" s="3"/>
    </row>
    <row r="337" spans="1:14" x14ac:dyDescent="0.2">
      <c r="A337" s="3"/>
      <c r="B337" s="3"/>
      <c r="C337" s="3"/>
      <c r="D337" s="3"/>
      <c r="E337" s="3"/>
      <c r="F337" s="3"/>
      <c r="G337" s="3"/>
      <c r="L337" s="3"/>
      <c r="N337" s="3"/>
    </row>
    <row r="338" spans="1:14" x14ac:dyDescent="0.2">
      <c r="A338" s="3"/>
      <c r="B338" s="3"/>
      <c r="C338" s="3"/>
      <c r="D338" s="3"/>
      <c r="E338" s="3"/>
      <c r="F338" s="3"/>
      <c r="G338" s="3"/>
      <c r="L338" s="3"/>
      <c r="N338" s="3"/>
    </row>
    <row r="339" spans="1:14" x14ac:dyDescent="0.2">
      <c r="A339" s="3"/>
      <c r="B339" s="3"/>
      <c r="C339" s="3"/>
      <c r="D339" s="3"/>
      <c r="E339" s="3"/>
      <c r="F339" s="3"/>
      <c r="G339" s="3"/>
      <c r="L339" s="3"/>
      <c r="N339" s="3"/>
    </row>
    <row r="340" spans="1:14" x14ac:dyDescent="0.2">
      <c r="A340" s="3"/>
      <c r="B340" s="3"/>
      <c r="C340" s="3"/>
      <c r="D340" s="3"/>
      <c r="E340" s="3"/>
      <c r="F340" s="3"/>
      <c r="G340" s="3"/>
      <c r="L340" s="3"/>
      <c r="N340" s="3"/>
    </row>
    <row r="341" spans="1:14" x14ac:dyDescent="0.2">
      <c r="A341" s="3"/>
      <c r="B341" s="3"/>
      <c r="C341" s="3"/>
      <c r="D341" s="3"/>
      <c r="E341" s="3"/>
      <c r="F341" s="3"/>
      <c r="G341" s="3"/>
      <c r="L341" s="3"/>
      <c r="N341" s="3"/>
    </row>
    <row r="342" spans="1:14" x14ac:dyDescent="0.2">
      <c r="A342" s="3"/>
      <c r="B342" s="3"/>
      <c r="C342" s="3"/>
      <c r="D342" s="3"/>
      <c r="E342" s="3"/>
      <c r="F342" s="3"/>
      <c r="G342" s="3"/>
      <c r="L342" s="3"/>
      <c r="N342" s="3"/>
    </row>
    <row r="343" spans="1:14" x14ac:dyDescent="0.2">
      <c r="A343" s="3"/>
      <c r="B343" s="3"/>
      <c r="C343" s="3"/>
      <c r="D343" s="3"/>
      <c r="E343" s="3"/>
      <c r="F343" s="3"/>
      <c r="G343" s="3"/>
      <c r="L343" s="3"/>
      <c r="N343" s="3"/>
    </row>
    <row r="344" spans="1:14" x14ac:dyDescent="0.2">
      <c r="A344" s="3"/>
      <c r="B344" s="3"/>
      <c r="C344" s="3"/>
      <c r="D344" s="3"/>
      <c r="E344" s="3"/>
      <c r="F344" s="3"/>
      <c r="G344" s="3"/>
      <c r="L344" s="3"/>
      <c r="N344" s="3"/>
    </row>
    <row r="345" spans="1:14" x14ac:dyDescent="0.2">
      <c r="A345" s="3"/>
      <c r="B345" s="3"/>
      <c r="C345" s="3"/>
      <c r="D345" s="3"/>
      <c r="E345" s="3"/>
      <c r="F345" s="3"/>
      <c r="G345" s="3"/>
      <c r="L345" s="3"/>
      <c r="N345" s="3"/>
    </row>
    <row r="346" spans="1:14" x14ac:dyDescent="0.2">
      <c r="A346" s="3"/>
      <c r="B346" s="3"/>
      <c r="C346" s="3"/>
      <c r="D346" s="3"/>
      <c r="E346" s="3"/>
      <c r="F346" s="3"/>
      <c r="G346" s="3"/>
      <c r="L346" s="3"/>
      <c r="N346" s="3"/>
    </row>
    <row r="347" spans="1:14" x14ac:dyDescent="0.2">
      <c r="A347" s="3"/>
      <c r="B347" s="3"/>
      <c r="C347" s="3"/>
      <c r="D347" s="3"/>
      <c r="E347" s="3"/>
      <c r="F347" s="3"/>
      <c r="G347" s="3"/>
      <c r="L347" s="3"/>
      <c r="N347" s="3"/>
    </row>
    <row r="348" spans="1:14" x14ac:dyDescent="0.2">
      <c r="A348" s="3"/>
      <c r="B348" s="3"/>
      <c r="C348" s="3"/>
      <c r="D348" s="3"/>
      <c r="E348" s="3"/>
      <c r="F348" s="3"/>
      <c r="G348" s="3"/>
      <c r="L348" s="3"/>
      <c r="N348" s="3"/>
    </row>
    <row r="349" spans="1:14" x14ac:dyDescent="0.2">
      <c r="A349" s="3"/>
      <c r="B349" s="3"/>
      <c r="C349" s="3"/>
      <c r="D349" s="3"/>
      <c r="E349" s="3"/>
      <c r="F349" s="3"/>
      <c r="G349" s="3"/>
      <c r="L349" s="3"/>
      <c r="N349" s="3"/>
    </row>
    <row r="350" spans="1:14" x14ac:dyDescent="0.2">
      <c r="A350" s="3"/>
      <c r="B350" s="3"/>
      <c r="C350" s="3"/>
      <c r="D350" s="3"/>
      <c r="E350" s="3"/>
      <c r="F350" s="3"/>
      <c r="G350" s="3"/>
      <c r="L350" s="3"/>
      <c r="N350" s="3"/>
    </row>
    <row r="351" spans="1:14" x14ac:dyDescent="0.2">
      <c r="A351" s="3"/>
      <c r="B351" s="3"/>
      <c r="C351" s="3"/>
      <c r="D351" s="3"/>
      <c r="E351" s="3"/>
      <c r="F351" s="3"/>
      <c r="G351" s="3"/>
      <c r="L351" s="3"/>
      <c r="N351" s="3"/>
    </row>
    <row r="352" spans="1:14" x14ac:dyDescent="0.2">
      <c r="A352" s="3"/>
      <c r="B352" s="3"/>
      <c r="C352" s="3"/>
      <c r="D352" s="3"/>
      <c r="E352" s="3"/>
      <c r="F352" s="3"/>
      <c r="G352" s="3"/>
      <c r="L352" s="3"/>
      <c r="N352" s="3"/>
    </row>
    <row r="353" spans="1:14" x14ac:dyDescent="0.2">
      <c r="A353" s="3"/>
      <c r="B353" s="3"/>
      <c r="C353" s="3"/>
      <c r="D353" s="3"/>
      <c r="E353" s="3"/>
      <c r="F353" s="3"/>
      <c r="G353" s="3"/>
      <c r="L353" s="3"/>
      <c r="N353" s="3"/>
    </row>
    <row r="354" spans="1:14" x14ac:dyDescent="0.2">
      <c r="A354" s="3"/>
      <c r="B354" s="3"/>
      <c r="C354" s="3"/>
      <c r="D354" s="3"/>
      <c r="E354" s="3"/>
      <c r="F354" s="3"/>
      <c r="G354" s="3"/>
      <c r="L354" s="3"/>
      <c r="N354" s="3"/>
    </row>
    <row r="355" spans="1:14" x14ac:dyDescent="0.2">
      <c r="A355" s="3"/>
      <c r="B355" s="3"/>
      <c r="C355" s="3"/>
      <c r="D355" s="3"/>
      <c r="E355" s="3"/>
      <c r="F355" s="3"/>
      <c r="G355" s="3"/>
      <c r="L355" s="3"/>
      <c r="N355" s="3"/>
    </row>
    <row r="356" spans="1:14" x14ac:dyDescent="0.2">
      <c r="A356" s="3"/>
      <c r="B356" s="3"/>
      <c r="C356" s="3"/>
      <c r="D356" s="3"/>
      <c r="E356" s="3"/>
      <c r="F356" s="3"/>
      <c r="G356" s="3"/>
      <c r="L356" s="3"/>
      <c r="N356" s="3"/>
    </row>
    <row r="357" spans="1:14" x14ac:dyDescent="0.2">
      <c r="A357" s="3"/>
      <c r="B357" s="3"/>
      <c r="C357" s="3"/>
      <c r="D357" s="3"/>
      <c r="E357" s="3"/>
      <c r="F357" s="3"/>
      <c r="G357" s="3"/>
      <c r="L357" s="3"/>
      <c r="N357" s="3"/>
    </row>
    <row r="358" spans="1:14" x14ac:dyDescent="0.2">
      <c r="A358" s="3"/>
      <c r="B358" s="3"/>
      <c r="C358" s="3"/>
      <c r="D358" s="3"/>
      <c r="E358" s="3"/>
      <c r="F358" s="3"/>
      <c r="G358" s="3"/>
      <c r="L358" s="3"/>
      <c r="N358" s="3"/>
    </row>
    <row r="359" spans="1:14" x14ac:dyDescent="0.2">
      <c r="A359" s="3"/>
      <c r="B359" s="3"/>
      <c r="C359" s="3"/>
      <c r="D359" s="3"/>
      <c r="E359" s="3"/>
      <c r="F359" s="3"/>
      <c r="G359" s="3"/>
      <c r="L359" s="3"/>
      <c r="N359" s="3"/>
    </row>
    <row r="360" spans="1:14" x14ac:dyDescent="0.2">
      <c r="A360" s="3"/>
      <c r="B360" s="3"/>
      <c r="C360" s="3"/>
      <c r="D360" s="3"/>
      <c r="E360" s="3"/>
      <c r="F360" s="3"/>
      <c r="G360" s="3"/>
      <c r="L360" s="3"/>
      <c r="N360" s="3"/>
    </row>
    <row r="361" spans="1:14" x14ac:dyDescent="0.2">
      <c r="A361" s="3"/>
      <c r="B361" s="3"/>
      <c r="C361" s="3"/>
      <c r="D361" s="3"/>
      <c r="E361" s="3"/>
      <c r="F361" s="3"/>
      <c r="G361" s="3"/>
      <c r="L361" s="3"/>
      <c r="N361" s="3"/>
    </row>
    <row r="362" spans="1:14" x14ac:dyDescent="0.2">
      <c r="A362" s="3"/>
      <c r="B362" s="3"/>
      <c r="C362" s="3"/>
      <c r="D362" s="3"/>
      <c r="E362" s="3"/>
      <c r="F362" s="3"/>
      <c r="G362" s="3"/>
      <c r="L362" s="3"/>
      <c r="N362" s="3"/>
    </row>
    <row r="363" spans="1:14" x14ac:dyDescent="0.2">
      <c r="A363" s="3"/>
      <c r="B363" s="3"/>
      <c r="C363" s="3"/>
      <c r="D363" s="3"/>
      <c r="E363" s="3"/>
      <c r="F363" s="3"/>
      <c r="G363" s="3"/>
      <c r="L363" s="3"/>
      <c r="N363" s="3"/>
    </row>
    <row r="364" spans="1:14" x14ac:dyDescent="0.2">
      <c r="A364" s="3"/>
      <c r="B364" s="3"/>
      <c r="C364" s="3"/>
      <c r="D364" s="3"/>
      <c r="E364" s="3"/>
      <c r="F364" s="3"/>
      <c r="G364" s="3"/>
      <c r="L364" s="3"/>
      <c r="N364" s="3"/>
    </row>
    <row r="365" spans="1:14" x14ac:dyDescent="0.2">
      <c r="A365" s="3"/>
      <c r="B365" s="3"/>
      <c r="C365" s="3"/>
      <c r="D365" s="3"/>
      <c r="E365" s="3"/>
      <c r="F365" s="3"/>
      <c r="G365" s="3"/>
      <c r="L365" s="3"/>
      <c r="N365" s="3"/>
    </row>
    <row r="366" spans="1:14" x14ac:dyDescent="0.2">
      <c r="A366" s="3"/>
      <c r="B366" s="3"/>
      <c r="C366" s="3"/>
      <c r="D366" s="3"/>
      <c r="E366" s="3"/>
      <c r="F366" s="3"/>
      <c r="G366" s="3"/>
      <c r="L366" s="3"/>
      <c r="N366" s="3"/>
    </row>
    <row r="367" spans="1:14" x14ac:dyDescent="0.2">
      <c r="A367" s="3"/>
      <c r="B367" s="3"/>
      <c r="C367" s="3"/>
      <c r="D367" s="3"/>
      <c r="E367" s="3"/>
      <c r="F367" s="3"/>
      <c r="G367" s="3"/>
      <c r="L367" s="3"/>
      <c r="N367" s="3"/>
    </row>
    <row r="368" spans="1:14" x14ac:dyDescent="0.2">
      <c r="A368" s="3"/>
      <c r="B368" s="3"/>
      <c r="C368" s="3"/>
      <c r="D368" s="3"/>
      <c r="E368" s="3"/>
      <c r="F368" s="3"/>
      <c r="G368" s="3"/>
      <c r="L368" s="3"/>
      <c r="N368" s="3"/>
    </row>
    <row r="369" spans="1:14" x14ac:dyDescent="0.2">
      <c r="A369" s="3"/>
      <c r="B369" s="3"/>
      <c r="C369" s="3"/>
      <c r="D369" s="3"/>
      <c r="E369" s="3"/>
      <c r="F369" s="3"/>
      <c r="G369" s="3"/>
      <c r="L369" s="3"/>
      <c r="N369" s="3"/>
    </row>
    <row r="370" spans="1:14" x14ac:dyDescent="0.2">
      <c r="A370" s="3"/>
      <c r="B370" s="3"/>
      <c r="C370" s="3"/>
      <c r="D370" s="3"/>
      <c r="E370" s="3"/>
      <c r="F370" s="3"/>
      <c r="G370" s="3"/>
      <c r="L370" s="3"/>
      <c r="N370" s="3"/>
    </row>
    <row r="371" spans="1:14" x14ac:dyDescent="0.2">
      <c r="A371" s="3"/>
      <c r="B371" s="3"/>
      <c r="C371" s="3"/>
      <c r="D371" s="3"/>
      <c r="E371" s="3"/>
      <c r="F371" s="3"/>
      <c r="G371" s="3"/>
      <c r="L371" s="3"/>
      <c r="N371" s="3"/>
    </row>
    <row r="372" spans="1:14" x14ac:dyDescent="0.2">
      <c r="A372" s="3"/>
      <c r="B372" s="3"/>
      <c r="C372" s="3"/>
      <c r="D372" s="3"/>
      <c r="E372" s="3"/>
      <c r="F372" s="3"/>
      <c r="G372" s="3"/>
      <c r="L372" s="3"/>
      <c r="N372" s="3"/>
    </row>
    <row r="373" spans="1:14" x14ac:dyDescent="0.2">
      <c r="A373" s="3"/>
      <c r="B373" s="3"/>
      <c r="C373" s="3"/>
      <c r="D373" s="3"/>
      <c r="E373" s="3"/>
      <c r="F373" s="3"/>
      <c r="G373" s="3"/>
      <c r="L373" s="3"/>
      <c r="N373" s="3"/>
    </row>
    <row r="374" spans="1:14" x14ac:dyDescent="0.2">
      <c r="A374" s="3"/>
      <c r="B374" s="3"/>
      <c r="C374" s="3"/>
      <c r="D374" s="3"/>
      <c r="E374" s="3"/>
      <c r="F374" s="3"/>
      <c r="G374" s="3"/>
      <c r="L374" s="3"/>
      <c r="N374" s="3"/>
    </row>
    <row r="375" spans="1:14" x14ac:dyDescent="0.2">
      <c r="A375" s="3"/>
      <c r="B375" s="3"/>
      <c r="C375" s="3"/>
      <c r="D375" s="3"/>
      <c r="E375" s="3"/>
      <c r="F375" s="3"/>
      <c r="G375" s="3"/>
      <c r="L375" s="3"/>
      <c r="N375" s="3"/>
    </row>
    <row r="376" spans="1:14" x14ac:dyDescent="0.2">
      <c r="A376" s="3"/>
      <c r="B376" s="3"/>
      <c r="C376" s="3"/>
      <c r="D376" s="3"/>
      <c r="E376" s="3"/>
      <c r="F376" s="3"/>
      <c r="G376" s="3"/>
      <c r="L376" s="3"/>
      <c r="N376" s="3"/>
    </row>
    <row r="377" spans="1:14" x14ac:dyDescent="0.2">
      <c r="A377" s="3"/>
      <c r="B377" s="3"/>
      <c r="C377" s="3"/>
      <c r="D377" s="3"/>
      <c r="E377" s="3"/>
      <c r="F377" s="3"/>
      <c r="G377" s="3"/>
      <c r="L377" s="3"/>
      <c r="N377" s="3"/>
    </row>
    <row r="378" spans="1:14" x14ac:dyDescent="0.2">
      <c r="A378" s="3"/>
      <c r="B378" s="3"/>
      <c r="C378" s="3"/>
      <c r="D378" s="3"/>
      <c r="E378" s="3"/>
      <c r="F378" s="3"/>
      <c r="G378" s="3"/>
      <c r="L378" s="3"/>
      <c r="N378" s="3"/>
    </row>
    <row r="379" spans="1:14" x14ac:dyDescent="0.2">
      <c r="A379" s="3"/>
      <c r="B379" s="3"/>
      <c r="C379" s="3"/>
      <c r="D379" s="3"/>
      <c r="E379" s="3"/>
      <c r="F379" s="3"/>
      <c r="G379" s="3"/>
      <c r="L379" s="3"/>
      <c r="N379" s="3"/>
    </row>
    <row r="380" spans="1:14" x14ac:dyDescent="0.2">
      <c r="A380" s="3"/>
      <c r="B380" s="3"/>
      <c r="C380" s="3"/>
      <c r="D380" s="3"/>
      <c r="E380" s="3"/>
      <c r="F380" s="3"/>
      <c r="G380" s="3"/>
      <c r="L380" s="3"/>
      <c r="N380" s="3"/>
    </row>
    <row r="381" spans="1:14" x14ac:dyDescent="0.2">
      <c r="A381" s="3"/>
      <c r="B381" s="3"/>
      <c r="C381" s="3"/>
      <c r="D381" s="3"/>
      <c r="E381" s="3"/>
      <c r="F381" s="3"/>
      <c r="G381" s="3"/>
      <c r="L381" s="3"/>
      <c r="N381" s="3"/>
    </row>
    <row r="382" spans="1:14" x14ac:dyDescent="0.2">
      <c r="A382" s="3"/>
      <c r="B382" s="3"/>
      <c r="C382" s="3"/>
      <c r="D382" s="3"/>
      <c r="E382" s="3"/>
      <c r="F382" s="3"/>
      <c r="G382" s="3"/>
      <c r="L382" s="3"/>
      <c r="N382" s="3"/>
    </row>
    <row r="383" spans="1:14" x14ac:dyDescent="0.2">
      <c r="A383" s="3"/>
      <c r="B383" s="3"/>
      <c r="C383" s="3"/>
      <c r="D383" s="3"/>
      <c r="E383" s="3"/>
      <c r="F383" s="3"/>
      <c r="G383" s="3"/>
      <c r="L383" s="3"/>
      <c r="N383" s="3"/>
    </row>
    <row r="384" spans="1:14" x14ac:dyDescent="0.2">
      <c r="A384" s="3"/>
      <c r="B384" s="3"/>
      <c r="C384" s="3"/>
      <c r="D384" s="3"/>
      <c r="E384" s="3"/>
      <c r="F384" s="3"/>
      <c r="G384" s="3"/>
      <c r="L384" s="3"/>
      <c r="N384" s="3"/>
    </row>
    <row r="385" spans="1:14" x14ac:dyDescent="0.2">
      <c r="A385" s="3"/>
      <c r="B385" s="3"/>
      <c r="C385" s="3"/>
      <c r="D385" s="3"/>
      <c r="E385" s="3"/>
      <c r="F385" s="3"/>
      <c r="G385" s="3"/>
      <c r="L385" s="3"/>
      <c r="N385" s="3"/>
    </row>
    <row r="386" spans="1:14" x14ac:dyDescent="0.2">
      <c r="A386" s="3"/>
      <c r="B386" s="3"/>
      <c r="C386" s="3"/>
      <c r="D386" s="3"/>
      <c r="E386" s="3"/>
      <c r="F386" s="3"/>
      <c r="G386" s="3"/>
      <c r="L386" s="3"/>
      <c r="N386" s="3"/>
    </row>
    <row r="387" spans="1:14" x14ac:dyDescent="0.2">
      <c r="A387" s="3"/>
      <c r="B387" s="3"/>
      <c r="C387" s="3"/>
      <c r="D387" s="3"/>
      <c r="E387" s="3"/>
      <c r="F387" s="3"/>
      <c r="G387" s="3"/>
      <c r="L387" s="3"/>
      <c r="N387" s="3"/>
    </row>
    <row r="388" spans="1:14" x14ac:dyDescent="0.2">
      <c r="A388" s="3"/>
      <c r="B388" s="3"/>
      <c r="C388" s="3"/>
      <c r="D388" s="3"/>
      <c r="E388" s="3"/>
      <c r="F388" s="3"/>
      <c r="G388" s="3"/>
      <c r="L388" s="3"/>
      <c r="N388" s="3"/>
    </row>
    <row r="389" spans="1:14" x14ac:dyDescent="0.2">
      <c r="A389" s="3"/>
      <c r="B389" s="3"/>
      <c r="C389" s="3"/>
      <c r="D389" s="3"/>
      <c r="E389" s="3"/>
      <c r="F389" s="3"/>
      <c r="G389" s="3"/>
      <c r="L389" s="3"/>
      <c r="N389" s="3"/>
    </row>
    <row r="390" spans="1:14" x14ac:dyDescent="0.2">
      <c r="A390" s="3"/>
      <c r="B390" s="3"/>
      <c r="C390" s="3"/>
      <c r="D390" s="3"/>
      <c r="E390" s="3"/>
      <c r="F390" s="3"/>
      <c r="G390" s="3"/>
      <c r="L390" s="3"/>
      <c r="N390" s="3"/>
    </row>
    <row r="391" spans="1:14" x14ac:dyDescent="0.2">
      <c r="A391" s="3"/>
      <c r="B391" s="3"/>
      <c r="C391" s="3"/>
      <c r="D391" s="3"/>
      <c r="E391" s="3"/>
      <c r="F391" s="3"/>
      <c r="G391" s="3"/>
      <c r="L391" s="3"/>
      <c r="N391" s="3"/>
    </row>
    <row r="392" spans="1:14" x14ac:dyDescent="0.2">
      <c r="A392" s="3"/>
      <c r="B392" s="3"/>
      <c r="C392" s="3"/>
      <c r="D392" s="3"/>
      <c r="E392" s="3"/>
      <c r="F392" s="3"/>
      <c r="G392" s="3"/>
      <c r="L392" s="3"/>
      <c r="N392" s="3"/>
    </row>
    <row r="393" spans="1:14" x14ac:dyDescent="0.2">
      <c r="A393" s="3"/>
      <c r="B393" s="3"/>
      <c r="C393" s="3"/>
      <c r="D393" s="3"/>
      <c r="E393" s="3"/>
      <c r="F393" s="3"/>
      <c r="G393" s="3"/>
      <c r="L393" s="3"/>
      <c r="N393" s="3"/>
    </row>
    <row r="394" spans="1:14" x14ac:dyDescent="0.2">
      <c r="A394" s="3"/>
      <c r="B394" s="3"/>
      <c r="C394" s="3"/>
      <c r="D394" s="3"/>
      <c r="E394" s="3"/>
      <c r="F394" s="3"/>
      <c r="G394" s="3"/>
      <c r="L394" s="3"/>
      <c r="N394" s="3"/>
    </row>
    <row r="395" spans="1:14" x14ac:dyDescent="0.2">
      <c r="A395" s="3"/>
      <c r="B395" s="3"/>
      <c r="C395" s="3"/>
      <c r="D395" s="3"/>
      <c r="E395" s="3"/>
      <c r="F395" s="3"/>
      <c r="G395" s="3"/>
      <c r="L395" s="3"/>
      <c r="N395" s="3"/>
    </row>
    <row r="396" spans="1:14" x14ac:dyDescent="0.2">
      <c r="A396" s="3"/>
      <c r="B396" s="3"/>
      <c r="C396" s="3"/>
      <c r="D396" s="3"/>
      <c r="E396" s="3"/>
      <c r="F396" s="3"/>
      <c r="G396" s="3"/>
      <c r="L396" s="3"/>
      <c r="N396" s="3"/>
    </row>
    <row r="397" spans="1:14" x14ac:dyDescent="0.2">
      <c r="A397" s="3"/>
      <c r="B397" s="3"/>
      <c r="C397" s="3"/>
      <c r="D397" s="3"/>
      <c r="E397" s="3"/>
      <c r="F397" s="3"/>
      <c r="G397" s="3"/>
      <c r="L397" s="3"/>
      <c r="N397" s="3"/>
    </row>
    <row r="398" spans="1:14" x14ac:dyDescent="0.2">
      <c r="A398" s="3"/>
      <c r="B398" s="3"/>
      <c r="C398" s="3"/>
      <c r="D398" s="3"/>
      <c r="E398" s="3"/>
      <c r="F398" s="3"/>
      <c r="G398" s="3"/>
      <c r="L398" s="3"/>
      <c r="N398" s="3"/>
    </row>
    <row r="399" spans="1:14" x14ac:dyDescent="0.2">
      <c r="A399" s="3"/>
      <c r="B399" s="3"/>
      <c r="C399" s="3"/>
      <c r="D399" s="3"/>
      <c r="E399" s="3"/>
      <c r="F399" s="3"/>
      <c r="G399" s="3"/>
      <c r="L399" s="3"/>
      <c r="N399" s="3"/>
    </row>
    <row r="400" spans="1:14" x14ac:dyDescent="0.2">
      <c r="A400" s="3"/>
      <c r="B400" s="3"/>
      <c r="C400" s="3"/>
      <c r="D400" s="3"/>
      <c r="E400" s="3"/>
      <c r="F400" s="3"/>
      <c r="G400" s="3"/>
      <c r="L400" s="3"/>
      <c r="N400" s="3"/>
    </row>
    <row r="401" spans="1:14" x14ac:dyDescent="0.2">
      <c r="A401" s="3"/>
      <c r="B401" s="3"/>
      <c r="C401" s="3"/>
      <c r="D401" s="3"/>
      <c r="E401" s="3"/>
      <c r="F401" s="3"/>
      <c r="G401" s="3"/>
      <c r="L401" s="3"/>
      <c r="N401" s="3"/>
    </row>
    <row r="402" spans="1:14" x14ac:dyDescent="0.2">
      <c r="A402" s="3"/>
      <c r="B402" s="3"/>
      <c r="C402" s="3"/>
      <c r="D402" s="3"/>
      <c r="E402" s="3"/>
      <c r="F402" s="3"/>
      <c r="G402" s="3"/>
      <c r="L402" s="3"/>
      <c r="N402" s="3"/>
    </row>
    <row r="403" spans="1:14" x14ac:dyDescent="0.2">
      <c r="A403" s="3"/>
      <c r="B403" s="3"/>
      <c r="C403" s="3"/>
      <c r="D403" s="3"/>
      <c r="E403" s="3"/>
      <c r="F403" s="3"/>
      <c r="G403" s="3"/>
      <c r="L403" s="3"/>
      <c r="N403" s="3"/>
    </row>
    <row r="404" spans="1:14" x14ac:dyDescent="0.2">
      <c r="A404" s="3"/>
      <c r="B404" s="3"/>
      <c r="C404" s="3"/>
      <c r="D404" s="3"/>
      <c r="E404" s="3"/>
      <c r="F404" s="3"/>
      <c r="G404" s="3"/>
      <c r="L404" s="3"/>
      <c r="N404" s="3"/>
    </row>
    <row r="405" spans="1:14" x14ac:dyDescent="0.2">
      <c r="A405" s="3"/>
      <c r="B405" s="3"/>
      <c r="C405" s="3"/>
      <c r="D405" s="3"/>
      <c r="E405" s="3"/>
      <c r="F405" s="3"/>
      <c r="G405" s="3"/>
      <c r="L405" s="3"/>
      <c r="N405" s="3"/>
    </row>
    <row r="406" spans="1:14" x14ac:dyDescent="0.2">
      <c r="A406" s="3"/>
      <c r="B406" s="3"/>
      <c r="C406" s="3"/>
      <c r="D406" s="3"/>
      <c r="E406" s="3"/>
      <c r="F406" s="3"/>
      <c r="G406" s="3"/>
      <c r="L406" s="3"/>
      <c r="N406" s="3"/>
    </row>
    <row r="407" spans="1:14" x14ac:dyDescent="0.2">
      <c r="A407" s="3"/>
      <c r="B407" s="3"/>
      <c r="C407" s="3"/>
      <c r="D407" s="3"/>
      <c r="E407" s="3"/>
      <c r="F407" s="3"/>
      <c r="G407" s="3"/>
      <c r="L407" s="3"/>
      <c r="N407" s="3"/>
    </row>
    <row r="408" spans="1:14" x14ac:dyDescent="0.2">
      <c r="A408" s="3"/>
      <c r="B408" s="3"/>
      <c r="C408" s="3"/>
      <c r="D408" s="3"/>
      <c r="E408" s="3"/>
      <c r="F408" s="3"/>
      <c r="G408" s="3"/>
      <c r="L408" s="3"/>
      <c r="N408" s="3"/>
    </row>
    <row r="409" spans="1:14" x14ac:dyDescent="0.2">
      <c r="A409" s="3"/>
      <c r="B409" s="3"/>
      <c r="C409" s="3"/>
      <c r="D409" s="3"/>
      <c r="E409" s="3"/>
      <c r="F409" s="3"/>
      <c r="G409" s="3"/>
      <c r="L409" s="3"/>
      <c r="N409" s="3"/>
    </row>
    <row r="410" spans="1:14" x14ac:dyDescent="0.2">
      <c r="A410" s="3"/>
      <c r="B410" s="3"/>
      <c r="C410" s="3"/>
      <c r="D410" s="3"/>
      <c r="E410" s="3"/>
      <c r="F410" s="3"/>
      <c r="G410" s="3"/>
      <c r="L410" s="3"/>
      <c r="N410" s="3"/>
    </row>
    <row r="411" spans="1:14" x14ac:dyDescent="0.2">
      <c r="A411" s="3"/>
      <c r="B411" s="3"/>
      <c r="C411" s="3"/>
      <c r="D411" s="3"/>
      <c r="E411" s="3"/>
      <c r="F411" s="3"/>
      <c r="G411" s="3"/>
      <c r="L411" s="3"/>
      <c r="N411" s="3"/>
    </row>
    <row r="412" spans="1:14" x14ac:dyDescent="0.2">
      <c r="A412" s="3"/>
      <c r="B412" s="3"/>
      <c r="C412" s="3"/>
      <c r="D412" s="3"/>
      <c r="E412" s="3"/>
      <c r="F412" s="3"/>
      <c r="G412" s="3"/>
      <c r="L412" s="3"/>
      <c r="N412" s="3"/>
    </row>
    <row r="413" spans="1:14" x14ac:dyDescent="0.2">
      <c r="A413" s="3"/>
      <c r="B413" s="3"/>
      <c r="C413" s="3"/>
      <c r="D413" s="3"/>
      <c r="E413" s="3"/>
      <c r="F413" s="3"/>
      <c r="G413" s="3"/>
      <c r="L413" s="3"/>
      <c r="N413" s="3"/>
    </row>
    <row r="414" spans="1:14" x14ac:dyDescent="0.2">
      <c r="A414" s="3"/>
      <c r="B414" s="3"/>
      <c r="C414" s="3"/>
      <c r="D414" s="3"/>
      <c r="E414" s="3"/>
      <c r="F414" s="3"/>
      <c r="G414" s="3"/>
      <c r="L414" s="3"/>
      <c r="N414" s="3"/>
    </row>
    <row r="415" spans="1:14" x14ac:dyDescent="0.2">
      <c r="A415" s="3"/>
      <c r="B415" s="3"/>
      <c r="C415" s="3"/>
      <c r="D415" s="3"/>
      <c r="E415" s="3"/>
      <c r="F415" s="3"/>
      <c r="G415" s="3"/>
      <c r="L415" s="3"/>
      <c r="N415" s="3"/>
    </row>
    <row r="416" spans="1:14" x14ac:dyDescent="0.2">
      <c r="A416" s="3"/>
      <c r="B416" s="3"/>
      <c r="C416" s="3"/>
      <c r="D416" s="3"/>
      <c r="E416" s="3"/>
      <c r="F416" s="3"/>
      <c r="G416" s="3"/>
      <c r="L416" s="3"/>
      <c r="N416" s="3"/>
    </row>
    <row r="417" spans="1:14" x14ac:dyDescent="0.2">
      <c r="A417" s="3"/>
      <c r="B417" s="3"/>
      <c r="C417" s="3"/>
      <c r="D417" s="3"/>
      <c r="E417" s="3"/>
      <c r="F417" s="3"/>
      <c r="G417" s="3"/>
      <c r="L417" s="3"/>
      <c r="N417" s="3"/>
    </row>
    <row r="418" spans="1:14" x14ac:dyDescent="0.2">
      <c r="A418" s="3"/>
      <c r="B418" s="3"/>
      <c r="C418" s="3"/>
      <c r="D418" s="3"/>
      <c r="E418" s="3"/>
      <c r="F418" s="3"/>
      <c r="G418" s="3"/>
      <c r="L418" s="3"/>
      <c r="N418" s="3"/>
    </row>
    <row r="419" spans="1:14" x14ac:dyDescent="0.2">
      <c r="A419" s="3"/>
      <c r="B419" s="3"/>
      <c r="C419" s="3"/>
      <c r="D419" s="3"/>
      <c r="E419" s="3"/>
      <c r="F419" s="3"/>
      <c r="G419" s="3"/>
      <c r="L419" s="3"/>
      <c r="N419" s="3"/>
    </row>
    <row r="420" spans="1:14" x14ac:dyDescent="0.2">
      <c r="A420" s="3"/>
      <c r="B420" s="3"/>
      <c r="C420" s="3"/>
      <c r="D420" s="3"/>
      <c r="E420" s="3"/>
      <c r="F420" s="3"/>
      <c r="G420" s="3"/>
      <c r="L420" s="3"/>
      <c r="N420" s="3"/>
    </row>
    <row r="421" spans="1:14" x14ac:dyDescent="0.2">
      <c r="A421" s="3"/>
      <c r="B421" s="3"/>
      <c r="C421" s="3"/>
      <c r="D421" s="3"/>
      <c r="E421" s="3"/>
      <c r="F421" s="3"/>
      <c r="G421" s="3"/>
      <c r="L421" s="3"/>
      <c r="N421" s="3"/>
    </row>
    <row r="422" spans="1:14" x14ac:dyDescent="0.2">
      <c r="A422" s="3"/>
      <c r="B422" s="3"/>
      <c r="C422" s="3"/>
      <c r="D422" s="3"/>
      <c r="E422" s="3"/>
      <c r="F422" s="3"/>
      <c r="G422" s="3"/>
      <c r="L422" s="3"/>
      <c r="N422" s="3"/>
    </row>
    <row r="423" spans="1:14" x14ac:dyDescent="0.2">
      <c r="A423" s="3"/>
      <c r="B423" s="3"/>
      <c r="C423" s="3"/>
      <c r="D423" s="3"/>
      <c r="E423" s="3"/>
      <c r="F423" s="3"/>
      <c r="G423" s="3"/>
      <c r="L423" s="3"/>
      <c r="N423" s="3"/>
    </row>
    <row r="424" spans="1:14" x14ac:dyDescent="0.2">
      <c r="A424" s="3"/>
      <c r="B424" s="3"/>
      <c r="C424" s="3"/>
      <c r="D424" s="3"/>
      <c r="E424" s="3"/>
      <c r="F424" s="3"/>
      <c r="G424" s="3"/>
      <c r="L424" s="3"/>
      <c r="N424" s="3"/>
    </row>
    <row r="425" spans="1:14" x14ac:dyDescent="0.2">
      <c r="A425" s="3"/>
      <c r="B425" s="3"/>
      <c r="C425" s="3"/>
      <c r="D425" s="3"/>
      <c r="E425" s="3"/>
      <c r="F425" s="3"/>
      <c r="G425" s="3"/>
      <c r="L425" s="3"/>
      <c r="N425" s="3"/>
    </row>
    <row r="426" spans="1:14" x14ac:dyDescent="0.2">
      <c r="A426" s="3"/>
      <c r="B426" s="3"/>
      <c r="C426" s="3"/>
      <c r="D426" s="3"/>
      <c r="E426" s="3"/>
      <c r="F426" s="3"/>
      <c r="G426" s="3"/>
      <c r="L426" s="3"/>
      <c r="N426" s="3"/>
    </row>
    <row r="427" spans="1:14" x14ac:dyDescent="0.2">
      <c r="A427" s="3"/>
      <c r="B427" s="3"/>
      <c r="C427" s="3"/>
      <c r="D427" s="3"/>
      <c r="E427" s="3"/>
      <c r="F427" s="3"/>
      <c r="G427" s="3"/>
      <c r="L427" s="3"/>
      <c r="N427" s="3"/>
    </row>
    <row r="428" spans="1:14" x14ac:dyDescent="0.2">
      <c r="A428" s="3"/>
      <c r="B428" s="3"/>
      <c r="C428" s="3"/>
      <c r="D428" s="3"/>
      <c r="E428" s="3"/>
      <c r="F428" s="3"/>
      <c r="G428" s="3"/>
      <c r="L428" s="3"/>
      <c r="N428" s="3"/>
    </row>
    <row r="429" spans="1:14" x14ac:dyDescent="0.2">
      <c r="A429" s="3"/>
      <c r="B429" s="3"/>
      <c r="C429" s="3"/>
      <c r="D429" s="3"/>
      <c r="E429" s="3"/>
      <c r="F429" s="3"/>
      <c r="G429" s="3"/>
      <c r="L429" s="3"/>
      <c r="N429" s="3"/>
    </row>
    <row r="430" spans="1:14" x14ac:dyDescent="0.2">
      <c r="A430" s="3"/>
      <c r="B430" s="3"/>
      <c r="C430" s="3"/>
      <c r="D430" s="3"/>
      <c r="E430" s="3"/>
      <c r="F430" s="3"/>
      <c r="G430" s="3"/>
      <c r="L430" s="3"/>
      <c r="N430" s="3"/>
    </row>
    <row r="431" spans="1:14" x14ac:dyDescent="0.2">
      <c r="A431" s="3"/>
      <c r="B431" s="3"/>
      <c r="C431" s="3"/>
      <c r="D431" s="3"/>
      <c r="E431" s="3"/>
      <c r="F431" s="3"/>
      <c r="G431" s="3"/>
      <c r="L431" s="3"/>
      <c r="N431" s="3"/>
    </row>
    <row r="432" spans="1:14" x14ac:dyDescent="0.2">
      <c r="A432" s="3"/>
      <c r="B432" s="3"/>
      <c r="C432" s="3"/>
      <c r="D432" s="3"/>
      <c r="E432" s="3"/>
      <c r="F432" s="3"/>
      <c r="G432" s="3"/>
      <c r="L432" s="3"/>
      <c r="N432" s="3"/>
    </row>
    <row r="433" spans="1:14" x14ac:dyDescent="0.2">
      <c r="A433" s="3"/>
      <c r="B433" s="3"/>
      <c r="C433" s="3"/>
      <c r="D433" s="3"/>
      <c r="E433" s="3"/>
      <c r="F433" s="3"/>
      <c r="G433" s="3"/>
      <c r="L433" s="3"/>
      <c r="N433" s="3"/>
    </row>
    <row r="434" spans="1:14" x14ac:dyDescent="0.2">
      <c r="A434" s="3"/>
      <c r="B434" s="3"/>
      <c r="C434" s="3"/>
      <c r="D434" s="3"/>
      <c r="E434" s="3"/>
      <c r="F434" s="3"/>
      <c r="G434" s="3"/>
      <c r="L434" s="3"/>
      <c r="N434" s="3"/>
    </row>
    <row r="435" spans="1:14" x14ac:dyDescent="0.2">
      <c r="A435" s="3"/>
      <c r="B435" s="3"/>
      <c r="C435" s="3"/>
      <c r="D435" s="3"/>
      <c r="E435" s="3"/>
      <c r="F435" s="3"/>
      <c r="G435" s="3"/>
      <c r="L435" s="3"/>
      <c r="N435" s="3"/>
    </row>
    <row r="436" spans="1:14" x14ac:dyDescent="0.2">
      <c r="A436" s="3"/>
      <c r="B436" s="3"/>
      <c r="C436" s="3"/>
      <c r="D436" s="3"/>
      <c r="E436" s="3"/>
      <c r="F436" s="3"/>
      <c r="G436" s="3"/>
      <c r="L436" s="3"/>
      <c r="N436" s="3"/>
    </row>
    <row r="437" spans="1:14" x14ac:dyDescent="0.2">
      <c r="A437" s="3"/>
      <c r="B437" s="3"/>
      <c r="C437" s="3"/>
      <c r="D437" s="3"/>
      <c r="E437" s="3"/>
      <c r="F437" s="3"/>
      <c r="G437" s="3"/>
      <c r="L437" s="3"/>
      <c r="N437" s="3"/>
    </row>
    <row r="438" spans="1:14" x14ac:dyDescent="0.2">
      <c r="A438" s="3"/>
      <c r="B438" s="3"/>
      <c r="C438" s="3"/>
      <c r="D438" s="3"/>
      <c r="E438" s="3"/>
      <c r="F438" s="3"/>
      <c r="G438" s="3"/>
      <c r="L438" s="3"/>
      <c r="N438" s="3"/>
    </row>
    <row r="439" spans="1:14" x14ac:dyDescent="0.2">
      <c r="A439" s="3"/>
      <c r="B439" s="3"/>
      <c r="C439" s="3"/>
      <c r="D439" s="3"/>
      <c r="E439" s="3"/>
      <c r="F439" s="3"/>
      <c r="G439" s="3"/>
      <c r="L439" s="3"/>
      <c r="N439" s="3"/>
    </row>
    <row r="440" spans="1:14" x14ac:dyDescent="0.2">
      <c r="A440" s="3"/>
      <c r="B440" s="3"/>
      <c r="C440" s="3"/>
      <c r="D440" s="3"/>
      <c r="E440" s="3"/>
      <c r="F440" s="3"/>
      <c r="G440" s="3"/>
      <c r="L440" s="3"/>
      <c r="N440" s="3"/>
    </row>
    <row r="441" spans="1:14" x14ac:dyDescent="0.2">
      <c r="A441" s="3"/>
      <c r="B441" s="3"/>
      <c r="C441" s="3"/>
      <c r="D441" s="3"/>
      <c r="E441" s="3"/>
      <c r="F441" s="3"/>
      <c r="G441" s="3"/>
      <c r="L441" s="3"/>
      <c r="N441" s="3"/>
    </row>
    <row r="442" spans="1:14" x14ac:dyDescent="0.2">
      <c r="A442" s="3"/>
      <c r="B442" s="3"/>
      <c r="C442" s="3"/>
      <c r="D442" s="3"/>
      <c r="E442" s="3"/>
      <c r="F442" s="3"/>
      <c r="G442" s="3"/>
      <c r="L442" s="3"/>
      <c r="N442" s="3"/>
    </row>
    <row r="443" spans="1:14" x14ac:dyDescent="0.2">
      <c r="A443" s="3"/>
      <c r="B443" s="3"/>
      <c r="C443" s="3"/>
      <c r="D443" s="3"/>
      <c r="E443" s="3"/>
      <c r="F443" s="3"/>
      <c r="G443" s="3"/>
      <c r="L443" s="3"/>
      <c r="N443" s="3"/>
    </row>
    <row r="444" spans="1:14" x14ac:dyDescent="0.2">
      <c r="A444" s="3"/>
      <c r="B444" s="3"/>
      <c r="C444" s="3"/>
      <c r="D444" s="3"/>
      <c r="E444" s="3"/>
      <c r="F444" s="3"/>
      <c r="G444" s="3"/>
      <c r="L444" s="3"/>
      <c r="N444" s="3"/>
    </row>
    <row r="445" spans="1:14" x14ac:dyDescent="0.2">
      <c r="A445" s="3"/>
      <c r="B445" s="3"/>
      <c r="C445" s="3"/>
      <c r="D445" s="3"/>
      <c r="E445" s="3"/>
      <c r="F445" s="3"/>
      <c r="G445" s="3"/>
      <c r="L445" s="3"/>
      <c r="N445" s="3"/>
    </row>
    <row r="446" spans="1:14" x14ac:dyDescent="0.2">
      <c r="A446" s="3"/>
      <c r="B446" s="3"/>
      <c r="C446" s="3"/>
      <c r="D446" s="3"/>
      <c r="E446" s="3"/>
      <c r="F446" s="3"/>
      <c r="G446" s="3"/>
      <c r="L446" s="3"/>
      <c r="N446" s="3"/>
    </row>
    <row r="447" spans="1:14" x14ac:dyDescent="0.2">
      <c r="A447" s="3"/>
      <c r="B447" s="3"/>
      <c r="C447" s="3"/>
      <c r="D447" s="3"/>
      <c r="E447" s="3"/>
      <c r="F447" s="3"/>
      <c r="G447" s="3"/>
      <c r="L447" s="3"/>
      <c r="N447" s="3"/>
    </row>
    <row r="448" spans="1:14" x14ac:dyDescent="0.2">
      <c r="A448" s="3"/>
      <c r="B448" s="3"/>
      <c r="C448" s="3"/>
      <c r="D448" s="3"/>
      <c r="E448" s="3"/>
      <c r="F448" s="3"/>
      <c r="G448" s="3"/>
      <c r="L448" s="3"/>
      <c r="N448" s="3"/>
    </row>
    <row r="449" spans="1:14" x14ac:dyDescent="0.2">
      <c r="A449" s="3"/>
      <c r="B449" s="3"/>
      <c r="C449" s="3"/>
      <c r="D449" s="3"/>
      <c r="E449" s="3"/>
      <c r="F449" s="3"/>
      <c r="G449" s="3"/>
      <c r="L449" s="3"/>
      <c r="N449" s="3"/>
    </row>
    <row r="450" spans="1:14" x14ac:dyDescent="0.2">
      <c r="A450" s="3"/>
      <c r="B450" s="3"/>
      <c r="C450" s="3"/>
      <c r="D450" s="3"/>
      <c r="E450" s="3"/>
      <c r="F450" s="3"/>
      <c r="G450" s="3"/>
      <c r="L450" s="3"/>
      <c r="N450" s="3"/>
    </row>
    <row r="451" spans="1:14" x14ac:dyDescent="0.2">
      <c r="A451" s="3"/>
      <c r="B451" s="3"/>
      <c r="C451" s="3"/>
      <c r="D451" s="3"/>
      <c r="E451" s="3"/>
      <c r="F451" s="3"/>
      <c r="G451" s="3"/>
      <c r="L451" s="3"/>
      <c r="N451" s="3"/>
    </row>
    <row r="452" spans="1:14" x14ac:dyDescent="0.2">
      <c r="A452" s="3"/>
      <c r="B452" s="3"/>
      <c r="C452" s="3"/>
      <c r="D452" s="3"/>
      <c r="E452" s="3"/>
      <c r="F452" s="3"/>
      <c r="G452" s="3"/>
      <c r="L452" s="3"/>
      <c r="N452" s="3"/>
    </row>
    <row r="453" spans="1:14" x14ac:dyDescent="0.2">
      <c r="A453" s="3"/>
      <c r="B453" s="3"/>
      <c r="C453" s="3"/>
      <c r="D453" s="3"/>
      <c r="E453" s="3"/>
      <c r="F453" s="3"/>
      <c r="G453" s="3"/>
      <c r="L453" s="3"/>
      <c r="N453" s="3"/>
    </row>
    <row r="454" spans="1:14" x14ac:dyDescent="0.2">
      <c r="A454" s="3"/>
      <c r="B454" s="3"/>
      <c r="C454" s="3"/>
      <c r="D454" s="3"/>
      <c r="E454" s="3"/>
      <c r="F454" s="3"/>
      <c r="G454" s="3"/>
      <c r="L454" s="3"/>
      <c r="N454" s="3"/>
    </row>
    <row r="455" spans="1:14" x14ac:dyDescent="0.2">
      <c r="A455" s="3"/>
      <c r="B455" s="3"/>
      <c r="C455" s="3"/>
      <c r="D455" s="3"/>
      <c r="E455" s="3"/>
      <c r="F455" s="3"/>
      <c r="G455" s="3"/>
      <c r="L455" s="3"/>
      <c r="N455" s="3"/>
    </row>
    <row r="456" spans="1:14" x14ac:dyDescent="0.2">
      <c r="A456" s="3"/>
      <c r="B456" s="3"/>
      <c r="C456" s="3"/>
      <c r="D456" s="3"/>
      <c r="E456" s="3"/>
      <c r="F456" s="3"/>
      <c r="G456" s="3"/>
      <c r="L456" s="3"/>
      <c r="N456" s="3"/>
    </row>
    <row r="457" spans="1:14" x14ac:dyDescent="0.2">
      <c r="A457" s="3"/>
      <c r="B457" s="3"/>
      <c r="C457" s="3"/>
      <c r="D457" s="3"/>
      <c r="E457" s="3"/>
      <c r="F457" s="3"/>
      <c r="G457" s="3"/>
      <c r="L457" s="3"/>
      <c r="N457" s="3"/>
    </row>
    <row r="458" spans="1:14" x14ac:dyDescent="0.2">
      <c r="A458" s="3"/>
      <c r="B458" s="3"/>
      <c r="C458" s="3"/>
      <c r="D458" s="3"/>
      <c r="E458" s="3"/>
      <c r="F458" s="3"/>
      <c r="G458" s="3"/>
      <c r="L458" s="3"/>
      <c r="N458" s="3"/>
    </row>
    <row r="459" spans="1:14" x14ac:dyDescent="0.2">
      <c r="A459" s="3"/>
      <c r="B459" s="3"/>
      <c r="C459" s="3"/>
      <c r="D459" s="3"/>
      <c r="E459" s="3"/>
      <c r="F459" s="3"/>
      <c r="G459" s="3"/>
      <c r="L459" s="3"/>
      <c r="N459" s="3"/>
    </row>
    <row r="460" spans="1:14" x14ac:dyDescent="0.2">
      <c r="A460" s="3"/>
      <c r="B460" s="3"/>
      <c r="C460" s="3"/>
      <c r="D460" s="3"/>
      <c r="E460" s="3"/>
      <c r="F460" s="3"/>
      <c r="G460" s="3"/>
      <c r="L460" s="3"/>
      <c r="N460" s="3"/>
    </row>
    <row r="461" spans="1:14" x14ac:dyDescent="0.2">
      <c r="A461" s="3"/>
      <c r="B461" s="3"/>
      <c r="C461" s="3"/>
      <c r="D461" s="3"/>
      <c r="E461" s="3"/>
      <c r="F461" s="3"/>
      <c r="G461" s="3"/>
      <c r="L461" s="3"/>
      <c r="N461" s="3"/>
    </row>
    <row r="462" spans="1:14" x14ac:dyDescent="0.2">
      <c r="A462" s="3"/>
      <c r="B462" s="3"/>
      <c r="C462" s="3"/>
      <c r="D462" s="3"/>
      <c r="E462" s="3"/>
      <c r="F462" s="3"/>
      <c r="G462" s="3"/>
      <c r="L462" s="3"/>
      <c r="N462" s="3"/>
    </row>
    <row r="463" spans="1:14" x14ac:dyDescent="0.2">
      <c r="A463" s="3"/>
      <c r="B463" s="3"/>
      <c r="C463" s="3"/>
      <c r="D463" s="3"/>
      <c r="E463" s="3"/>
      <c r="F463" s="3"/>
      <c r="G463" s="3"/>
      <c r="L463" s="3"/>
      <c r="N463" s="3"/>
    </row>
    <row r="464" spans="1:14" x14ac:dyDescent="0.2">
      <c r="A464" s="3"/>
      <c r="B464" s="3"/>
      <c r="C464" s="3"/>
      <c r="D464" s="3"/>
      <c r="E464" s="3"/>
      <c r="F464" s="3"/>
      <c r="G464" s="3"/>
      <c r="L464" s="3"/>
      <c r="N464" s="3"/>
    </row>
    <row r="465" spans="1:14" x14ac:dyDescent="0.2">
      <c r="A465" s="3"/>
      <c r="B465" s="3"/>
      <c r="C465" s="3"/>
      <c r="D465" s="3"/>
      <c r="E465" s="3"/>
      <c r="F465" s="3"/>
      <c r="G465" s="3"/>
      <c r="L465" s="3"/>
      <c r="N465" s="3"/>
    </row>
    <row r="466" spans="1:14" x14ac:dyDescent="0.2">
      <c r="A466" s="3"/>
      <c r="B466" s="3"/>
      <c r="C466" s="3"/>
      <c r="D466" s="3"/>
      <c r="E466" s="3"/>
      <c r="F466" s="3"/>
      <c r="G466" s="3"/>
      <c r="L466" s="3"/>
      <c r="N466" s="3"/>
    </row>
    <row r="467" spans="1:14" x14ac:dyDescent="0.2">
      <c r="A467" s="3"/>
      <c r="B467" s="3"/>
      <c r="C467" s="3"/>
      <c r="D467" s="3"/>
      <c r="E467" s="3"/>
      <c r="F467" s="3"/>
      <c r="G467" s="3"/>
      <c r="L467" s="3"/>
      <c r="N467" s="3"/>
    </row>
    <row r="468" spans="1:14" x14ac:dyDescent="0.2">
      <c r="A468" s="3"/>
      <c r="B468" s="3"/>
      <c r="C468" s="3"/>
      <c r="D468" s="3"/>
      <c r="E468" s="3"/>
      <c r="F468" s="3"/>
      <c r="G468" s="3"/>
      <c r="L468" s="3"/>
      <c r="N468" s="3"/>
    </row>
    <row r="469" spans="1:14" x14ac:dyDescent="0.2">
      <c r="A469" s="3"/>
      <c r="B469" s="3"/>
      <c r="C469" s="3"/>
      <c r="D469" s="3"/>
      <c r="E469" s="3"/>
      <c r="F469" s="3"/>
      <c r="G469" s="3"/>
      <c r="L469" s="3"/>
      <c r="N469" s="3"/>
    </row>
    <row r="470" spans="1:14" x14ac:dyDescent="0.2">
      <c r="A470" s="3"/>
      <c r="B470" s="3"/>
      <c r="C470" s="3"/>
      <c r="D470" s="3"/>
      <c r="E470" s="3"/>
      <c r="F470" s="3"/>
      <c r="G470" s="3"/>
      <c r="L470" s="3"/>
      <c r="N470" s="3"/>
    </row>
    <row r="471" spans="1:14" x14ac:dyDescent="0.2">
      <c r="A471" s="3"/>
      <c r="B471" s="3"/>
      <c r="C471" s="3"/>
      <c r="D471" s="3"/>
      <c r="E471" s="3"/>
      <c r="F471" s="3"/>
      <c r="G471" s="3"/>
      <c r="L471" s="3"/>
      <c r="N471" s="3"/>
    </row>
    <row r="472" spans="1:14" x14ac:dyDescent="0.2">
      <c r="A472" s="3"/>
      <c r="B472" s="3"/>
      <c r="C472" s="3"/>
      <c r="D472" s="3"/>
      <c r="E472" s="3"/>
      <c r="F472" s="3"/>
      <c r="G472" s="3"/>
      <c r="L472" s="3"/>
      <c r="N472" s="3"/>
    </row>
    <row r="473" spans="1:14" x14ac:dyDescent="0.2">
      <c r="A473" s="3"/>
      <c r="B473" s="3"/>
      <c r="C473" s="3"/>
      <c r="D473" s="3"/>
      <c r="E473" s="3"/>
      <c r="F473" s="3"/>
      <c r="G473" s="3"/>
      <c r="L473" s="3"/>
      <c r="N473" s="3"/>
    </row>
    <row r="474" spans="1:14" x14ac:dyDescent="0.2">
      <c r="A474" s="3"/>
      <c r="B474" s="3"/>
      <c r="C474" s="3"/>
      <c r="D474" s="3"/>
      <c r="E474" s="3"/>
      <c r="F474" s="3"/>
      <c r="G474" s="3"/>
      <c r="L474" s="3"/>
      <c r="N474" s="3"/>
    </row>
    <row r="475" spans="1:14" x14ac:dyDescent="0.2">
      <c r="A475" s="3"/>
      <c r="B475" s="3"/>
      <c r="C475" s="3"/>
      <c r="D475" s="3"/>
      <c r="E475" s="3"/>
      <c r="F475" s="3"/>
      <c r="G475" s="3"/>
      <c r="L475" s="3"/>
      <c r="N475" s="3"/>
    </row>
    <row r="476" spans="1:14" x14ac:dyDescent="0.2">
      <c r="A476" s="3"/>
      <c r="B476" s="3"/>
      <c r="C476" s="3"/>
      <c r="D476" s="3"/>
      <c r="E476" s="3"/>
      <c r="F476" s="3"/>
      <c r="G476" s="3"/>
      <c r="L476" s="3"/>
      <c r="N476" s="3"/>
    </row>
    <row r="477" spans="1:14" x14ac:dyDescent="0.2">
      <c r="A477" s="3"/>
      <c r="B477" s="3"/>
      <c r="C477" s="3"/>
      <c r="D477" s="3"/>
      <c r="E477" s="3"/>
      <c r="F477" s="3"/>
      <c r="G477" s="3"/>
      <c r="L477" s="3"/>
      <c r="N477" s="3"/>
    </row>
    <row r="478" spans="1:14" x14ac:dyDescent="0.2">
      <c r="A478" s="3"/>
      <c r="B478" s="3"/>
      <c r="C478" s="3"/>
      <c r="D478" s="3"/>
      <c r="E478" s="3"/>
      <c r="F478" s="3"/>
      <c r="G478" s="3"/>
      <c r="L478" s="3"/>
      <c r="N478" s="3"/>
    </row>
    <row r="479" spans="1:14" x14ac:dyDescent="0.2">
      <c r="A479" s="3"/>
      <c r="B479" s="3"/>
      <c r="C479" s="3"/>
      <c r="D479" s="3"/>
      <c r="E479" s="3"/>
      <c r="F479" s="3"/>
      <c r="G479" s="3"/>
      <c r="L479" s="3"/>
      <c r="N479" s="3"/>
    </row>
    <row r="480" spans="1:14" x14ac:dyDescent="0.2">
      <c r="A480" s="3"/>
      <c r="B480" s="3"/>
      <c r="C480" s="3"/>
      <c r="D480" s="3"/>
      <c r="E480" s="3"/>
      <c r="F480" s="3"/>
      <c r="G480" s="3"/>
      <c r="L480" s="3"/>
      <c r="N480" s="3"/>
    </row>
    <row r="481" spans="1:14" x14ac:dyDescent="0.2">
      <c r="A481" s="3"/>
      <c r="B481" s="3"/>
      <c r="C481" s="3"/>
      <c r="D481" s="3"/>
      <c r="E481" s="3"/>
      <c r="F481" s="3"/>
      <c r="G481" s="3"/>
      <c r="L481" s="3"/>
      <c r="N481" s="3"/>
    </row>
    <row r="482" spans="1:14" x14ac:dyDescent="0.2">
      <c r="A482" s="3"/>
      <c r="B482" s="3"/>
      <c r="C482" s="3"/>
      <c r="D482" s="3"/>
      <c r="E482" s="3"/>
      <c r="F482" s="3"/>
      <c r="G482" s="3"/>
      <c r="L482" s="3"/>
      <c r="N482" s="3"/>
    </row>
    <row r="483" spans="1:14" x14ac:dyDescent="0.2">
      <c r="A483" s="3"/>
      <c r="B483" s="3"/>
      <c r="C483" s="3"/>
      <c r="D483" s="3"/>
      <c r="E483" s="3"/>
      <c r="F483" s="3"/>
      <c r="G483" s="3"/>
      <c r="L483" s="3"/>
      <c r="N483" s="3"/>
    </row>
    <row r="484" spans="1:14" x14ac:dyDescent="0.2">
      <c r="A484" s="3"/>
      <c r="B484" s="3"/>
      <c r="C484" s="3"/>
      <c r="D484" s="3"/>
      <c r="E484" s="3"/>
      <c r="F484" s="3"/>
      <c r="G484" s="3"/>
      <c r="L484" s="3"/>
      <c r="N484" s="3"/>
    </row>
    <row r="485" spans="1:14" x14ac:dyDescent="0.2">
      <c r="A485" s="3"/>
      <c r="B485" s="3"/>
      <c r="C485" s="3"/>
      <c r="D485" s="3"/>
      <c r="E485" s="3"/>
      <c r="F485" s="3"/>
      <c r="G485" s="3"/>
      <c r="L485" s="3"/>
      <c r="N485" s="3"/>
    </row>
    <row r="486" spans="1:14" x14ac:dyDescent="0.2">
      <c r="A486" s="3"/>
      <c r="B486" s="3"/>
      <c r="C486" s="3"/>
      <c r="D486" s="3"/>
      <c r="E486" s="3"/>
      <c r="F486" s="3"/>
      <c r="G486" s="3"/>
      <c r="L486" s="3"/>
      <c r="N486" s="3"/>
    </row>
    <row r="487" spans="1:14" x14ac:dyDescent="0.2">
      <c r="A487" s="3"/>
      <c r="B487" s="3"/>
      <c r="C487" s="3"/>
      <c r="D487" s="3"/>
      <c r="E487" s="3"/>
      <c r="F487" s="3"/>
      <c r="G487" s="3"/>
      <c r="L487" s="3"/>
      <c r="N487" s="3"/>
    </row>
    <row r="488" spans="1:14" x14ac:dyDescent="0.2">
      <c r="A488" s="3"/>
      <c r="B488" s="3"/>
      <c r="C488" s="3"/>
      <c r="D488" s="3"/>
      <c r="E488" s="3"/>
      <c r="F488" s="3"/>
      <c r="G488" s="3"/>
      <c r="L488" s="3"/>
      <c r="N488" s="3"/>
    </row>
    <row r="489" spans="1:14" x14ac:dyDescent="0.2">
      <c r="A489" s="3"/>
      <c r="B489" s="3"/>
      <c r="C489" s="3"/>
      <c r="D489" s="3"/>
      <c r="E489" s="3"/>
      <c r="F489" s="3"/>
      <c r="G489" s="3"/>
      <c r="L489" s="3"/>
      <c r="N489" s="3"/>
    </row>
    <row r="490" spans="1:14" x14ac:dyDescent="0.2">
      <c r="A490" s="3"/>
      <c r="B490" s="3"/>
      <c r="C490" s="3"/>
      <c r="D490" s="3"/>
      <c r="E490" s="3"/>
      <c r="F490" s="3"/>
      <c r="G490" s="3"/>
      <c r="L490" s="3"/>
      <c r="N490" s="3"/>
    </row>
    <row r="491" spans="1:14" x14ac:dyDescent="0.2">
      <c r="A491" s="3"/>
      <c r="B491" s="3"/>
      <c r="C491" s="3"/>
      <c r="D491" s="3"/>
      <c r="E491" s="3"/>
      <c r="F491" s="3"/>
      <c r="G491" s="3"/>
      <c r="L491" s="3"/>
      <c r="N491" s="3"/>
    </row>
    <row r="492" spans="1:14" x14ac:dyDescent="0.2">
      <c r="A492" s="3"/>
      <c r="B492" s="3"/>
      <c r="C492" s="3"/>
      <c r="D492" s="3"/>
      <c r="E492" s="3"/>
      <c r="F492" s="3"/>
      <c r="G492" s="3"/>
      <c r="L492" s="3"/>
      <c r="N492" s="3"/>
    </row>
    <row r="493" spans="1:14" x14ac:dyDescent="0.2">
      <c r="A493" s="3"/>
      <c r="B493" s="3"/>
      <c r="C493" s="3"/>
      <c r="D493" s="3"/>
      <c r="E493" s="3"/>
      <c r="F493" s="3"/>
      <c r="G493" s="3"/>
      <c r="L493" s="3"/>
      <c r="N493" s="3"/>
    </row>
    <row r="494" spans="1:14" x14ac:dyDescent="0.2">
      <c r="A494" s="3"/>
      <c r="B494" s="3"/>
      <c r="C494" s="3"/>
      <c r="D494" s="3"/>
      <c r="E494" s="3"/>
      <c r="F494" s="3"/>
      <c r="G494" s="3"/>
      <c r="L494" s="3"/>
      <c r="N494" s="3"/>
    </row>
    <row r="495" spans="1:14" x14ac:dyDescent="0.2">
      <c r="A495" s="3"/>
      <c r="B495" s="3"/>
      <c r="C495" s="3"/>
      <c r="D495" s="3"/>
      <c r="E495" s="3"/>
      <c r="F495" s="3"/>
      <c r="G495" s="3"/>
      <c r="L495" s="3"/>
      <c r="N495" s="3"/>
    </row>
    <row r="496" spans="1:14" x14ac:dyDescent="0.2">
      <c r="A496" s="3"/>
      <c r="B496" s="3"/>
      <c r="C496" s="3"/>
      <c r="D496" s="3"/>
      <c r="E496" s="3"/>
      <c r="F496" s="3"/>
      <c r="G496" s="3"/>
      <c r="L496" s="3"/>
      <c r="N496" s="3"/>
    </row>
    <row r="497" spans="1:14" x14ac:dyDescent="0.2">
      <c r="A497" s="3"/>
      <c r="B497" s="3"/>
      <c r="C497" s="3"/>
      <c r="D497" s="3"/>
      <c r="E497" s="3"/>
      <c r="F497" s="3"/>
      <c r="G497" s="3"/>
      <c r="L497" s="3"/>
      <c r="N497" s="3"/>
    </row>
    <row r="498" spans="1:14" x14ac:dyDescent="0.2">
      <c r="A498" s="3"/>
      <c r="B498" s="3"/>
      <c r="C498" s="3"/>
      <c r="D498" s="3"/>
      <c r="E498" s="3"/>
      <c r="F498" s="3"/>
      <c r="G498" s="3"/>
      <c r="L498" s="3"/>
      <c r="N498" s="3"/>
    </row>
    <row r="499" spans="1:14" x14ac:dyDescent="0.2">
      <c r="A499" s="3"/>
      <c r="B499" s="3"/>
      <c r="C499" s="3"/>
      <c r="D499" s="3"/>
      <c r="E499" s="3"/>
      <c r="F499" s="3"/>
      <c r="G499" s="3"/>
      <c r="L499" s="3"/>
      <c r="N499" s="3"/>
    </row>
  </sheetData>
  <mergeCells count="23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M5"/>
    <mergeCell ref="B3:B4"/>
    <mergeCell ref="A23:N23"/>
    <mergeCell ref="A28:N28"/>
    <mergeCell ref="A8:N8"/>
    <mergeCell ref="A11:N11"/>
    <mergeCell ref="A41:N41"/>
    <mergeCell ref="A46:N46"/>
    <mergeCell ref="A14:N14"/>
    <mergeCell ref="A17:N17"/>
    <mergeCell ref="A20:N20"/>
    <mergeCell ref="A36:N3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workbookViewId="0">
      <selection activeCell="B11" sqref="B11"/>
    </sheetView>
  </sheetViews>
  <sheetFormatPr defaultRowHeight="12.75" x14ac:dyDescent="0.2"/>
  <cols>
    <col min="1" max="1" width="26" style="4" bestFit="1" customWidth="1"/>
    <col min="2" max="2" width="13.1406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29.140625" style="4" bestFit="1" customWidth="1"/>
    <col min="8" max="10" width="5.5703125" style="3" bestFit="1" customWidth="1"/>
    <col min="11" max="11" width="4.85546875" style="3" bestFit="1" customWidth="1"/>
    <col min="12" max="12" width="11.140625" style="4" customWidth="1"/>
    <col min="13" max="13" width="8.5703125" style="3" bestFit="1" customWidth="1"/>
    <col min="14" max="14" width="14.710937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29.140625" style="3" bestFit="1" customWidth="1"/>
    <col min="264" max="266" width="5.5703125" style="3" bestFit="1" customWidth="1"/>
    <col min="267" max="267" width="4.85546875" style="3" bestFit="1" customWidth="1"/>
    <col min="268" max="268" width="11.140625" style="3" customWidth="1"/>
    <col min="269" max="269" width="8.5703125" style="3" bestFit="1" customWidth="1"/>
    <col min="270" max="270" width="14.710937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29.140625" style="3" bestFit="1" customWidth="1"/>
    <col min="520" max="522" width="5.5703125" style="3" bestFit="1" customWidth="1"/>
    <col min="523" max="523" width="4.85546875" style="3" bestFit="1" customWidth="1"/>
    <col min="524" max="524" width="11.140625" style="3" customWidth="1"/>
    <col min="525" max="525" width="8.5703125" style="3" bestFit="1" customWidth="1"/>
    <col min="526" max="526" width="14.710937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29.140625" style="3" bestFit="1" customWidth="1"/>
    <col min="776" max="778" width="5.5703125" style="3" bestFit="1" customWidth="1"/>
    <col min="779" max="779" width="4.85546875" style="3" bestFit="1" customWidth="1"/>
    <col min="780" max="780" width="11.140625" style="3" customWidth="1"/>
    <col min="781" max="781" width="8.5703125" style="3" bestFit="1" customWidth="1"/>
    <col min="782" max="782" width="14.710937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29.140625" style="3" bestFit="1" customWidth="1"/>
    <col min="1032" max="1034" width="5.5703125" style="3" bestFit="1" customWidth="1"/>
    <col min="1035" max="1035" width="4.85546875" style="3" bestFit="1" customWidth="1"/>
    <col min="1036" max="1036" width="11.140625" style="3" customWidth="1"/>
    <col min="1037" max="1037" width="8.5703125" style="3" bestFit="1" customWidth="1"/>
    <col min="1038" max="1038" width="14.710937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29.140625" style="3" bestFit="1" customWidth="1"/>
    <col min="1288" max="1290" width="5.5703125" style="3" bestFit="1" customWidth="1"/>
    <col min="1291" max="1291" width="4.85546875" style="3" bestFit="1" customWidth="1"/>
    <col min="1292" max="1292" width="11.140625" style="3" customWidth="1"/>
    <col min="1293" max="1293" width="8.5703125" style="3" bestFit="1" customWidth="1"/>
    <col min="1294" max="1294" width="14.710937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29.140625" style="3" bestFit="1" customWidth="1"/>
    <col min="1544" max="1546" width="5.5703125" style="3" bestFit="1" customWidth="1"/>
    <col min="1547" max="1547" width="4.85546875" style="3" bestFit="1" customWidth="1"/>
    <col min="1548" max="1548" width="11.140625" style="3" customWidth="1"/>
    <col min="1549" max="1549" width="8.5703125" style="3" bestFit="1" customWidth="1"/>
    <col min="1550" max="1550" width="14.710937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29.140625" style="3" bestFit="1" customWidth="1"/>
    <col min="1800" max="1802" width="5.5703125" style="3" bestFit="1" customWidth="1"/>
    <col min="1803" max="1803" width="4.85546875" style="3" bestFit="1" customWidth="1"/>
    <col min="1804" max="1804" width="11.140625" style="3" customWidth="1"/>
    <col min="1805" max="1805" width="8.5703125" style="3" bestFit="1" customWidth="1"/>
    <col min="1806" max="1806" width="14.710937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29.140625" style="3" bestFit="1" customWidth="1"/>
    <col min="2056" max="2058" width="5.5703125" style="3" bestFit="1" customWidth="1"/>
    <col min="2059" max="2059" width="4.85546875" style="3" bestFit="1" customWidth="1"/>
    <col min="2060" max="2060" width="11.140625" style="3" customWidth="1"/>
    <col min="2061" max="2061" width="8.5703125" style="3" bestFit="1" customWidth="1"/>
    <col min="2062" max="2062" width="14.710937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29.140625" style="3" bestFit="1" customWidth="1"/>
    <col min="2312" max="2314" width="5.5703125" style="3" bestFit="1" customWidth="1"/>
    <col min="2315" max="2315" width="4.85546875" style="3" bestFit="1" customWidth="1"/>
    <col min="2316" max="2316" width="11.140625" style="3" customWidth="1"/>
    <col min="2317" max="2317" width="8.5703125" style="3" bestFit="1" customWidth="1"/>
    <col min="2318" max="2318" width="14.710937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29.140625" style="3" bestFit="1" customWidth="1"/>
    <col min="2568" max="2570" width="5.5703125" style="3" bestFit="1" customWidth="1"/>
    <col min="2571" max="2571" width="4.85546875" style="3" bestFit="1" customWidth="1"/>
    <col min="2572" max="2572" width="11.140625" style="3" customWidth="1"/>
    <col min="2573" max="2573" width="8.5703125" style="3" bestFit="1" customWidth="1"/>
    <col min="2574" max="2574" width="14.710937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29.140625" style="3" bestFit="1" customWidth="1"/>
    <col min="2824" max="2826" width="5.5703125" style="3" bestFit="1" customWidth="1"/>
    <col min="2827" max="2827" width="4.85546875" style="3" bestFit="1" customWidth="1"/>
    <col min="2828" max="2828" width="11.140625" style="3" customWidth="1"/>
    <col min="2829" max="2829" width="8.5703125" style="3" bestFit="1" customWidth="1"/>
    <col min="2830" max="2830" width="14.710937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29.140625" style="3" bestFit="1" customWidth="1"/>
    <col min="3080" max="3082" width="5.5703125" style="3" bestFit="1" customWidth="1"/>
    <col min="3083" max="3083" width="4.85546875" style="3" bestFit="1" customWidth="1"/>
    <col min="3084" max="3084" width="11.140625" style="3" customWidth="1"/>
    <col min="3085" max="3085" width="8.5703125" style="3" bestFit="1" customWidth="1"/>
    <col min="3086" max="3086" width="14.710937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29.140625" style="3" bestFit="1" customWidth="1"/>
    <col min="3336" max="3338" width="5.5703125" style="3" bestFit="1" customWidth="1"/>
    <col min="3339" max="3339" width="4.85546875" style="3" bestFit="1" customWidth="1"/>
    <col min="3340" max="3340" width="11.140625" style="3" customWidth="1"/>
    <col min="3341" max="3341" width="8.5703125" style="3" bestFit="1" customWidth="1"/>
    <col min="3342" max="3342" width="14.710937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29.140625" style="3" bestFit="1" customWidth="1"/>
    <col min="3592" max="3594" width="5.5703125" style="3" bestFit="1" customWidth="1"/>
    <col min="3595" max="3595" width="4.85546875" style="3" bestFit="1" customWidth="1"/>
    <col min="3596" max="3596" width="11.140625" style="3" customWidth="1"/>
    <col min="3597" max="3597" width="8.5703125" style="3" bestFit="1" customWidth="1"/>
    <col min="3598" max="3598" width="14.710937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29.140625" style="3" bestFit="1" customWidth="1"/>
    <col min="3848" max="3850" width="5.5703125" style="3" bestFit="1" customWidth="1"/>
    <col min="3851" max="3851" width="4.85546875" style="3" bestFit="1" customWidth="1"/>
    <col min="3852" max="3852" width="11.140625" style="3" customWidth="1"/>
    <col min="3853" max="3853" width="8.5703125" style="3" bestFit="1" customWidth="1"/>
    <col min="3854" max="3854" width="14.710937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29.140625" style="3" bestFit="1" customWidth="1"/>
    <col min="4104" max="4106" width="5.5703125" style="3" bestFit="1" customWidth="1"/>
    <col min="4107" max="4107" width="4.85546875" style="3" bestFit="1" customWidth="1"/>
    <col min="4108" max="4108" width="11.140625" style="3" customWidth="1"/>
    <col min="4109" max="4109" width="8.5703125" style="3" bestFit="1" customWidth="1"/>
    <col min="4110" max="4110" width="14.710937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29.140625" style="3" bestFit="1" customWidth="1"/>
    <col min="4360" max="4362" width="5.5703125" style="3" bestFit="1" customWidth="1"/>
    <col min="4363" max="4363" width="4.85546875" style="3" bestFit="1" customWidth="1"/>
    <col min="4364" max="4364" width="11.140625" style="3" customWidth="1"/>
    <col min="4365" max="4365" width="8.5703125" style="3" bestFit="1" customWidth="1"/>
    <col min="4366" max="4366" width="14.710937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29.140625" style="3" bestFit="1" customWidth="1"/>
    <col min="4616" max="4618" width="5.5703125" style="3" bestFit="1" customWidth="1"/>
    <col min="4619" max="4619" width="4.85546875" style="3" bestFit="1" customWidth="1"/>
    <col min="4620" max="4620" width="11.140625" style="3" customWidth="1"/>
    <col min="4621" max="4621" width="8.5703125" style="3" bestFit="1" customWidth="1"/>
    <col min="4622" max="4622" width="14.710937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29.140625" style="3" bestFit="1" customWidth="1"/>
    <col min="4872" max="4874" width="5.5703125" style="3" bestFit="1" customWidth="1"/>
    <col min="4875" max="4875" width="4.85546875" style="3" bestFit="1" customWidth="1"/>
    <col min="4876" max="4876" width="11.140625" style="3" customWidth="1"/>
    <col min="4877" max="4877" width="8.5703125" style="3" bestFit="1" customWidth="1"/>
    <col min="4878" max="4878" width="14.710937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29.140625" style="3" bestFit="1" customWidth="1"/>
    <col min="5128" max="5130" width="5.5703125" style="3" bestFit="1" customWidth="1"/>
    <col min="5131" max="5131" width="4.85546875" style="3" bestFit="1" customWidth="1"/>
    <col min="5132" max="5132" width="11.140625" style="3" customWidth="1"/>
    <col min="5133" max="5133" width="8.5703125" style="3" bestFit="1" customWidth="1"/>
    <col min="5134" max="5134" width="14.710937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29.140625" style="3" bestFit="1" customWidth="1"/>
    <col min="5384" max="5386" width="5.5703125" style="3" bestFit="1" customWidth="1"/>
    <col min="5387" max="5387" width="4.85546875" style="3" bestFit="1" customWidth="1"/>
    <col min="5388" max="5388" width="11.140625" style="3" customWidth="1"/>
    <col min="5389" max="5389" width="8.5703125" style="3" bestFit="1" customWidth="1"/>
    <col min="5390" max="5390" width="14.710937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29.140625" style="3" bestFit="1" customWidth="1"/>
    <col min="5640" max="5642" width="5.5703125" style="3" bestFit="1" customWidth="1"/>
    <col min="5643" max="5643" width="4.85546875" style="3" bestFit="1" customWidth="1"/>
    <col min="5644" max="5644" width="11.140625" style="3" customWidth="1"/>
    <col min="5645" max="5645" width="8.5703125" style="3" bestFit="1" customWidth="1"/>
    <col min="5646" max="5646" width="14.710937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29.140625" style="3" bestFit="1" customWidth="1"/>
    <col min="5896" max="5898" width="5.5703125" style="3" bestFit="1" customWidth="1"/>
    <col min="5899" max="5899" width="4.85546875" style="3" bestFit="1" customWidth="1"/>
    <col min="5900" max="5900" width="11.140625" style="3" customWidth="1"/>
    <col min="5901" max="5901" width="8.5703125" style="3" bestFit="1" customWidth="1"/>
    <col min="5902" max="5902" width="14.710937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29.140625" style="3" bestFit="1" customWidth="1"/>
    <col min="6152" max="6154" width="5.5703125" style="3" bestFit="1" customWidth="1"/>
    <col min="6155" max="6155" width="4.85546875" style="3" bestFit="1" customWidth="1"/>
    <col min="6156" max="6156" width="11.140625" style="3" customWidth="1"/>
    <col min="6157" max="6157" width="8.5703125" style="3" bestFit="1" customWidth="1"/>
    <col min="6158" max="6158" width="14.710937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29.140625" style="3" bestFit="1" customWidth="1"/>
    <col min="6408" max="6410" width="5.5703125" style="3" bestFit="1" customWidth="1"/>
    <col min="6411" max="6411" width="4.85546875" style="3" bestFit="1" customWidth="1"/>
    <col min="6412" max="6412" width="11.140625" style="3" customWidth="1"/>
    <col min="6413" max="6413" width="8.5703125" style="3" bestFit="1" customWidth="1"/>
    <col min="6414" max="6414" width="14.710937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29.140625" style="3" bestFit="1" customWidth="1"/>
    <col min="6664" max="6666" width="5.5703125" style="3" bestFit="1" customWidth="1"/>
    <col min="6667" max="6667" width="4.85546875" style="3" bestFit="1" customWidth="1"/>
    <col min="6668" max="6668" width="11.140625" style="3" customWidth="1"/>
    <col min="6669" max="6669" width="8.5703125" style="3" bestFit="1" customWidth="1"/>
    <col min="6670" max="6670" width="14.710937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29.140625" style="3" bestFit="1" customWidth="1"/>
    <col min="6920" max="6922" width="5.5703125" style="3" bestFit="1" customWidth="1"/>
    <col min="6923" max="6923" width="4.85546875" style="3" bestFit="1" customWidth="1"/>
    <col min="6924" max="6924" width="11.140625" style="3" customWidth="1"/>
    <col min="6925" max="6925" width="8.5703125" style="3" bestFit="1" customWidth="1"/>
    <col min="6926" max="6926" width="14.710937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29.140625" style="3" bestFit="1" customWidth="1"/>
    <col min="7176" max="7178" width="5.5703125" style="3" bestFit="1" customWidth="1"/>
    <col min="7179" max="7179" width="4.85546875" style="3" bestFit="1" customWidth="1"/>
    <col min="7180" max="7180" width="11.140625" style="3" customWidth="1"/>
    <col min="7181" max="7181" width="8.5703125" style="3" bestFit="1" customWidth="1"/>
    <col min="7182" max="7182" width="14.710937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29.140625" style="3" bestFit="1" customWidth="1"/>
    <col min="7432" max="7434" width="5.5703125" style="3" bestFit="1" customWidth="1"/>
    <col min="7435" max="7435" width="4.85546875" style="3" bestFit="1" customWidth="1"/>
    <col min="7436" max="7436" width="11.140625" style="3" customWidth="1"/>
    <col min="7437" max="7437" width="8.5703125" style="3" bestFit="1" customWidth="1"/>
    <col min="7438" max="7438" width="14.710937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29.140625" style="3" bestFit="1" customWidth="1"/>
    <col min="7688" max="7690" width="5.5703125" style="3" bestFit="1" customWidth="1"/>
    <col min="7691" max="7691" width="4.85546875" style="3" bestFit="1" customWidth="1"/>
    <col min="7692" max="7692" width="11.140625" style="3" customWidth="1"/>
    <col min="7693" max="7693" width="8.5703125" style="3" bestFit="1" customWidth="1"/>
    <col min="7694" max="7694" width="14.710937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29.140625" style="3" bestFit="1" customWidth="1"/>
    <col min="7944" max="7946" width="5.5703125" style="3" bestFit="1" customWidth="1"/>
    <col min="7947" max="7947" width="4.85546875" style="3" bestFit="1" customWidth="1"/>
    <col min="7948" max="7948" width="11.140625" style="3" customWidth="1"/>
    <col min="7949" max="7949" width="8.5703125" style="3" bestFit="1" customWidth="1"/>
    <col min="7950" max="7950" width="14.710937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29.140625" style="3" bestFit="1" customWidth="1"/>
    <col min="8200" max="8202" width="5.5703125" style="3" bestFit="1" customWidth="1"/>
    <col min="8203" max="8203" width="4.85546875" style="3" bestFit="1" customWidth="1"/>
    <col min="8204" max="8204" width="11.140625" style="3" customWidth="1"/>
    <col min="8205" max="8205" width="8.5703125" style="3" bestFit="1" customWidth="1"/>
    <col min="8206" max="8206" width="14.710937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29.140625" style="3" bestFit="1" customWidth="1"/>
    <col min="8456" max="8458" width="5.5703125" style="3" bestFit="1" customWidth="1"/>
    <col min="8459" max="8459" width="4.85546875" style="3" bestFit="1" customWidth="1"/>
    <col min="8460" max="8460" width="11.140625" style="3" customWidth="1"/>
    <col min="8461" max="8461" width="8.5703125" style="3" bestFit="1" customWidth="1"/>
    <col min="8462" max="8462" width="14.710937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29.140625" style="3" bestFit="1" customWidth="1"/>
    <col min="8712" max="8714" width="5.5703125" style="3" bestFit="1" customWidth="1"/>
    <col min="8715" max="8715" width="4.85546875" style="3" bestFit="1" customWidth="1"/>
    <col min="8716" max="8716" width="11.140625" style="3" customWidth="1"/>
    <col min="8717" max="8717" width="8.5703125" style="3" bestFit="1" customWidth="1"/>
    <col min="8718" max="8718" width="14.710937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29.140625" style="3" bestFit="1" customWidth="1"/>
    <col min="8968" max="8970" width="5.5703125" style="3" bestFit="1" customWidth="1"/>
    <col min="8971" max="8971" width="4.85546875" style="3" bestFit="1" customWidth="1"/>
    <col min="8972" max="8972" width="11.140625" style="3" customWidth="1"/>
    <col min="8973" max="8973" width="8.5703125" style="3" bestFit="1" customWidth="1"/>
    <col min="8974" max="8974" width="14.710937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29.140625" style="3" bestFit="1" customWidth="1"/>
    <col min="9224" max="9226" width="5.5703125" style="3" bestFit="1" customWidth="1"/>
    <col min="9227" max="9227" width="4.85546875" style="3" bestFit="1" customWidth="1"/>
    <col min="9228" max="9228" width="11.140625" style="3" customWidth="1"/>
    <col min="9229" max="9229" width="8.5703125" style="3" bestFit="1" customWidth="1"/>
    <col min="9230" max="9230" width="14.710937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29.140625" style="3" bestFit="1" customWidth="1"/>
    <col min="9480" max="9482" width="5.5703125" style="3" bestFit="1" customWidth="1"/>
    <col min="9483" max="9483" width="4.85546875" style="3" bestFit="1" customWidth="1"/>
    <col min="9484" max="9484" width="11.140625" style="3" customWidth="1"/>
    <col min="9485" max="9485" width="8.5703125" style="3" bestFit="1" customWidth="1"/>
    <col min="9486" max="9486" width="14.710937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29.140625" style="3" bestFit="1" customWidth="1"/>
    <col min="9736" max="9738" width="5.5703125" style="3" bestFit="1" customWidth="1"/>
    <col min="9739" max="9739" width="4.85546875" style="3" bestFit="1" customWidth="1"/>
    <col min="9740" max="9740" width="11.140625" style="3" customWidth="1"/>
    <col min="9741" max="9741" width="8.5703125" style="3" bestFit="1" customWidth="1"/>
    <col min="9742" max="9742" width="14.710937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29.140625" style="3" bestFit="1" customWidth="1"/>
    <col min="9992" max="9994" width="5.5703125" style="3" bestFit="1" customWidth="1"/>
    <col min="9995" max="9995" width="4.85546875" style="3" bestFit="1" customWidth="1"/>
    <col min="9996" max="9996" width="11.140625" style="3" customWidth="1"/>
    <col min="9997" max="9997" width="8.5703125" style="3" bestFit="1" customWidth="1"/>
    <col min="9998" max="9998" width="14.710937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29.140625" style="3" bestFit="1" customWidth="1"/>
    <col min="10248" max="10250" width="5.5703125" style="3" bestFit="1" customWidth="1"/>
    <col min="10251" max="10251" width="4.85546875" style="3" bestFit="1" customWidth="1"/>
    <col min="10252" max="10252" width="11.140625" style="3" customWidth="1"/>
    <col min="10253" max="10253" width="8.5703125" style="3" bestFit="1" customWidth="1"/>
    <col min="10254" max="10254" width="14.710937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29.140625" style="3" bestFit="1" customWidth="1"/>
    <col min="10504" max="10506" width="5.5703125" style="3" bestFit="1" customWidth="1"/>
    <col min="10507" max="10507" width="4.85546875" style="3" bestFit="1" customWidth="1"/>
    <col min="10508" max="10508" width="11.140625" style="3" customWidth="1"/>
    <col min="10509" max="10509" width="8.5703125" style="3" bestFit="1" customWidth="1"/>
    <col min="10510" max="10510" width="14.710937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29.140625" style="3" bestFit="1" customWidth="1"/>
    <col min="10760" max="10762" width="5.5703125" style="3" bestFit="1" customWidth="1"/>
    <col min="10763" max="10763" width="4.85546875" style="3" bestFit="1" customWidth="1"/>
    <col min="10764" max="10764" width="11.140625" style="3" customWidth="1"/>
    <col min="10765" max="10765" width="8.5703125" style="3" bestFit="1" customWidth="1"/>
    <col min="10766" max="10766" width="14.710937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29.140625" style="3" bestFit="1" customWidth="1"/>
    <col min="11016" max="11018" width="5.5703125" style="3" bestFit="1" customWidth="1"/>
    <col min="11019" max="11019" width="4.85546875" style="3" bestFit="1" customWidth="1"/>
    <col min="11020" max="11020" width="11.140625" style="3" customWidth="1"/>
    <col min="11021" max="11021" width="8.5703125" style="3" bestFit="1" customWidth="1"/>
    <col min="11022" max="11022" width="14.710937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29.140625" style="3" bestFit="1" customWidth="1"/>
    <col min="11272" max="11274" width="5.5703125" style="3" bestFit="1" customWidth="1"/>
    <col min="11275" max="11275" width="4.85546875" style="3" bestFit="1" customWidth="1"/>
    <col min="11276" max="11276" width="11.140625" style="3" customWidth="1"/>
    <col min="11277" max="11277" width="8.5703125" style="3" bestFit="1" customWidth="1"/>
    <col min="11278" max="11278" width="14.710937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29.140625" style="3" bestFit="1" customWidth="1"/>
    <col min="11528" max="11530" width="5.5703125" style="3" bestFit="1" customWidth="1"/>
    <col min="11531" max="11531" width="4.85546875" style="3" bestFit="1" customWidth="1"/>
    <col min="11532" max="11532" width="11.140625" style="3" customWidth="1"/>
    <col min="11533" max="11533" width="8.5703125" style="3" bestFit="1" customWidth="1"/>
    <col min="11534" max="11534" width="14.710937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29.140625" style="3" bestFit="1" customWidth="1"/>
    <col min="11784" max="11786" width="5.5703125" style="3" bestFit="1" customWidth="1"/>
    <col min="11787" max="11787" width="4.85546875" style="3" bestFit="1" customWidth="1"/>
    <col min="11788" max="11788" width="11.140625" style="3" customWidth="1"/>
    <col min="11789" max="11789" width="8.5703125" style="3" bestFit="1" customWidth="1"/>
    <col min="11790" max="11790" width="14.710937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29.140625" style="3" bestFit="1" customWidth="1"/>
    <col min="12040" max="12042" width="5.5703125" style="3" bestFit="1" customWidth="1"/>
    <col min="12043" max="12043" width="4.85546875" style="3" bestFit="1" customWidth="1"/>
    <col min="12044" max="12044" width="11.140625" style="3" customWidth="1"/>
    <col min="12045" max="12045" width="8.5703125" style="3" bestFit="1" customWidth="1"/>
    <col min="12046" max="12046" width="14.710937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29.140625" style="3" bestFit="1" customWidth="1"/>
    <col min="12296" max="12298" width="5.5703125" style="3" bestFit="1" customWidth="1"/>
    <col min="12299" max="12299" width="4.85546875" style="3" bestFit="1" customWidth="1"/>
    <col min="12300" max="12300" width="11.140625" style="3" customWidth="1"/>
    <col min="12301" max="12301" width="8.5703125" style="3" bestFit="1" customWidth="1"/>
    <col min="12302" max="12302" width="14.710937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29.140625" style="3" bestFit="1" customWidth="1"/>
    <col min="12552" max="12554" width="5.5703125" style="3" bestFit="1" customWidth="1"/>
    <col min="12555" max="12555" width="4.85546875" style="3" bestFit="1" customWidth="1"/>
    <col min="12556" max="12556" width="11.140625" style="3" customWidth="1"/>
    <col min="12557" max="12557" width="8.5703125" style="3" bestFit="1" customWidth="1"/>
    <col min="12558" max="12558" width="14.710937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29.140625" style="3" bestFit="1" customWidth="1"/>
    <col min="12808" max="12810" width="5.5703125" style="3" bestFit="1" customWidth="1"/>
    <col min="12811" max="12811" width="4.85546875" style="3" bestFit="1" customWidth="1"/>
    <col min="12812" max="12812" width="11.140625" style="3" customWidth="1"/>
    <col min="12813" max="12813" width="8.5703125" style="3" bestFit="1" customWidth="1"/>
    <col min="12814" max="12814" width="14.710937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29.140625" style="3" bestFit="1" customWidth="1"/>
    <col min="13064" max="13066" width="5.5703125" style="3" bestFit="1" customWidth="1"/>
    <col min="13067" max="13067" width="4.85546875" style="3" bestFit="1" customWidth="1"/>
    <col min="13068" max="13068" width="11.140625" style="3" customWidth="1"/>
    <col min="13069" max="13069" width="8.5703125" style="3" bestFit="1" customWidth="1"/>
    <col min="13070" max="13070" width="14.710937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29.140625" style="3" bestFit="1" customWidth="1"/>
    <col min="13320" max="13322" width="5.5703125" style="3" bestFit="1" customWidth="1"/>
    <col min="13323" max="13323" width="4.85546875" style="3" bestFit="1" customWidth="1"/>
    <col min="13324" max="13324" width="11.140625" style="3" customWidth="1"/>
    <col min="13325" max="13325" width="8.5703125" style="3" bestFit="1" customWidth="1"/>
    <col min="13326" max="13326" width="14.710937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29.140625" style="3" bestFit="1" customWidth="1"/>
    <col min="13576" max="13578" width="5.5703125" style="3" bestFit="1" customWidth="1"/>
    <col min="13579" max="13579" width="4.85546875" style="3" bestFit="1" customWidth="1"/>
    <col min="13580" max="13580" width="11.140625" style="3" customWidth="1"/>
    <col min="13581" max="13581" width="8.5703125" style="3" bestFit="1" customWidth="1"/>
    <col min="13582" max="13582" width="14.710937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29.140625" style="3" bestFit="1" customWidth="1"/>
    <col min="13832" max="13834" width="5.5703125" style="3" bestFit="1" customWidth="1"/>
    <col min="13835" max="13835" width="4.85546875" style="3" bestFit="1" customWidth="1"/>
    <col min="13836" max="13836" width="11.140625" style="3" customWidth="1"/>
    <col min="13837" max="13837" width="8.5703125" style="3" bestFit="1" customWidth="1"/>
    <col min="13838" max="13838" width="14.710937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29.140625" style="3" bestFit="1" customWidth="1"/>
    <col min="14088" max="14090" width="5.5703125" style="3" bestFit="1" customWidth="1"/>
    <col min="14091" max="14091" width="4.85546875" style="3" bestFit="1" customWidth="1"/>
    <col min="14092" max="14092" width="11.140625" style="3" customWidth="1"/>
    <col min="14093" max="14093" width="8.5703125" style="3" bestFit="1" customWidth="1"/>
    <col min="14094" max="14094" width="14.710937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29.140625" style="3" bestFit="1" customWidth="1"/>
    <col min="14344" max="14346" width="5.5703125" style="3" bestFit="1" customWidth="1"/>
    <col min="14347" max="14347" width="4.85546875" style="3" bestFit="1" customWidth="1"/>
    <col min="14348" max="14348" width="11.140625" style="3" customWidth="1"/>
    <col min="14349" max="14349" width="8.5703125" style="3" bestFit="1" customWidth="1"/>
    <col min="14350" max="14350" width="14.710937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29.140625" style="3" bestFit="1" customWidth="1"/>
    <col min="14600" max="14602" width="5.5703125" style="3" bestFit="1" customWidth="1"/>
    <col min="14603" max="14603" width="4.85546875" style="3" bestFit="1" customWidth="1"/>
    <col min="14604" max="14604" width="11.140625" style="3" customWidth="1"/>
    <col min="14605" max="14605" width="8.5703125" style="3" bestFit="1" customWidth="1"/>
    <col min="14606" max="14606" width="14.710937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29.140625" style="3" bestFit="1" customWidth="1"/>
    <col min="14856" max="14858" width="5.5703125" style="3" bestFit="1" customWidth="1"/>
    <col min="14859" max="14859" width="4.85546875" style="3" bestFit="1" customWidth="1"/>
    <col min="14860" max="14860" width="11.140625" style="3" customWidth="1"/>
    <col min="14861" max="14861" width="8.5703125" style="3" bestFit="1" customWidth="1"/>
    <col min="14862" max="14862" width="14.710937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29.140625" style="3" bestFit="1" customWidth="1"/>
    <col min="15112" max="15114" width="5.5703125" style="3" bestFit="1" customWidth="1"/>
    <col min="15115" max="15115" width="4.85546875" style="3" bestFit="1" customWidth="1"/>
    <col min="15116" max="15116" width="11.140625" style="3" customWidth="1"/>
    <col min="15117" max="15117" width="8.5703125" style="3" bestFit="1" customWidth="1"/>
    <col min="15118" max="15118" width="14.710937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29.140625" style="3" bestFit="1" customWidth="1"/>
    <col min="15368" max="15370" width="5.5703125" style="3" bestFit="1" customWidth="1"/>
    <col min="15371" max="15371" width="4.85546875" style="3" bestFit="1" customWidth="1"/>
    <col min="15372" max="15372" width="11.140625" style="3" customWidth="1"/>
    <col min="15373" max="15373" width="8.5703125" style="3" bestFit="1" customWidth="1"/>
    <col min="15374" max="15374" width="14.710937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29.140625" style="3" bestFit="1" customWidth="1"/>
    <col min="15624" max="15626" width="5.5703125" style="3" bestFit="1" customWidth="1"/>
    <col min="15627" max="15627" width="4.85546875" style="3" bestFit="1" customWidth="1"/>
    <col min="15628" max="15628" width="11.140625" style="3" customWidth="1"/>
    <col min="15629" max="15629" width="8.5703125" style="3" bestFit="1" customWidth="1"/>
    <col min="15630" max="15630" width="14.710937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29.140625" style="3" bestFit="1" customWidth="1"/>
    <col min="15880" max="15882" width="5.5703125" style="3" bestFit="1" customWidth="1"/>
    <col min="15883" max="15883" width="4.85546875" style="3" bestFit="1" customWidth="1"/>
    <col min="15884" max="15884" width="11.140625" style="3" customWidth="1"/>
    <col min="15885" max="15885" width="8.5703125" style="3" bestFit="1" customWidth="1"/>
    <col min="15886" max="15886" width="14.710937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29.140625" style="3" bestFit="1" customWidth="1"/>
    <col min="16136" max="16138" width="5.5703125" style="3" bestFit="1" customWidth="1"/>
    <col min="16139" max="16139" width="4.85546875" style="3" bestFit="1" customWidth="1"/>
    <col min="16140" max="16140" width="11.140625" style="3" customWidth="1"/>
    <col min="16141" max="16141" width="8.5703125" style="3" bestFit="1" customWidth="1"/>
    <col min="16142" max="16142" width="14.7109375" style="3" bestFit="1" customWidth="1"/>
    <col min="16143" max="16384" width="9.140625" style="3"/>
  </cols>
  <sheetData>
    <row r="1" spans="1:14" s="2" customFormat="1" ht="29.1" customHeight="1" x14ac:dyDescent="0.2">
      <c r="A1" s="40" t="s">
        <v>1342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61" t="s">
        <v>70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">
      <c r="A6" s="6" t="s">
        <v>1343</v>
      </c>
      <c r="B6" s="6" t="s">
        <v>1444</v>
      </c>
      <c r="C6" s="6" t="s">
        <v>1344</v>
      </c>
      <c r="D6" s="6" t="s">
        <v>1345</v>
      </c>
      <c r="E6" s="6" t="str">
        <f>"0,6183"</f>
        <v>0,6183</v>
      </c>
      <c r="F6" s="6" t="s">
        <v>14</v>
      </c>
      <c r="G6" s="6" t="s">
        <v>1059</v>
      </c>
      <c r="H6" s="8" t="s">
        <v>507</v>
      </c>
      <c r="I6" s="8" t="s">
        <v>394</v>
      </c>
      <c r="J6" s="8" t="s">
        <v>508</v>
      </c>
      <c r="K6" s="7"/>
      <c r="L6" s="6" t="str">
        <f>"250,0"</f>
        <v>250,0</v>
      </c>
      <c r="M6" s="8" t="str">
        <f>"161,2217"</f>
        <v>161,2217</v>
      </c>
      <c r="N6" s="6" t="s">
        <v>1346</v>
      </c>
    </row>
    <row r="8" spans="1:14" ht="15" x14ac:dyDescent="0.2">
      <c r="A8" s="62" t="s">
        <v>81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4" x14ac:dyDescent="0.2">
      <c r="A9" s="6" t="s">
        <v>1347</v>
      </c>
      <c r="B9" s="6" t="s">
        <v>1442</v>
      </c>
      <c r="C9" s="6" t="s">
        <v>1299</v>
      </c>
      <c r="D9" s="6" t="s">
        <v>365</v>
      </c>
      <c r="E9" s="6" t="str">
        <f>"0,5950"</f>
        <v>0,5950</v>
      </c>
      <c r="F9" s="6" t="s">
        <v>65</v>
      </c>
      <c r="G9" s="6" t="s">
        <v>66</v>
      </c>
      <c r="H9" s="8" t="s">
        <v>442</v>
      </c>
      <c r="I9" s="7" t="s">
        <v>471</v>
      </c>
      <c r="J9" s="7" t="s">
        <v>471</v>
      </c>
      <c r="K9" s="7"/>
      <c r="L9" s="6" t="str">
        <f>"220,0"</f>
        <v>220,0</v>
      </c>
      <c r="M9" s="8" t="str">
        <f>"130,9000"</f>
        <v>130,9000</v>
      </c>
      <c r="N9" s="6" t="s">
        <v>595</v>
      </c>
    </row>
    <row r="11" spans="1:14" ht="15" x14ac:dyDescent="0.2">
      <c r="F11" s="17" t="s">
        <v>96</v>
      </c>
    </row>
    <row r="12" spans="1:14" ht="15" x14ac:dyDescent="0.2">
      <c r="F12" s="17" t="s">
        <v>97</v>
      </c>
    </row>
    <row r="13" spans="1:14" ht="15" x14ac:dyDescent="0.2">
      <c r="F13" s="17" t="s">
        <v>98</v>
      </c>
    </row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4">
    <mergeCell ref="N3:N4"/>
    <mergeCell ref="A5:M5"/>
    <mergeCell ref="A8:M8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B3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opLeftCell="A4" workbookViewId="0">
      <selection activeCell="A5" sqref="A5:M5"/>
    </sheetView>
  </sheetViews>
  <sheetFormatPr defaultRowHeight="12.75" x14ac:dyDescent="0.2"/>
  <cols>
    <col min="1" max="1" width="26" style="4" bestFit="1" customWidth="1"/>
    <col min="2" max="2" width="13.140625" style="4" customWidth="1"/>
    <col min="3" max="3" width="22.855468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29.140625" style="4" bestFit="1" customWidth="1"/>
    <col min="8" max="10" width="5.5703125" style="3" bestFit="1" customWidth="1"/>
    <col min="11" max="11" width="4.85546875" style="3" bestFit="1" customWidth="1"/>
    <col min="12" max="12" width="11.42578125" style="4" customWidth="1"/>
    <col min="13" max="13" width="8.5703125" style="3" bestFit="1" customWidth="1"/>
    <col min="14" max="14" width="12.28515625" style="4" bestFit="1" customWidth="1"/>
    <col min="15" max="257" width="9.140625" style="3"/>
    <col min="258" max="258" width="26" style="3" bestFit="1" customWidth="1"/>
    <col min="259" max="259" width="22.855468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29.140625" style="3" bestFit="1" customWidth="1"/>
    <col min="264" max="266" width="5.5703125" style="3" bestFit="1" customWidth="1"/>
    <col min="267" max="267" width="4.85546875" style="3" bestFit="1" customWidth="1"/>
    <col min="268" max="268" width="11.42578125" style="3" customWidth="1"/>
    <col min="269" max="269" width="8.5703125" style="3" bestFit="1" customWidth="1"/>
    <col min="270" max="270" width="12.28515625" style="3" bestFit="1" customWidth="1"/>
    <col min="271" max="513" width="9.140625" style="3"/>
    <col min="514" max="514" width="26" style="3" bestFit="1" customWidth="1"/>
    <col min="515" max="515" width="22.855468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29.140625" style="3" bestFit="1" customWidth="1"/>
    <col min="520" max="522" width="5.5703125" style="3" bestFit="1" customWidth="1"/>
    <col min="523" max="523" width="4.85546875" style="3" bestFit="1" customWidth="1"/>
    <col min="524" max="524" width="11.42578125" style="3" customWidth="1"/>
    <col min="525" max="525" width="8.5703125" style="3" bestFit="1" customWidth="1"/>
    <col min="526" max="526" width="12.28515625" style="3" bestFit="1" customWidth="1"/>
    <col min="527" max="769" width="9.140625" style="3"/>
    <col min="770" max="770" width="26" style="3" bestFit="1" customWidth="1"/>
    <col min="771" max="771" width="22.855468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29.140625" style="3" bestFit="1" customWidth="1"/>
    <col min="776" max="778" width="5.5703125" style="3" bestFit="1" customWidth="1"/>
    <col min="779" max="779" width="4.85546875" style="3" bestFit="1" customWidth="1"/>
    <col min="780" max="780" width="11.42578125" style="3" customWidth="1"/>
    <col min="781" max="781" width="8.5703125" style="3" bestFit="1" customWidth="1"/>
    <col min="782" max="782" width="12.28515625" style="3" bestFit="1" customWidth="1"/>
    <col min="783" max="1025" width="9.140625" style="3"/>
    <col min="1026" max="1026" width="26" style="3" bestFit="1" customWidth="1"/>
    <col min="1027" max="1027" width="22.855468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29.140625" style="3" bestFit="1" customWidth="1"/>
    <col min="1032" max="1034" width="5.5703125" style="3" bestFit="1" customWidth="1"/>
    <col min="1035" max="1035" width="4.85546875" style="3" bestFit="1" customWidth="1"/>
    <col min="1036" max="1036" width="11.42578125" style="3" customWidth="1"/>
    <col min="1037" max="1037" width="8.5703125" style="3" bestFit="1" customWidth="1"/>
    <col min="1038" max="1038" width="12.28515625" style="3" bestFit="1" customWidth="1"/>
    <col min="1039" max="1281" width="9.140625" style="3"/>
    <col min="1282" max="1282" width="26" style="3" bestFit="1" customWidth="1"/>
    <col min="1283" max="1283" width="22.855468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29.140625" style="3" bestFit="1" customWidth="1"/>
    <col min="1288" max="1290" width="5.5703125" style="3" bestFit="1" customWidth="1"/>
    <col min="1291" max="1291" width="4.85546875" style="3" bestFit="1" customWidth="1"/>
    <col min="1292" max="1292" width="11.42578125" style="3" customWidth="1"/>
    <col min="1293" max="1293" width="8.5703125" style="3" bestFit="1" customWidth="1"/>
    <col min="1294" max="1294" width="12.28515625" style="3" bestFit="1" customWidth="1"/>
    <col min="1295" max="1537" width="9.140625" style="3"/>
    <col min="1538" max="1538" width="26" style="3" bestFit="1" customWidth="1"/>
    <col min="1539" max="1539" width="22.855468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29.140625" style="3" bestFit="1" customWidth="1"/>
    <col min="1544" max="1546" width="5.5703125" style="3" bestFit="1" customWidth="1"/>
    <col min="1547" max="1547" width="4.85546875" style="3" bestFit="1" customWidth="1"/>
    <col min="1548" max="1548" width="11.42578125" style="3" customWidth="1"/>
    <col min="1549" max="1549" width="8.5703125" style="3" bestFit="1" customWidth="1"/>
    <col min="1550" max="1550" width="12.28515625" style="3" bestFit="1" customWidth="1"/>
    <col min="1551" max="1793" width="9.140625" style="3"/>
    <col min="1794" max="1794" width="26" style="3" bestFit="1" customWidth="1"/>
    <col min="1795" max="1795" width="22.855468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29.140625" style="3" bestFit="1" customWidth="1"/>
    <col min="1800" max="1802" width="5.5703125" style="3" bestFit="1" customWidth="1"/>
    <col min="1803" max="1803" width="4.85546875" style="3" bestFit="1" customWidth="1"/>
    <col min="1804" max="1804" width="11.42578125" style="3" customWidth="1"/>
    <col min="1805" max="1805" width="8.5703125" style="3" bestFit="1" customWidth="1"/>
    <col min="1806" max="1806" width="12.28515625" style="3" bestFit="1" customWidth="1"/>
    <col min="1807" max="2049" width="9.140625" style="3"/>
    <col min="2050" max="2050" width="26" style="3" bestFit="1" customWidth="1"/>
    <col min="2051" max="2051" width="22.855468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29.140625" style="3" bestFit="1" customWidth="1"/>
    <col min="2056" max="2058" width="5.5703125" style="3" bestFit="1" customWidth="1"/>
    <col min="2059" max="2059" width="4.85546875" style="3" bestFit="1" customWidth="1"/>
    <col min="2060" max="2060" width="11.42578125" style="3" customWidth="1"/>
    <col min="2061" max="2061" width="8.5703125" style="3" bestFit="1" customWidth="1"/>
    <col min="2062" max="2062" width="12.28515625" style="3" bestFit="1" customWidth="1"/>
    <col min="2063" max="2305" width="9.140625" style="3"/>
    <col min="2306" max="2306" width="26" style="3" bestFit="1" customWidth="1"/>
    <col min="2307" max="2307" width="22.855468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29.140625" style="3" bestFit="1" customWidth="1"/>
    <col min="2312" max="2314" width="5.5703125" style="3" bestFit="1" customWidth="1"/>
    <col min="2315" max="2315" width="4.85546875" style="3" bestFit="1" customWidth="1"/>
    <col min="2316" max="2316" width="11.42578125" style="3" customWidth="1"/>
    <col min="2317" max="2317" width="8.5703125" style="3" bestFit="1" customWidth="1"/>
    <col min="2318" max="2318" width="12.28515625" style="3" bestFit="1" customWidth="1"/>
    <col min="2319" max="2561" width="9.140625" style="3"/>
    <col min="2562" max="2562" width="26" style="3" bestFit="1" customWidth="1"/>
    <col min="2563" max="2563" width="22.855468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29.140625" style="3" bestFit="1" customWidth="1"/>
    <col min="2568" max="2570" width="5.5703125" style="3" bestFit="1" customWidth="1"/>
    <col min="2571" max="2571" width="4.85546875" style="3" bestFit="1" customWidth="1"/>
    <col min="2572" max="2572" width="11.42578125" style="3" customWidth="1"/>
    <col min="2573" max="2573" width="8.5703125" style="3" bestFit="1" customWidth="1"/>
    <col min="2574" max="2574" width="12.28515625" style="3" bestFit="1" customWidth="1"/>
    <col min="2575" max="2817" width="9.140625" style="3"/>
    <col min="2818" max="2818" width="26" style="3" bestFit="1" customWidth="1"/>
    <col min="2819" max="2819" width="22.855468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29.140625" style="3" bestFit="1" customWidth="1"/>
    <col min="2824" max="2826" width="5.5703125" style="3" bestFit="1" customWidth="1"/>
    <col min="2827" max="2827" width="4.85546875" style="3" bestFit="1" customWidth="1"/>
    <col min="2828" max="2828" width="11.42578125" style="3" customWidth="1"/>
    <col min="2829" max="2829" width="8.5703125" style="3" bestFit="1" customWidth="1"/>
    <col min="2830" max="2830" width="12.28515625" style="3" bestFit="1" customWidth="1"/>
    <col min="2831" max="3073" width="9.140625" style="3"/>
    <col min="3074" max="3074" width="26" style="3" bestFit="1" customWidth="1"/>
    <col min="3075" max="3075" width="22.855468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29.140625" style="3" bestFit="1" customWidth="1"/>
    <col min="3080" max="3082" width="5.5703125" style="3" bestFit="1" customWidth="1"/>
    <col min="3083" max="3083" width="4.85546875" style="3" bestFit="1" customWidth="1"/>
    <col min="3084" max="3084" width="11.42578125" style="3" customWidth="1"/>
    <col min="3085" max="3085" width="8.5703125" style="3" bestFit="1" customWidth="1"/>
    <col min="3086" max="3086" width="12.28515625" style="3" bestFit="1" customWidth="1"/>
    <col min="3087" max="3329" width="9.140625" style="3"/>
    <col min="3330" max="3330" width="26" style="3" bestFit="1" customWidth="1"/>
    <col min="3331" max="3331" width="22.855468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29.140625" style="3" bestFit="1" customWidth="1"/>
    <col min="3336" max="3338" width="5.5703125" style="3" bestFit="1" customWidth="1"/>
    <col min="3339" max="3339" width="4.85546875" style="3" bestFit="1" customWidth="1"/>
    <col min="3340" max="3340" width="11.42578125" style="3" customWidth="1"/>
    <col min="3341" max="3341" width="8.5703125" style="3" bestFit="1" customWidth="1"/>
    <col min="3342" max="3342" width="12.28515625" style="3" bestFit="1" customWidth="1"/>
    <col min="3343" max="3585" width="9.140625" style="3"/>
    <col min="3586" max="3586" width="26" style="3" bestFit="1" customWidth="1"/>
    <col min="3587" max="3587" width="22.855468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29.140625" style="3" bestFit="1" customWidth="1"/>
    <col min="3592" max="3594" width="5.5703125" style="3" bestFit="1" customWidth="1"/>
    <col min="3595" max="3595" width="4.85546875" style="3" bestFit="1" customWidth="1"/>
    <col min="3596" max="3596" width="11.42578125" style="3" customWidth="1"/>
    <col min="3597" max="3597" width="8.5703125" style="3" bestFit="1" customWidth="1"/>
    <col min="3598" max="3598" width="12.28515625" style="3" bestFit="1" customWidth="1"/>
    <col min="3599" max="3841" width="9.140625" style="3"/>
    <col min="3842" max="3842" width="26" style="3" bestFit="1" customWidth="1"/>
    <col min="3843" max="3843" width="22.855468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29.140625" style="3" bestFit="1" customWidth="1"/>
    <col min="3848" max="3850" width="5.5703125" style="3" bestFit="1" customWidth="1"/>
    <col min="3851" max="3851" width="4.85546875" style="3" bestFit="1" customWidth="1"/>
    <col min="3852" max="3852" width="11.42578125" style="3" customWidth="1"/>
    <col min="3853" max="3853" width="8.5703125" style="3" bestFit="1" customWidth="1"/>
    <col min="3854" max="3854" width="12.28515625" style="3" bestFit="1" customWidth="1"/>
    <col min="3855" max="4097" width="9.140625" style="3"/>
    <col min="4098" max="4098" width="26" style="3" bestFit="1" customWidth="1"/>
    <col min="4099" max="4099" width="22.855468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29.140625" style="3" bestFit="1" customWidth="1"/>
    <col min="4104" max="4106" width="5.5703125" style="3" bestFit="1" customWidth="1"/>
    <col min="4107" max="4107" width="4.85546875" style="3" bestFit="1" customWidth="1"/>
    <col min="4108" max="4108" width="11.42578125" style="3" customWidth="1"/>
    <col min="4109" max="4109" width="8.5703125" style="3" bestFit="1" customWidth="1"/>
    <col min="4110" max="4110" width="12.28515625" style="3" bestFit="1" customWidth="1"/>
    <col min="4111" max="4353" width="9.140625" style="3"/>
    <col min="4354" max="4354" width="26" style="3" bestFit="1" customWidth="1"/>
    <col min="4355" max="4355" width="22.855468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29.140625" style="3" bestFit="1" customWidth="1"/>
    <col min="4360" max="4362" width="5.5703125" style="3" bestFit="1" customWidth="1"/>
    <col min="4363" max="4363" width="4.85546875" style="3" bestFit="1" customWidth="1"/>
    <col min="4364" max="4364" width="11.42578125" style="3" customWidth="1"/>
    <col min="4365" max="4365" width="8.5703125" style="3" bestFit="1" customWidth="1"/>
    <col min="4366" max="4366" width="12.28515625" style="3" bestFit="1" customWidth="1"/>
    <col min="4367" max="4609" width="9.140625" style="3"/>
    <col min="4610" max="4610" width="26" style="3" bestFit="1" customWidth="1"/>
    <col min="4611" max="4611" width="22.855468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29.140625" style="3" bestFit="1" customWidth="1"/>
    <col min="4616" max="4618" width="5.5703125" style="3" bestFit="1" customWidth="1"/>
    <col min="4619" max="4619" width="4.85546875" style="3" bestFit="1" customWidth="1"/>
    <col min="4620" max="4620" width="11.42578125" style="3" customWidth="1"/>
    <col min="4621" max="4621" width="8.5703125" style="3" bestFit="1" customWidth="1"/>
    <col min="4622" max="4622" width="12.28515625" style="3" bestFit="1" customWidth="1"/>
    <col min="4623" max="4865" width="9.140625" style="3"/>
    <col min="4866" max="4866" width="26" style="3" bestFit="1" customWidth="1"/>
    <col min="4867" max="4867" width="22.855468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29.140625" style="3" bestFit="1" customWidth="1"/>
    <col min="4872" max="4874" width="5.5703125" style="3" bestFit="1" customWidth="1"/>
    <col min="4875" max="4875" width="4.85546875" style="3" bestFit="1" customWidth="1"/>
    <col min="4876" max="4876" width="11.42578125" style="3" customWidth="1"/>
    <col min="4877" max="4877" width="8.5703125" style="3" bestFit="1" customWidth="1"/>
    <col min="4878" max="4878" width="12.28515625" style="3" bestFit="1" customWidth="1"/>
    <col min="4879" max="5121" width="9.140625" style="3"/>
    <col min="5122" max="5122" width="26" style="3" bestFit="1" customWidth="1"/>
    <col min="5123" max="5123" width="22.855468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29.140625" style="3" bestFit="1" customWidth="1"/>
    <col min="5128" max="5130" width="5.5703125" style="3" bestFit="1" customWidth="1"/>
    <col min="5131" max="5131" width="4.85546875" style="3" bestFit="1" customWidth="1"/>
    <col min="5132" max="5132" width="11.42578125" style="3" customWidth="1"/>
    <col min="5133" max="5133" width="8.5703125" style="3" bestFit="1" customWidth="1"/>
    <col min="5134" max="5134" width="12.28515625" style="3" bestFit="1" customWidth="1"/>
    <col min="5135" max="5377" width="9.140625" style="3"/>
    <col min="5378" max="5378" width="26" style="3" bestFit="1" customWidth="1"/>
    <col min="5379" max="5379" width="22.855468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29.140625" style="3" bestFit="1" customWidth="1"/>
    <col min="5384" max="5386" width="5.5703125" style="3" bestFit="1" customWidth="1"/>
    <col min="5387" max="5387" width="4.85546875" style="3" bestFit="1" customWidth="1"/>
    <col min="5388" max="5388" width="11.42578125" style="3" customWidth="1"/>
    <col min="5389" max="5389" width="8.5703125" style="3" bestFit="1" customWidth="1"/>
    <col min="5390" max="5390" width="12.28515625" style="3" bestFit="1" customWidth="1"/>
    <col min="5391" max="5633" width="9.140625" style="3"/>
    <col min="5634" max="5634" width="26" style="3" bestFit="1" customWidth="1"/>
    <col min="5635" max="5635" width="22.855468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29.140625" style="3" bestFit="1" customWidth="1"/>
    <col min="5640" max="5642" width="5.5703125" style="3" bestFit="1" customWidth="1"/>
    <col min="5643" max="5643" width="4.85546875" style="3" bestFit="1" customWidth="1"/>
    <col min="5644" max="5644" width="11.42578125" style="3" customWidth="1"/>
    <col min="5645" max="5645" width="8.5703125" style="3" bestFit="1" customWidth="1"/>
    <col min="5646" max="5646" width="12.28515625" style="3" bestFit="1" customWidth="1"/>
    <col min="5647" max="5889" width="9.140625" style="3"/>
    <col min="5890" max="5890" width="26" style="3" bestFit="1" customWidth="1"/>
    <col min="5891" max="5891" width="22.855468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29.140625" style="3" bestFit="1" customWidth="1"/>
    <col min="5896" max="5898" width="5.5703125" style="3" bestFit="1" customWidth="1"/>
    <col min="5899" max="5899" width="4.85546875" style="3" bestFit="1" customWidth="1"/>
    <col min="5900" max="5900" width="11.42578125" style="3" customWidth="1"/>
    <col min="5901" max="5901" width="8.5703125" style="3" bestFit="1" customWidth="1"/>
    <col min="5902" max="5902" width="12.28515625" style="3" bestFit="1" customWidth="1"/>
    <col min="5903" max="6145" width="9.140625" style="3"/>
    <col min="6146" max="6146" width="26" style="3" bestFit="1" customWidth="1"/>
    <col min="6147" max="6147" width="22.855468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29.140625" style="3" bestFit="1" customWidth="1"/>
    <col min="6152" max="6154" width="5.5703125" style="3" bestFit="1" customWidth="1"/>
    <col min="6155" max="6155" width="4.85546875" style="3" bestFit="1" customWidth="1"/>
    <col min="6156" max="6156" width="11.42578125" style="3" customWidth="1"/>
    <col min="6157" max="6157" width="8.5703125" style="3" bestFit="1" customWidth="1"/>
    <col min="6158" max="6158" width="12.28515625" style="3" bestFit="1" customWidth="1"/>
    <col min="6159" max="6401" width="9.140625" style="3"/>
    <col min="6402" max="6402" width="26" style="3" bestFit="1" customWidth="1"/>
    <col min="6403" max="6403" width="22.855468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29.140625" style="3" bestFit="1" customWidth="1"/>
    <col min="6408" max="6410" width="5.5703125" style="3" bestFit="1" customWidth="1"/>
    <col min="6411" max="6411" width="4.85546875" style="3" bestFit="1" customWidth="1"/>
    <col min="6412" max="6412" width="11.42578125" style="3" customWidth="1"/>
    <col min="6413" max="6413" width="8.5703125" style="3" bestFit="1" customWidth="1"/>
    <col min="6414" max="6414" width="12.28515625" style="3" bestFit="1" customWidth="1"/>
    <col min="6415" max="6657" width="9.140625" style="3"/>
    <col min="6658" max="6658" width="26" style="3" bestFit="1" customWidth="1"/>
    <col min="6659" max="6659" width="22.855468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29.140625" style="3" bestFit="1" customWidth="1"/>
    <col min="6664" max="6666" width="5.5703125" style="3" bestFit="1" customWidth="1"/>
    <col min="6667" max="6667" width="4.85546875" style="3" bestFit="1" customWidth="1"/>
    <col min="6668" max="6668" width="11.42578125" style="3" customWidth="1"/>
    <col min="6669" max="6669" width="8.5703125" style="3" bestFit="1" customWidth="1"/>
    <col min="6670" max="6670" width="12.28515625" style="3" bestFit="1" customWidth="1"/>
    <col min="6671" max="6913" width="9.140625" style="3"/>
    <col min="6914" max="6914" width="26" style="3" bestFit="1" customWidth="1"/>
    <col min="6915" max="6915" width="22.855468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29.140625" style="3" bestFit="1" customWidth="1"/>
    <col min="6920" max="6922" width="5.5703125" style="3" bestFit="1" customWidth="1"/>
    <col min="6923" max="6923" width="4.85546875" style="3" bestFit="1" customWidth="1"/>
    <col min="6924" max="6924" width="11.42578125" style="3" customWidth="1"/>
    <col min="6925" max="6925" width="8.5703125" style="3" bestFit="1" customWidth="1"/>
    <col min="6926" max="6926" width="12.28515625" style="3" bestFit="1" customWidth="1"/>
    <col min="6927" max="7169" width="9.140625" style="3"/>
    <col min="7170" max="7170" width="26" style="3" bestFit="1" customWidth="1"/>
    <col min="7171" max="7171" width="22.855468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29.140625" style="3" bestFit="1" customWidth="1"/>
    <col min="7176" max="7178" width="5.5703125" style="3" bestFit="1" customWidth="1"/>
    <col min="7179" max="7179" width="4.85546875" style="3" bestFit="1" customWidth="1"/>
    <col min="7180" max="7180" width="11.42578125" style="3" customWidth="1"/>
    <col min="7181" max="7181" width="8.5703125" style="3" bestFit="1" customWidth="1"/>
    <col min="7182" max="7182" width="12.28515625" style="3" bestFit="1" customWidth="1"/>
    <col min="7183" max="7425" width="9.140625" style="3"/>
    <col min="7426" max="7426" width="26" style="3" bestFit="1" customWidth="1"/>
    <col min="7427" max="7427" width="22.855468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29.140625" style="3" bestFit="1" customWidth="1"/>
    <col min="7432" max="7434" width="5.5703125" style="3" bestFit="1" customWidth="1"/>
    <col min="7435" max="7435" width="4.85546875" style="3" bestFit="1" customWidth="1"/>
    <col min="7436" max="7436" width="11.42578125" style="3" customWidth="1"/>
    <col min="7437" max="7437" width="8.5703125" style="3" bestFit="1" customWidth="1"/>
    <col min="7438" max="7438" width="12.28515625" style="3" bestFit="1" customWidth="1"/>
    <col min="7439" max="7681" width="9.140625" style="3"/>
    <col min="7682" max="7682" width="26" style="3" bestFit="1" customWidth="1"/>
    <col min="7683" max="7683" width="22.855468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29.140625" style="3" bestFit="1" customWidth="1"/>
    <col min="7688" max="7690" width="5.5703125" style="3" bestFit="1" customWidth="1"/>
    <col min="7691" max="7691" width="4.85546875" style="3" bestFit="1" customWidth="1"/>
    <col min="7692" max="7692" width="11.42578125" style="3" customWidth="1"/>
    <col min="7693" max="7693" width="8.5703125" style="3" bestFit="1" customWidth="1"/>
    <col min="7694" max="7694" width="12.28515625" style="3" bestFit="1" customWidth="1"/>
    <col min="7695" max="7937" width="9.140625" style="3"/>
    <col min="7938" max="7938" width="26" style="3" bestFit="1" customWidth="1"/>
    <col min="7939" max="7939" width="22.855468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29.140625" style="3" bestFit="1" customWidth="1"/>
    <col min="7944" max="7946" width="5.5703125" style="3" bestFit="1" customWidth="1"/>
    <col min="7947" max="7947" width="4.85546875" style="3" bestFit="1" customWidth="1"/>
    <col min="7948" max="7948" width="11.42578125" style="3" customWidth="1"/>
    <col min="7949" max="7949" width="8.5703125" style="3" bestFit="1" customWidth="1"/>
    <col min="7950" max="7950" width="12.28515625" style="3" bestFit="1" customWidth="1"/>
    <col min="7951" max="8193" width="9.140625" style="3"/>
    <col min="8194" max="8194" width="26" style="3" bestFit="1" customWidth="1"/>
    <col min="8195" max="8195" width="22.855468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29.140625" style="3" bestFit="1" customWidth="1"/>
    <col min="8200" max="8202" width="5.5703125" style="3" bestFit="1" customWidth="1"/>
    <col min="8203" max="8203" width="4.85546875" style="3" bestFit="1" customWidth="1"/>
    <col min="8204" max="8204" width="11.42578125" style="3" customWidth="1"/>
    <col min="8205" max="8205" width="8.5703125" style="3" bestFit="1" customWidth="1"/>
    <col min="8206" max="8206" width="12.28515625" style="3" bestFit="1" customWidth="1"/>
    <col min="8207" max="8449" width="9.140625" style="3"/>
    <col min="8450" max="8450" width="26" style="3" bestFit="1" customWidth="1"/>
    <col min="8451" max="8451" width="22.855468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29.140625" style="3" bestFit="1" customWidth="1"/>
    <col min="8456" max="8458" width="5.5703125" style="3" bestFit="1" customWidth="1"/>
    <col min="8459" max="8459" width="4.85546875" style="3" bestFit="1" customWidth="1"/>
    <col min="8460" max="8460" width="11.42578125" style="3" customWidth="1"/>
    <col min="8461" max="8461" width="8.5703125" style="3" bestFit="1" customWidth="1"/>
    <col min="8462" max="8462" width="12.28515625" style="3" bestFit="1" customWidth="1"/>
    <col min="8463" max="8705" width="9.140625" style="3"/>
    <col min="8706" max="8706" width="26" style="3" bestFit="1" customWidth="1"/>
    <col min="8707" max="8707" width="22.855468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29.140625" style="3" bestFit="1" customWidth="1"/>
    <col min="8712" max="8714" width="5.5703125" style="3" bestFit="1" customWidth="1"/>
    <col min="8715" max="8715" width="4.85546875" style="3" bestFit="1" customWidth="1"/>
    <col min="8716" max="8716" width="11.42578125" style="3" customWidth="1"/>
    <col min="8717" max="8717" width="8.5703125" style="3" bestFit="1" customWidth="1"/>
    <col min="8718" max="8718" width="12.28515625" style="3" bestFit="1" customWidth="1"/>
    <col min="8719" max="8961" width="9.140625" style="3"/>
    <col min="8962" max="8962" width="26" style="3" bestFit="1" customWidth="1"/>
    <col min="8963" max="8963" width="22.855468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29.140625" style="3" bestFit="1" customWidth="1"/>
    <col min="8968" max="8970" width="5.5703125" style="3" bestFit="1" customWidth="1"/>
    <col min="8971" max="8971" width="4.85546875" style="3" bestFit="1" customWidth="1"/>
    <col min="8972" max="8972" width="11.42578125" style="3" customWidth="1"/>
    <col min="8973" max="8973" width="8.5703125" style="3" bestFit="1" customWidth="1"/>
    <col min="8974" max="8974" width="12.28515625" style="3" bestFit="1" customWidth="1"/>
    <col min="8975" max="9217" width="9.140625" style="3"/>
    <col min="9218" max="9218" width="26" style="3" bestFit="1" customWidth="1"/>
    <col min="9219" max="9219" width="22.855468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29.140625" style="3" bestFit="1" customWidth="1"/>
    <col min="9224" max="9226" width="5.5703125" style="3" bestFit="1" customWidth="1"/>
    <col min="9227" max="9227" width="4.85546875" style="3" bestFit="1" customWidth="1"/>
    <col min="9228" max="9228" width="11.42578125" style="3" customWidth="1"/>
    <col min="9229" max="9229" width="8.5703125" style="3" bestFit="1" customWidth="1"/>
    <col min="9230" max="9230" width="12.28515625" style="3" bestFit="1" customWidth="1"/>
    <col min="9231" max="9473" width="9.140625" style="3"/>
    <col min="9474" max="9474" width="26" style="3" bestFit="1" customWidth="1"/>
    <col min="9475" max="9475" width="22.855468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29.140625" style="3" bestFit="1" customWidth="1"/>
    <col min="9480" max="9482" width="5.5703125" style="3" bestFit="1" customWidth="1"/>
    <col min="9483" max="9483" width="4.85546875" style="3" bestFit="1" customWidth="1"/>
    <col min="9484" max="9484" width="11.42578125" style="3" customWidth="1"/>
    <col min="9485" max="9485" width="8.5703125" style="3" bestFit="1" customWidth="1"/>
    <col min="9486" max="9486" width="12.28515625" style="3" bestFit="1" customWidth="1"/>
    <col min="9487" max="9729" width="9.140625" style="3"/>
    <col min="9730" max="9730" width="26" style="3" bestFit="1" customWidth="1"/>
    <col min="9731" max="9731" width="22.855468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29.140625" style="3" bestFit="1" customWidth="1"/>
    <col min="9736" max="9738" width="5.5703125" style="3" bestFit="1" customWidth="1"/>
    <col min="9739" max="9739" width="4.85546875" style="3" bestFit="1" customWidth="1"/>
    <col min="9740" max="9740" width="11.42578125" style="3" customWidth="1"/>
    <col min="9741" max="9741" width="8.5703125" style="3" bestFit="1" customWidth="1"/>
    <col min="9742" max="9742" width="12.28515625" style="3" bestFit="1" customWidth="1"/>
    <col min="9743" max="9985" width="9.140625" style="3"/>
    <col min="9986" max="9986" width="26" style="3" bestFit="1" customWidth="1"/>
    <col min="9987" max="9987" width="22.855468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29.140625" style="3" bestFit="1" customWidth="1"/>
    <col min="9992" max="9994" width="5.5703125" style="3" bestFit="1" customWidth="1"/>
    <col min="9995" max="9995" width="4.85546875" style="3" bestFit="1" customWidth="1"/>
    <col min="9996" max="9996" width="11.42578125" style="3" customWidth="1"/>
    <col min="9997" max="9997" width="8.5703125" style="3" bestFit="1" customWidth="1"/>
    <col min="9998" max="9998" width="12.28515625" style="3" bestFit="1" customWidth="1"/>
    <col min="9999" max="10241" width="9.140625" style="3"/>
    <col min="10242" max="10242" width="26" style="3" bestFit="1" customWidth="1"/>
    <col min="10243" max="10243" width="22.855468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29.140625" style="3" bestFit="1" customWidth="1"/>
    <col min="10248" max="10250" width="5.5703125" style="3" bestFit="1" customWidth="1"/>
    <col min="10251" max="10251" width="4.85546875" style="3" bestFit="1" customWidth="1"/>
    <col min="10252" max="10252" width="11.42578125" style="3" customWidth="1"/>
    <col min="10253" max="10253" width="8.5703125" style="3" bestFit="1" customWidth="1"/>
    <col min="10254" max="10254" width="12.28515625" style="3" bestFit="1" customWidth="1"/>
    <col min="10255" max="10497" width="9.140625" style="3"/>
    <col min="10498" max="10498" width="26" style="3" bestFit="1" customWidth="1"/>
    <col min="10499" max="10499" width="22.855468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29.140625" style="3" bestFit="1" customWidth="1"/>
    <col min="10504" max="10506" width="5.5703125" style="3" bestFit="1" customWidth="1"/>
    <col min="10507" max="10507" width="4.85546875" style="3" bestFit="1" customWidth="1"/>
    <col min="10508" max="10508" width="11.42578125" style="3" customWidth="1"/>
    <col min="10509" max="10509" width="8.5703125" style="3" bestFit="1" customWidth="1"/>
    <col min="10510" max="10510" width="12.28515625" style="3" bestFit="1" customWidth="1"/>
    <col min="10511" max="10753" width="9.140625" style="3"/>
    <col min="10754" max="10754" width="26" style="3" bestFit="1" customWidth="1"/>
    <col min="10755" max="10755" width="22.855468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29.140625" style="3" bestFit="1" customWidth="1"/>
    <col min="10760" max="10762" width="5.5703125" style="3" bestFit="1" customWidth="1"/>
    <col min="10763" max="10763" width="4.85546875" style="3" bestFit="1" customWidth="1"/>
    <col min="10764" max="10764" width="11.42578125" style="3" customWidth="1"/>
    <col min="10765" max="10765" width="8.5703125" style="3" bestFit="1" customWidth="1"/>
    <col min="10766" max="10766" width="12.28515625" style="3" bestFit="1" customWidth="1"/>
    <col min="10767" max="11009" width="9.140625" style="3"/>
    <col min="11010" max="11010" width="26" style="3" bestFit="1" customWidth="1"/>
    <col min="11011" max="11011" width="22.855468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29.140625" style="3" bestFit="1" customWidth="1"/>
    <col min="11016" max="11018" width="5.5703125" style="3" bestFit="1" customWidth="1"/>
    <col min="11019" max="11019" width="4.85546875" style="3" bestFit="1" customWidth="1"/>
    <col min="11020" max="11020" width="11.42578125" style="3" customWidth="1"/>
    <col min="11021" max="11021" width="8.5703125" style="3" bestFit="1" customWidth="1"/>
    <col min="11022" max="11022" width="12.28515625" style="3" bestFit="1" customWidth="1"/>
    <col min="11023" max="11265" width="9.140625" style="3"/>
    <col min="11266" max="11266" width="26" style="3" bestFit="1" customWidth="1"/>
    <col min="11267" max="11267" width="22.855468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29.140625" style="3" bestFit="1" customWidth="1"/>
    <col min="11272" max="11274" width="5.5703125" style="3" bestFit="1" customWidth="1"/>
    <col min="11275" max="11275" width="4.85546875" style="3" bestFit="1" customWidth="1"/>
    <col min="11276" max="11276" width="11.42578125" style="3" customWidth="1"/>
    <col min="11277" max="11277" width="8.5703125" style="3" bestFit="1" customWidth="1"/>
    <col min="11278" max="11278" width="12.28515625" style="3" bestFit="1" customWidth="1"/>
    <col min="11279" max="11521" width="9.140625" style="3"/>
    <col min="11522" max="11522" width="26" style="3" bestFit="1" customWidth="1"/>
    <col min="11523" max="11523" width="22.855468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29.140625" style="3" bestFit="1" customWidth="1"/>
    <col min="11528" max="11530" width="5.5703125" style="3" bestFit="1" customWidth="1"/>
    <col min="11531" max="11531" width="4.85546875" style="3" bestFit="1" customWidth="1"/>
    <col min="11532" max="11532" width="11.42578125" style="3" customWidth="1"/>
    <col min="11533" max="11533" width="8.5703125" style="3" bestFit="1" customWidth="1"/>
    <col min="11534" max="11534" width="12.28515625" style="3" bestFit="1" customWidth="1"/>
    <col min="11535" max="11777" width="9.140625" style="3"/>
    <col min="11778" max="11778" width="26" style="3" bestFit="1" customWidth="1"/>
    <col min="11779" max="11779" width="22.855468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29.140625" style="3" bestFit="1" customWidth="1"/>
    <col min="11784" max="11786" width="5.5703125" style="3" bestFit="1" customWidth="1"/>
    <col min="11787" max="11787" width="4.85546875" style="3" bestFit="1" customWidth="1"/>
    <col min="11788" max="11788" width="11.42578125" style="3" customWidth="1"/>
    <col min="11789" max="11789" width="8.5703125" style="3" bestFit="1" customWidth="1"/>
    <col min="11790" max="11790" width="12.28515625" style="3" bestFit="1" customWidth="1"/>
    <col min="11791" max="12033" width="9.140625" style="3"/>
    <col min="12034" max="12034" width="26" style="3" bestFit="1" customWidth="1"/>
    <col min="12035" max="12035" width="22.855468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29.140625" style="3" bestFit="1" customWidth="1"/>
    <col min="12040" max="12042" width="5.5703125" style="3" bestFit="1" customWidth="1"/>
    <col min="12043" max="12043" width="4.85546875" style="3" bestFit="1" customWidth="1"/>
    <col min="12044" max="12044" width="11.42578125" style="3" customWidth="1"/>
    <col min="12045" max="12045" width="8.5703125" style="3" bestFit="1" customWidth="1"/>
    <col min="12046" max="12046" width="12.28515625" style="3" bestFit="1" customWidth="1"/>
    <col min="12047" max="12289" width="9.140625" style="3"/>
    <col min="12290" max="12290" width="26" style="3" bestFit="1" customWidth="1"/>
    <col min="12291" max="12291" width="22.855468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29.140625" style="3" bestFit="1" customWidth="1"/>
    <col min="12296" max="12298" width="5.5703125" style="3" bestFit="1" customWidth="1"/>
    <col min="12299" max="12299" width="4.85546875" style="3" bestFit="1" customWidth="1"/>
    <col min="12300" max="12300" width="11.42578125" style="3" customWidth="1"/>
    <col min="12301" max="12301" width="8.5703125" style="3" bestFit="1" customWidth="1"/>
    <col min="12302" max="12302" width="12.28515625" style="3" bestFit="1" customWidth="1"/>
    <col min="12303" max="12545" width="9.140625" style="3"/>
    <col min="12546" max="12546" width="26" style="3" bestFit="1" customWidth="1"/>
    <col min="12547" max="12547" width="22.855468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29.140625" style="3" bestFit="1" customWidth="1"/>
    <col min="12552" max="12554" width="5.5703125" style="3" bestFit="1" customWidth="1"/>
    <col min="12555" max="12555" width="4.85546875" style="3" bestFit="1" customWidth="1"/>
    <col min="12556" max="12556" width="11.42578125" style="3" customWidth="1"/>
    <col min="12557" max="12557" width="8.5703125" style="3" bestFit="1" customWidth="1"/>
    <col min="12558" max="12558" width="12.28515625" style="3" bestFit="1" customWidth="1"/>
    <col min="12559" max="12801" width="9.140625" style="3"/>
    <col min="12802" max="12802" width="26" style="3" bestFit="1" customWidth="1"/>
    <col min="12803" max="12803" width="22.855468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29.140625" style="3" bestFit="1" customWidth="1"/>
    <col min="12808" max="12810" width="5.5703125" style="3" bestFit="1" customWidth="1"/>
    <col min="12811" max="12811" width="4.85546875" style="3" bestFit="1" customWidth="1"/>
    <col min="12812" max="12812" width="11.42578125" style="3" customWidth="1"/>
    <col min="12813" max="12813" width="8.5703125" style="3" bestFit="1" customWidth="1"/>
    <col min="12814" max="12814" width="12.28515625" style="3" bestFit="1" customWidth="1"/>
    <col min="12815" max="13057" width="9.140625" style="3"/>
    <col min="13058" max="13058" width="26" style="3" bestFit="1" customWidth="1"/>
    <col min="13059" max="13059" width="22.855468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29.140625" style="3" bestFit="1" customWidth="1"/>
    <col min="13064" max="13066" width="5.5703125" style="3" bestFit="1" customWidth="1"/>
    <col min="13067" max="13067" width="4.85546875" style="3" bestFit="1" customWidth="1"/>
    <col min="13068" max="13068" width="11.42578125" style="3" customWidth="1"/>
    <col min="13069" max="13069" width="8.5703125" style="3" bestFit="1" customWidth="1"/>
    <col min="13070" max="13070" width="12.28515625" style="3" bestFit="1" customWidth="1"/>
    <col min="13071" max="13313" width="9.140625" style="3"/>
    <col min="13314" max="13314" width="26" style="3" bestFit="1" customWidth="1"/>
    <col min="13315" max="13315" width="22.855468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29.140625" style="3" bestFit="1" customWidth="1"/>
    <col min="13320" max="13322" width="5.5703125" style="3" bestFit="1" customWidth="1"/>
    <col min="13323" max="13323" width="4.85546875" style="3" bestFit="1" customWidth="1"/>
    <col min="13324" max="13324" width="11.42578125" style="3" customWidth="1"/>
    <col min="13325" max="13325" width="8.5703125" style="3" bestFit="1" customWidth="1"/>
    <col min="13326" max="13326" width="12.28515625" style="3" bestFit="1" customWidth="1"/>
    <col min="13327" max="13569" width="9.140625" style="3"/>
    <col min="13570" max="13570" width="26" style="3" bestFit="1" customWidth="1"/>
    <col min="13571" max="13571" width="22.855468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29.140625" style="3" bestFit="1" customWidth="1"/>
    <col min="13576" max="13578" width="5.5703125" style="3" bestFit="1" customWidth="1"/>
    <col min="13579" max="13579" width="4.85546875" style="3" bestFit="1" customWidth="1"/>
    <col min="13580" max="13580" width="11.42578125" style="3" customWidth="1"/>
    <col min="13581" max="13581" width="8.5703125" style="3" bestFit="1" customWidth="1"/>
    <col min="13582" max="13582" width="12.28515625" style="3" bestFit="1" customWidth="1"/>
    <col min="13583" max="13825" width="9.140625" style="3"/>
    <col min="13826" max="13826" width="26" style="3" bestFit="1" customWidth="1"/>
    <col min="13827" max="13827" width="22.855468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29.140625" style="3" bestFit="1" customWidth="1"/>
    <col min="13832" max="13834" width="5.5703125" style="3" bestFit="1" customWidth="1"/>
    <col min="13835" max="13835" width="4.85546875" style="3" bestFit="1" customWidth="1"/>
    <col min="13836" max="13836" width="11.42578125" style="3" customWidth="1"/>
    <col min="13837" max="13837" width="8.5703125" style="3" bestFit="1" customWidth="1"/>
    <col min="13838" max="13838" width="12.28515625" style="3" bestFit="1" customWidth="1"/>
    <col min="13839" max="14081" width="9.140625" style="3"/>
    <col min="14082" max="14082" width="26" style="3" bestFit="1" customWidth="1"/>
    <col min="14083" max="14083" width="22.855468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29.140625" style="3" bestFit="1" customWidth="1"/>
    <col min="14088" max="14090" width="5.5703125" style="3" bestFit="1" customWidth="1"/>
    <col min="14091" max="14091" width="4.85546875" style="3" bestFit="1" customWidth="1"/>
    <col min="14092" max="14092" width="11.42578125" style="3" customWidth="1"/>
    <col min="14093" max="14093" width="8.5703125" style="3" bestFit="1" customWidth="1"/>
    <col min="14094" max="14094" width="12.28515625" style="3" bestFit="1" customWidth="1"/>
    <col min="14095" max="14337" width="9.140625" style="3"/>
    <col min="14338" max="14338" width="26" style="3" bestFit="1" customWidth="1"/>
    <col min="14339" max="14339" width="22.855468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29.140625" style="3" bestFit="1" customWidth="1"/>
    <col min="14344" max="14346" width="5.5703125" style="3" bestFit="1" customWidth="1"/>
    <col min="14347" max="14347" width="4.85546875" style="3" bestFit="1" customWidth="1"/>
    <col min="14348" max="14348" width="11.42578125" style="3" customWidth="1"/>
    <col min="14349" max="14349" width="8.5703125" style="3" bestFit="1" customWidth="1"/>
    <col min="14350" max="14350" width="12.28515625" style="3" bestFit="1" customWidth="1"/>
    <col min="14351" max="14593" width="9.140625" style="3"/>
    <col min="14594" max="14594" width="26" style="3" bestFit="1" customWidth="1"/>
    <col min="14595" max="14595" width="22.855468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29.140625" style="3" bestFit="1" customWidth="1"/>
    <col min="14600" max="14602" width="5.5703125" style="3" bestFit="1" customWidth="1"/>
    <col min="14603" max="14603" width="4.85546875" style="3" bestFit="1" customWidth="1"/>
    <col min="14604" max="14604" width="11.42578125" style="3" customWidth="1"/>
    <col min="14605" max="14605" width="8.5703125" style="3" bestFit="1" customWidth="1"/>
    <col min="14606" max="14606" width="12.28515625" style="3" bestFit="1" customWidth="1"/>
    <col min="14607" max="14849" width="9.140625" style="3"/>
    <col min="14850" max="14850" width="26" style="3" bestFit="1" customWidth="1"/>
    <col min="14851" max="14851" width="22.855468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29.140625" style="3" bestFit="1" customWidth="1"/>
    <col min="14856" max="14858" width="5.5703125" style="3" bestFit="1" customWidth="1"/>
    <col min="14859" max="14859" width="4.85546875" style="3" bestFit="1" customWidth="1"/>
    <col min="14860" max="14860" width="11.42578125" style="3" customWidth="1"/>
    <col min="14861" max="14861" width="8.5703125" style="3" bestFit="1" customWidth="1"/>
    <col min="14862" max="14862" width="12.28515625" style="3" bestFit="1" customWidth="1"/>
    <col min="14863" max="15105" width="9.140625" style="3"/>
    <col min="15106" max="15106" width="26" style="3" bestFit="1" customWidth="1"/>
    <col min="15107" max="15107" width="22.855468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29.140625" style="3" bestFit="1" customWidth="1"/>
    <col min="15112" max="15114" width="5.5703125" style="3" bestFit="1" customWidth="1"/>
    <col min="15115" max="15115" width="4.85546875" style="3" bestFit="1" customWidth="1"/>
    <col min="15116" max="15116" width="11.42578125" style="3" customWidth="1"/>
    <col min="15117" max="15117" width="8.5703125" style="3" bestFit="1" customWidth="1"/>
    <col min="15118" max="15118" width="12.28515625" style="3" bestFit="1" customWidth="1"/>
    <col min="15119" max="15361" width="9.140625" style="3"/>
    <col min="15362" max="15362" width="26" style="3" bestFit="1" customWidth="1"/>
    <col min="15363" max="15363" width="22.855468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29.140625" style="3" bestFit="1" customWidth="1"/>
    <col min="15368" max="15370" width="5.5703125" style="3" bestFit="1" customWidth="1"/>
    <col min="15371" max="15371" width="4.85546875" style="3" bestFit="1" customWidth="1"/>
    <col min="15372" max="15372" width="11.42578125" style="3" customWidth="1"/>
    <col min="15373" max="15373" width="8.5703125" style="3" bestFit="1" customWidth="1"/>
    <col min="15374" max="15374" width="12.28515625" style="3" bestFit="1" customWidth="1"/>
    <col min="15375" max="15617" width="9.140625" style="3"/>
    <col min="15618" max="15618" width="26" style="3" bestFit="1" customWidth="1"/>
    <col min="15619" max="15619" width="22.855468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29.140625" style="3" bestFit="1" customWidth="1"/>
    <col min="15624" max="15626" width="5.5703125" style="3" bestFit="1" customWidth="1"/>
    <col min="15627" max="15627" width="4.85546875" style="3" bestFit="1" customWidth="1"/>
    <col min="15628" max="15628" width="11.42578125" style="3" customWidth="1"/>
    <col min="15629" max="15629" width="8.5703125" style="3" bestFit="1" customWidth="1"/>
    <col min="15630" max="15630" width="12.28515625" style="3" bestFit="1" customWidth="1"/>
    <col min="15631" max="15873" width="9.140625" style="3"/>
    <col min="15874" max="15874" width="26" style="3" bestFit="1" customWidth="1"/>
    <col min="15875" max="15875" width="22.855468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29.140625" style="3" bestFit="1" customWidth="1"/>
    <col min="15880" max="15882" width="5.5703125" style="3" bestFit="1" customWidth="1"/>
    <col min="15883" max="15883" width="4.85546875" style="3" bestFit="1" customWidth="1"/>
    <col min="15884" max="15884" width="11.42578125" style="3" customWidth="1"/>
    <col min="15885" max="15885" width="8.5703125" style="3" bestFit="1" customWidth="1"/>
    <col min="15886" max="15886" width="12.28515625" style="3" bestFit="1" customWidth="1"/>
    <col min="15887" max="16129" width="9.140625" style="3"/>
    <col min="16130" max="16130" width="26" style="3" bestFit="1" customWidth="1"/>
    <col min="16131" max="16131" width="22.855468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29.140625" style="3" bestFit="1" customWidth="1"/>
    <col min="16136" max="16138" width="5.5703125" style="3" bestFit="1" customWidth="1"/>
    <col min="16139" max="16139" width="4.85546875" style="3" bestFit="1" customWidth="1"/>
    <col min="16140" max="16140" width="11.42578125" style="3" customWidth="1"/>
    <col min="16141" max="16141" width="8.5703125" style="3" bestFit="1" customWidth="1"/>
    <col min="16142" max="16142" width="12.28515625" style="3" bestFit="1" customWidth="1"/>
    <col min="16143" max="16384" width="9.140625" style="3"/>
  </cols>
  <sheetData>
    <row r="1" spans="1:14" s="2" customFormat="1" ht="29.1" customHeight="1" x14ac:dyDescent="0.2">
      <c r="A1" s="40" t="s">
        <v>1266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61" t="s">
        <v>84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">
      <c r="A6" s="6" t="s">
        <v>1267</v>
      </c>
      <c r="B6" s="6" t="s">
        <v>1443</v>
      </c>
      <c r="C6" s="6" t="s">
        <v>1268</v>
      </c>
      <c r="D6" s="6" t="s">
        <v>1269</v>
      </c>
      <c r="E6" s="6" t="str">
        <f>"0,5819"</f>
        <v>0,5819</v>
      </c>
      <c r="F6" s="6" t="s">
        <v>14</v>
      </c>
      <c r="G6" s="6" t="s">
        <v>1059</v>
      </c>
      <c r="H6" s="8" t="s">
        <v>995</v>
      </c>
      <c r="I6" s="7" t="s">
        <v>480</v>
      </c>
      <c r="J6" s="7" t="s">
        <v>1270</v>
      </c>
      <c r="K6" s="7"/>
      <c r="L6" s="6" t="str">
        <f>"290,0"</f>
        <v>290,0</v>
      </c>
      <c r="M6" s="8" t="str">
        <f>"168,7510"</f>
        <v>168,7510</v>
      </c>
      <c r="N6" s="6" t="s">
        <v>1271</v>
      </c>
    </row>
    <row r="8" spans="1:14" ht="15" x14ac:dyDescent="0.2">
      <c r="F8" s="17" t="s">
        <v>96</v>
      </c>
    </row>
    <row r="9" spans="1:14" ht="15" x14ac:dyDescent="0.2">
      <c r="F9" s="17" t="s">
        <v>97</v>
      </c>
    </row>
    <row r="10" spans="1:14" ht="15" x14ac:dyDescent="0.2">
      <c r="F10" s="17" t="s">
        <v>98</v>
      </c>
    </row>
    <row r="11" spans="1:14" ht="15" x14ac:dyDescent="0.2">
      <c r="F11" s="17"/>
    </row>
    <row r="13" spans="1:14" ht="18" x14ac:dyDescent="0.25">
      <c r="A13" s="18" t="s">
        <v>99</v>
      </c>
      <c r="B13" s="18"/>
      <c r="C13" s="18"/>
    </row>
    <row r="14" spans="1:14" ht="15" x14ac:dyDescent="0.2">
      <c r="A14" s="19" t="s">
        <v>100</v>
      </c>
      <c r="B14" s="19"/>
      <c r="C14" s="19"/>
    </row>
    <row r="15" spans="1:14" ht="14.25" x14ac:dyDescent="0.2">
      <c r="A15" s="21"/>
      <c r="B15" s="21"/>
      <c r="C15" s="22" t="s">
        <v>107</v>
      </c>
    </row>
    <row r="16" spans="1:14" ht="15" x14ac:dyDescent="0.2">
      <c r="A16" s="23" t="s">
        <v>101</v>
      </c>
      <c r="B16" s="23"/>
      <c r="C16" s="23" t="s">
        <v>102</v>
      </c>
      <c r="D16" s="23" t="s">
        <v>103</v>
      </c>
      <c r="E16" s="23" t="s">
        <v>104</v>
      </c>
      <c r="F16" s="23" t="s">
        <v>291</v>
      </c>
    </row>
    <row r="17" spans="1:14" x14ac:dyDescent="0.2">
      <c r="A17" s="20" t="s">
        <v>1272</v>
      </c>
      <c r="B17" s="20"/>
      <c r="C17" s="4" t="s">
        <v>107</v>
      </c>
      <c r="D17" s="4" t="s">
        <v>304</v>
      </c>
      <c r="E17" s="4" t="s">
        <v>995</v>
      </c>
      <c r="F17" s="24" t="s">
        <v>1273</v>
      </c>
      <c r="G17" s="3"/>
      <c r="L17" s="3"/>
      <c r="N17" s="3"/>
    </row>
    <row r="18" spans="1:14" x14ac:dyDescent="0.2">
      <c r="G18" s="3"/>
      <c r="L18" s="3"/>
      <c r="N18" s="3"/>
    </row>
    <row r="19" spans="1:14" x14ac:dyDescent="0.2">
      <c r="G19" s="3"/>
      <c r="L19" s="3"/>
      <c r="N19" s="3"/>
    </row>
    <row r="20" spans="1:14" x14ac:dyDescent="0.2">
      <c r="G20" s="3"/>
      <c r="L20" s="3"/>
      <c r="N20" s="3"/>
    </row>
    <row r="21" spans="1:14" x14ac:dyDescent="0.2">
      <c r="G21" s="3"/>
      <c r="L21" s="3"/>
      <c r="N21" s="3"/>
    </row>
    <row r="22" spans="1:14" x14ac:dyDescent="0.2">
      <c r="G22" s="3"/>
      <c r="L22" s="3"/>
      <c r="N22" s="3"/>
    </row>
    <row r="23" spans="1:14" x14ac:dyDescent="0.2">
      <c r="G23" s="3"/>
      <c r="L23" s="3"/>
      <c r="N23" s="3"/>
    </row>
    <row r="24" spans="1:14" x14ac:dyDescent="0.2">
      <c r="G24" s="3"/>
      <c r="L24" s="3"/>
      <c r="N24" s="3"/>
    </row>
    <row r="25" spans="1:14" x14ac:dyDescent="0.2">
      <c r="G25" s="3"/>
      <c r="L25" s="3"/>
      <c r="N25" s="3"/>
    </row>
    <row r="26" spans="1:14" x14ac:dyDescent="0.2">
      <c r="G26" s="3"/>
      <c r="L26" s="3"/>
      <c r="N26" s="3"/>
    </row>
    <row r="27" spans="1:14" x14ac:dyDescent="0.2">
      <c r="G27" s="3"/>
      <c r="L27" s="3"/>
      <c r="N27" s="3"/>
    </row>
    <row r="28" spans="1:14" x14ac:dyDescent="0.2">
      <c r="G28" s="3"/>
      <c r="L28" s="3"/>
      <c r="N28" s="3"/>
    </row>
    <row r="29" spans="1:14" x14ac:dyDescent="0.2">
      <c r="G29" s="3"/>
      <c r="L29" s="3"/>
      <c r="N29" s="3"/>
    </row>
    <row r="30" spans="1:14" x14ac:dyDescent="0.2">
      <c r="G30" s="3"/>
      <c r="L30" s="3"/>
      <c r="N30" s="3"/>
    </row>
    <row r="31" spans="1:14" x14ac:dyDescent="0.2">
      <c r="G31" s="3"/>
      <c r="L31" s="3"/>
      <c r="N31" s="3"/>
    </row>
    <row r="32" spans="1:14" x14ac:dyDescent="0.2">
      <c r="G32" s="3"/>
      <c r="L32" s="3"/>
      <c r="N32" s="3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3">
    <mergeCell ref="N3:N4"/>
    <mergeCell ref="A5:M5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B3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0"/>
  <sheetViews>
    <sheetView workbookViewId="0">
      <selection activeCell="A5" sqref="A5:U5"/>
    </sheetView>
  </sheetViews>
  <sheetFormatPr defaultRowHeight="12.75" x14ac:dyDescent="0.2"/>
  <cols>
    <col min="1" max="1" width="26" style="4" bestFit="1" customWidth="1"/>
    <col min="2" max="2" width="12" style="4" customWidth="1"/>
    <col min="3" max="3" width="22.855468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16.7109375" style="4" bestFit="1" customWidth="1"/>
    <col min="8" max="10" width="5.5703125" style="3" bestFit="1" customWidth="1"/>
    <col min="11" max="11" width="4.85546875" style="3" bestFit="1" customWidth="1"/>
    <col min="12" max="14" width="5.5703125" style="3" bestFit="1" customWidth="1"/>
    <col min="15" max="15" width="4.85546875" style="3" bestFit="1" customWidth="1"/>
    <col min="16" max="18" width="5.5703125" style="3" bestFit="1" customWidth="1"/>
    <col min="19" max="19" width="4.85546875" style="3" bestFit="1" customWidth="1"/>
    <col min="20" max="20" width="7.85546875" style="4" bestFit="1" customWidth="1"/>
    <col min="21" max="21" width="8.5703125" style="3" bestFit="1" customWidth="1"/>
    <col min="22" max="22" width="8.85546875" style="4" bestFit="1" customWidth="1"/>
    <col min="23" max="257" width="9.140625" style="3"/>
    <col min="258" max="258" width="26" style="3" bestFit="1" customWidth="1"/>
    <col min="259" max="259" width="22.855468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16.7109375" style="3" bestFit="1" customWidth="1"/>
    <col min="264" max="266" width="5.5703125" style="3" bestFit="1" customWidth="1"/>
    <col min="267" max="267" width="4.85546875" style="3" bestFit="1" customWidth="1"/>
    <col min="268" max="270" width="5.5703125" style="3" bestFit="1" customWidth="1"/>
    <col min="271" max="271" width="4.85546875" style="3" bestFit="1" customWidth="1"/>
    <col min="272" max="274" width="5.5703125" style="3" bestFit="1" customWidth="1"/>
    <col min="275" max="275" width="4.85546875" style="3" bestFit="1" customWidth="1"/>
    <col min="276" max="276" width="7.85546875" style="3" bestFit="1" customWidth="1"/>
    <col min="277" max="277" width="8.5703125" style="3" bestFit="1" customWidth="1"/>
    <col min="278" max="278" width="8.85546875" style="3" bestFit="1" customWidth="1"/>
    <col min="279" max="513" width="9.140625" style="3"/>
    <col min="514" max="514" width="26" style="3" bestFit="1" customWidth="1"/>
    <col min="515" max="515" width="22.855468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16.7109375" style="3" bestFit="1" customWidth="1"/>
    <col min="520" max="522" width="5.5703125" style="3" bestFit="1" customWidth="1"/>
    <col min="523" max="523" width="4.85546875" style="3" bestFit="1" customWidth="1"/>
    <col min="524" max="526" width="5.5703125" style="3" bestFit="1" customWidth="1"/>
    <col min="527" max="527" width="4.85546875" style="3" bestFit="1" customWidth="1"/>
    <col min="528" max="530" width="5.5703125" style="3" bestFit="1" customWidth="1"/>
    <col min="531" max="531" width="4.85546875" style="3" bestFit="1" customWidth="1"/>
    <col min="532" max="532" width="7.85546875" style="3" bestFit="1" customWidth="1"/>
    <col min="533" max="533" width="8.5703125" style="3" bestFit="1" customWidth="1"/>
    <col min="534" max="534" width="8.85546875" style="3" bestFit="1" customWidth="1"/>
    <col min="535" max="769" width="9.140625" style="3"/>
    <col min="770" max="770" width="26" style="3" bestFit="1" customWidth="1"/>
    <col min="771" max="771" width="22.855468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16.7109375" style="3" bestFit="1" customWidth="1"/>
    <col min="776" max="778" width="5.5703125" style="3" bestFit="1" customWidth="1"/>
    <col min="779" max="779" width="4.85546875" style="3" bestFit="1" customWidth="1"/>
    <col min="780" max="782" width="5.5703125" style="3" bestFit="1" customWidth="1"/>
    <col min="783" max="783" width="4.85546875" style="3" bestFit="1" customWidth="1"/>
    <col min="784" max="786" width="5.5703125" style="3" bestFit="1" customWidth="1"/>
    <col min="787" max="787" width="4.85546875" style="3" bestFit="1" customWidth="1"/>
    <col min="788" max="788" width="7.85546875" style="3" bestFit="1" customWidth="1"/>
    <col min="789" max="789" width="8.5703125" style="3" bestFit="1" customWidth="1"/>
    <col min="790" max="790" width="8.85546875" style="3" bestFit="1" customWidth="1"/>
    <col min="791" max="1025" width="9.140625" style="3"/>
    <col min="1026" max="1026" width="26" style="3" bestFit="1" customWidth="1"/>
    <col min="1027" max="1027" width="22.855468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16.7109375" style="3" bestFit="1" customWidth="1"/>
    <col min="1032" max="1034" width="5.5703125" style="3" bestFit="1" customWidth="1"/>
    <col min="1035" max="1035" width="4.85546875" style="3" bestFit="1" customWidth="1"/>
    <col min="1036" max="1038" width="5.5703125" style="3" bestFit="1" customWidth="1"/>
    <col min="1039" max="1039" width="4.85546875" style="3" bestFit="1" customWidth="1"/>
    <col min="1040" max="1042" width="5.5703125" style="3" bestFit="1" customWidth="1"/>
    <col min="1043" max="1043" width="4.85546875" style="3" bestFit="1" customWidth="1"/>
    <col min="1044" max="1044" width="7.85546875" style="3" bestFit="1" customWidth="1"/>
    <col min="1045" max="1045" width="8.5703125" style="3" bestFit="1" customWidth="1"/>
    <col min="1046" max="1046" width="8.85546875" style="3" bestFit="1" customWidth="1"/>
    <col min="1047" max="1281" width="9.140625" style="3"/>
    <col min="1282" max="1282" width="26" style="3" bestFit="1" customWidth="1"/>
    <col min="1283" max="1283" width="22.855468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16.7109375" style="3" bestFit="1" customWidth="1"/>
    <col min="1288" max="1290" width="5.5703125" style="3" bestFit="1" customWidth="1"/>
    <col min="1291" max="1291" width="4.85546875" style="3" bestFit="1" customWidth="1"/>
    <col min="1292" max="1294" width="5.5703125" style="3" bestFit="1" customWidth="1"/>
    <col min="1295" max="1295" width="4.85546875" style="3" bestFit="1" customWidth="1"/>
    <col min="1296" max="1298" width="5.5703125" style="3" bestFit="1" customWidth="1"/>
    <col min="1299" max="1299" width="4.85546875" style="3" bestFit="1" customWidth="1"/>
    <col min="1300" max="1300" width="7.85546875" style="3" bestFit="1" customWidth="1"/>
    <col min="1301" max="1301" width="8.5703125" style="3" bestFit="1" customWidth="1"/>
    <col min="1302" max="1302" width="8.85546875" style="3" bestFit="1" customWidth="1"/>
    <col min="1303" max="1537" width="9.140625" style="3"/>
    <col min="1538" max="1538" width="26" style="3" bestFit="1" customWidth="1"/>
    <col min="1539" max="1539" width="22.855468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16.7109375" style="3" bestFit="1" customWidth="1"/>
    <col min="1544" max="1546" width="5.5703125" style="3" bestFit="1" customWidth="1"/>
    <col min="1547" max="1547" width="4.85546875" style="3" bestFit="1" customWidth="1"/>
    <col min="1548" max="1550" width="5.5703125" style="3" bestFit="1" customWidth="1"/>
    <col min="1551" max="1551" width="4.85546875" style="3" bestFit="1" customWidth="1"/>
    <col min="1552" max="1554" width="5.5703125" style="3" bestFit="1" customWidth="1"/>
    <col min="1555" max="1555" width="4.85546875" style="3" bestFit="1" customWidth="1"/>
    <col min="1556" max="1556" width="7.85546875" style="3" bestFit="1" customWidth="1"/>
    <col min="1557" max="1557" width="8.5703125" style="3" bestFit="1" customWidth="1"/>
    <col min="1558" max="1558" width="8.85546875" style="3" bestFit="1" customWidth="1"/>
    <col min="1559" max="1793" width="9.140625" style="3"/>
    <col min="1794" max="1794" width="26" style="3" bestFit="1" customWidth="1"/>
    <col min="1795" max="1795" width="22.855468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16.7109375" style="3" bestFit="1" customWidth="1"/>
    <col min="1800" max="1802" width="5.5703125" style="3" bestFit="1" customWidth="1"/>
    <col min="1803" max="1803" width="4.85546875" style="3" bestFit="1" customWidth="1"/>
    <col min="1804" max="1806" width="5.5703125" style="3" bestFit="1" customWidth="1"/>
    <col min="1807" max="1807" width="4.85546875" style="3" bestFit="1" customWidth="1"/>
    <col min="1808" max="1810" width="5.5703125" style="3" bestFit="1" customWidth="1"/>
    <col min="1811" max="1811" width="4.85546875" style="3" bestFit="1" customWidth="1"/>
    <col min="1812" max="1812" width="7.85546875" style="3" bestFit="1" customWidth="1"/>
    <col min="1813" max="1813" width="8.5703125" style="3" bestFit="1" customWidth="1"/>
    <col min="1814" max="1814" width="8.85546875" style="3" bestFit="1" customWidth="1"/>
    <col min="1815" max="2049" width="9.140625" style="3"/>
    <col min="2050" max="2050" width="26" style="3" bestFit="1" customWidth="1"/>
    <col min="2051" max="2051" width="22.855468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16.7109375" style="3" bestFit="1" customWidth="1"/>
    <col min="2056" max="2058" width="5.5703125" style="3" bestFit="1" customWidth="1"/>
    <col min="2059" max="2059" width="4.85546875" style="3" bestFit="1" customWidth="1"/>
    <col min="2060" max="2062" width="5.5703125" style="3" bestFit="1" customWidth="1"/>
    <col min="2063" max="2063" width="4.85546875" style="3" bestFit="1" customWidth="1"/>
    <col min="2064" max="2066" width="5.5703125" style="3" bestFit="1" customWidth="1"/>
    <col min="2067" max="2067" width="4.85546875" style="3" bestFit="1" customWidth="1"/>
    <col min="2068" max="2068" width="7.85546875" style="3" bestFit="1" customWidth="1"/>
    <col min="2069" max="2069" width="8.5703125" style="3" bestFit="1" customWidth="1"/>
    <col min="2070" max="2070" width="8.85546875" style="3" bestFit="1" customWidth="1"/>
    <col min="2071" max="2305" width="9.140625" style="3"/>
    <col min="2306" max="2306" width="26" style="3" bestFit="1" customWidth="1"/>
    <col min="2307" max="2307" width="22.855468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16.7109375" style="3" bestFit="1" customWidth="1"/>
    <col min="2312" max="2314" width="5.5703125" style="3" bestFit="1" customWidth="1"/>
    <col min="2315" max="2315" width="4.85546875" style="3" bestFit="1" customWidth="1"/>
    <col min="2316" max="2318" width="5.5703125" style="3" bestFit="1" customWidth="1"/>
    <col min="2319" max="2319" width="4.85546875" style="3" bestFit="1" customWidth="1"/>
    <col min="2320" max="2322" width="5.5703125" style="3" bestFit="1" customWidth="1"/>
    <col min="2323" max="2323" width="4.85546875" style="3" bestFit="1" customWidth="1"/>
    <col min="2324" max="2324" width="7.85546875" style="3" bestFit="1" customWidth="1"/>
    <col min="2325" max="2325" width="8.5703125" style="3" bestFit="1" customWidth="1"/>
    <col min="2326" max="2326" width="8.85546875" style="3" bestFit="1" customWidth="1"/>
    <col min="2327" max="2561" width="9.140625" style="3"/>
    <col min="2562" max="2562" width="26" style="3" bestFit="1" customWidth="1"/>
    <col min="2563" max="2563" width="22.855468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16.7109375" style="3" bestFit="1" customWidth="1"/>
    <col min="2568" max="2570" width="5.5703125" style="3" bestFit="1" customWidth="1"/>
    <col min="2571" max="2571" width="4.85546875" style="3" bestFit="1" customWidth="1"/>
    <col min="2572" max="2574" width="5.5703125" style="3" bestFit="1" customWidth="1"/>
    <col min="2575" max="2575" width="4.85546875" style="3" bestFit="1" customWidth="1"/>
    <col min="2576" max="2578" width="5.5703125" style="3" bestFit="1" customWidth="1"/>
    <col min="2579" max="2579" width="4.85546875" style="3" bestFit="1" customWidth="1"/>
    <col min="2580" max="2580" width="7.85546875" style="3" bestFit="1" customWidth="1"/>
    <col min="2581" max="2581" width="8.5703125" style="3" bestFit="1" customWidth="1"/>
    <col min="2582" max="2582" width="8.85546875" style="3" bestFit="1" customWidth="1"/>
    <col min="2583" max="2817" width="9.140625" style="3"/>
    <col min="2818" max="2818" width="26" style="3" bestFit="1" customWidth="1"/>
    <col min="2819" max="2819" width="22.855468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16.7109375" style="3" bestFit="1" customWidth="1"/>
    <col min="2824" max="2826" width="5.5703125" style="3" bestFit="1" customWidth="1"/>
    <col min="2827" max="2827" width="4.85546875" style="3" bestFit="1" customWidth="1"/>
    <col min="2828" max="2830" width="5.5703125" style="3" bestFit="1" customWidth="1"/>
    <col min="2831" max="2831" width="4.85546875" style="3" bestFit="1" customWidth="1"/>
    <col min="2832" max="2834" width="5.5703125" style="3" bestFit="1" customWidth="1"/>
    <col min="2835" max="2835" width="4.85546875" style="3" bestFit="1" customWidth="1"/>
    <col min="2836" max="2836" width="7.85546875" style="3" bestFit="1" customWidth="1"/>
    <col min="2837" max="2837" width="8.5703125" style="3" bestFit="1" customWidth="1"/>
    <col min="2838" max="2838" width="8.85546875" style="3" bestFit="1" customWidth="1"/>
    <col min="2839" max="3073" width="9.140625" style="3"/>
    <col min="3074" max="3074" width="26" style="3" bestFit="1" customWidth="1"/>
    <col min="3075" max="3075" width="22.855468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16.7109375" style="3" bestFit="1" customWidth="1"/>
    <col min="3080" max="3082" width="5.5703125" style="3" bestFit="1" customWidth="1"/>
    <col min="3083" max="3083" width="4.85546875" style="3" bestFit="1" customWidth="1"/>
    <col min="3084" max="3086" width="5.5703125" style="3" bestFit="1" customWidth="1"/>
    <col min="3087" max="3087" width="4.85546875" style="3" bestFit="1" customWidth="1"/>
    <col min="3088" max="3090" width="5.5703125" style="3" bestFit="1" customWidth="1"/>
    <col min="3091" max="3091" width="4.85546875" style="3" bestFit="1" customWidth="1"/>
    <col min="3092" max="3092" width="7.85546875" style="3" bestFit="1" customWidth="1"/>
    <col min="3093" max="3093" width="8.5703125" style="3" bestFit="1" customWidth="1"/>
    <col min="3094" max="3094" width="8.85546875" style="3" bestFit="1" customWidth="1"/>
    <col min="3095" max="3329" width="9.140625" style="3"/>
    <col min="3330" max="3330" width="26" style="3" bestFit="1" customWidth="1"/>
    <col min="3331" max="3331" width="22.855468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16.7109375" style="3" bestFit="1" customWidth="1"/>
    <col min="3336" max="3338" width="5.5703125" style="3" bestFit="1" customWidth="1"/>
    <col min="3339" max="3339" width="4.85546875" style="3" bestFit="1" customWidth="1"/>
    <col min="3340" max="3342" width="5.5703125" style="3" bestFit="1" customWidth="1"/>
    <col min="3343" max="3343" width="4.85546875" style="3" bestFit="1" customWidth="1"/>
    <col min="3344" max="3346" width="5.5703125" style="3" bestFit="1" customWidth="1"/>
    <col min="3347" max="3347" width="4.85546875" style="3" bestFit="1" customWidth="1"/>
    <col min="3348" max="3348" width="7.85546875" style="3" bestFit="1" customWidth="1"/>
    <col min="3349" max="3349" width="8.5703125" style="3" bestFit="1" customWidth="1"/>
    <col min="3350" max="3350" width="8.85546875" style="3" bestFit="1" customWidth="1"/>
    <col min="3351" max="3585" width="9.140625" style="3"/>
    <col min="3586" max="3586" width="26" style="3" bestFit="1" customWidth="1"/>
    <col min="3587" max="3587" width="22.855468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16.7109375" style="3" bestFit="1" customWidth="1"/>
    <col min="3592" max="3594" width="5.5703125" style="3" bestFit="1" customWidth="1"/>
    <col min="3595" max="3595" width="4.85546875" style="3" bestFit="1" customWidth="1"/>
    <col min="3596" max="3598" width="5.5703125" style="3" bestFit="1" customWidth="1"/>
    <col min="3599" max="3599" width="4.85546875" style="3" bestFit="1" customWidth="1"/>
    <col min="3600" max="3602" width="5.5703125" style="3" bestFit="1" customWidth="1"/>
    <col min="3603" max="3603" width="4.85546875" style="3" bestFit="1" customWidth="1"/>
    <col min="3604" max="3604" width="7.85546875" style="3" bestFit="1" customWidth="1"/>
    <col min="3605" max="3605" width="8.5703125" style="3" bestFit="1" customWidth="1"/>
    <col min="3606" max="3606" width="8.85546875" style="3" bestFit="1" customWidth="1"/>
    <col min="3607" max="3841" width="9.140625" style="3"/>
    <col min="3842" max="3842" width="26" style="3" bestFit="1" customWidth="1"/>
    <col min="3843" max="3843" width="22.855468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16.7109375" style="3" bestFit="1" customWidth="1"/>
    <col min="3848" max="3850" width="5.5703125" style="3" bestFit="1" customWidth="1"/>
    <col min="3851" max="3851" width="4.85546875" style="3" bestFit="1" customWidth="1"/>
    <col min="3852" max="3854" width="5.5703125" style="3" bestFit="1" customWidth="1"/>
    <col min="3855" max="3855" width="4.85546875" style="3" bestFit="1" customWidth="1"/>
    <col min="3856" max="3858" width="5.5703125" style="3" bestFit="1" customWidth="1"/>
    <col min="3859" max="3859" width="4.85546875" style="3" bestFit="1" customWidth="1"/>
    <col min="3860" max="3860" width="7.85546875" style="3" bestFit="1" customWidth="1"/>
    <col min="3861" max="3861" width="8.5703125" style="3" bestFit="1" customWidth="1"/>
    <col min="3862" max="3862" width="8.85546875" style="3" bestFit="1" customWidth="1"/>
    <col min="3863" max="4097" width="9.140625" style="3"/>
    <col min="4098" max="4098" width="26" style="3" bestFit="1" customWidth="1"/>
    <col min="4099" max="4099" width="22.855468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16.7109375" style="3" bestFit="1" customWidth="1"/>
    <col min="4104" max="4106" width="5.5703125" style="3" bestFit="1" customWidth="1"/>
    <col min="4107" max="4107" width="4.85546875" style="3" bestFit="1" customWidth="1"/>
    <col min="4108" max="4110" width="5.5703125" style="3" bestFit="1" customWidth="1"/>
    <col min="4111" max="4111" width="4.85546875" style="3" bestFit="1" customWidth="1"/>
    <col min="4112" max="4114" width="5.5703125" style="3" bestFit="1" customWidth="1"/>
    <col min="4115" max="4115" width="4.85546875" style="3" bestFit="1" customWidth="1"/>
    <col min="4116" max="4116" width="7.85546875" style="3" bestFit="1" customWidth="1"/>
    <col min="4117" max="4117" width="8.5703125" style="3" bestFit="1" customWidth="1"/>
    <col min="4118" max="4118" width="8.85546875" style="3" bestFit="1" customWidth="1"/>
    <col min="4119" max="4353" width="9.140625" style="3"/>
    <col min="4354" max="4354" width="26" style="3" bestFit="1" customWidth="1"/>
    <col min="4355" max="4355" width="22.855468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16.7109375" style="3" bestFit="1" customWidth="1"/>
    <col min="4360" max="4362" width="5.5703125" style="3" bestFit="1" customWidth="1"/>
    <col min="4363" max="4363" width="4.85546875" style="3" bestFit="1" customWidth="1"/>
    <col min="4364" max="4366" width="5.5703125" style="3" bestFit="1" customWidth="1"/>
    <col min="4367" max="4367" width="4.85546875" style="3" bestFit="1" customWidth="1"/>
    <col min="4368" max="4370" width="5.5703125" style="3" bestFit="1" customWidth="1"/>
    <col min="4371" max="4371" width="4.85546875" style="3" bestFit="1" customWidth="1"/>
    <col min="4372" max="4372" width="7.85546875" style="3" bestFit="1" customWidth="1"/>
    <col min="4373" max="4373" width="8.5703125" style="3" bestFit="1" customWidth="1"/>
    <col min="4374" max="4374" width="8.85546875" style="3" bestFit="1" customWidth="1"/>
    <col min="4375" max="4609" width="9.140625" style="3"/>
    <col min="4610" max="4610" width="26" style="3" bestFit="1" customWidth="1"/>
    <col min="4611" max="4611" width="22.855468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16.7109375" style="3" bestFit="1" customWidth="1"/>
    <col min="4616" max="4618" width="5.5703125" style="3" bestFit="1" customWidth="1"/>
    <col min="4619" max="4619" width="4.85546875" style="3" bestFit="1" customWidth="1"/>
    <col min="4620" max="4622" width="5.5703125" style="3" bestFit="1" customWidth="1"/>
    <col min="4623" max="4623" width="4.85546875" style="3" bestFit="1" customWidth="1"/>
    <col min="4624" max="4626" width="5.5703125" style="3" bestFit="1" customWidth="1"/>
    <col min="4627" max="4627" width="4.85546875" style="3" bestFit="1" customWidth="1"/>
    <col min="4628" max="4628" width="7.85546875" style="3" bestFit="1" customWidth="1"/>
    <col min="4629" max="4629" width="8.5703125" style="3" bestFit="1" customWidth="1"/>
    <col min="4630" max="4630" width="8.85546875" style="3" bestFit="1" customWidth="1"/>
    <col min="4631" max="4865" width="9.140625" style="3"/>
    <col min="4866" max="4866" width="26" style="3" bestFit="1" customWidth="1"/>
    <col min="4867" max="4867" width="22.855468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16.7109375" style="3" bestFit="1" customWidth="1"/>
    <col min="4872" max="4874" width="5.5703125" style="3" bestFit="1" customWidth="1"/>
    <col min="4875" max="4875" width="4.85546875" style="3" bestFit="1" customWidth="1"/>
    <col min="4876" max="4878" width="5.5703125" style="3" bestFit="1" customWidth="1"/>
    <col min="4879" max="4879" width="4.85546875" style="3" bestFit="1" customWidth="1"/>
    <col min="4880" max="4882" width="5.5703125" style="3" bestFit="1" customWidth="1"/>
    <col min="4883" max="4883" width="4.85546875" style="3" bestFit="1" customWidth="1"/>
    <col min="4884" max="4884" width="7.85546875" style="3" bestFit="1" customWidth="1"/>
    <col min="4885" max="4885" width="8.5703125" style="3" bestFit="1" customWidth="1"/>
    <col min="4886" max="4886" width="8.85546875" style="3" bestFit="1" customWidth="1"/>
    <col min="4887" max="5121" width="9.140625" style="3"/>
    <col min="5122" max="5122" width="26" style="3" bestFit="1" customWidth="1"/>
    <col min="5123" max="5123" width="22.855468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16.7109375" style="3" bestFit="1" customWidth="1"/>
    <col min="5128" max="5130" width="5.5703125" style="3" bestFit="1" customWidth="1"/>
    <col min="5131" max="5131" width="4.85546875" style="3" bestFit="1" customWidth="1"/>
    <col min="5132" max="5134" width="5.5703125" style="3" bestFit="1" customWidth="1"/>
    <col min="5135" max="5135" width="4.85546875" style="3" bestFit="1" customWidth="1"/>
    <col min="5136" max="5138" width="5.5703125" style="3" bestFit="1" customWidth="1"/>
    <col min="5139" max="5139" width="4.85546875" style="3" bestFit="1" customWidth="1"/>
    <col min="5140" max="5140" width="7.85546875" style="3" bestFit="1" customWidth="1"/>
    <col min="5141" max="5141" width="8.5703125" style="3" bestFit="1" customWidth="1"/>
    <col min="5142" max="5142" width="8.85546875" style="3" bestFit="1" customWidth="1"/>
    <col min="5143" max="5377" width="9.140625" style="3"/>
    <col min="5378" max="5378" width="26" style="3" bestFit="1" customWidth="1"/>
    <col min="5379" max="5379" width="22.855468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16.7109375" style="3" bestFit="1" customWidth="1"/>
    <col min="5384" max="5386" width="5.5703125" style="3" bestFit="1" customWidth="1"/>
    <col min="5387" max="5387" width="4.85546875" style="3" bestFit="1" customWidth="1"/>
    <col min="5388" max="5390" width="5.5703125" style="3" bestFit="1" customWidth="1"/>
    <col min="5391" max="5391" width="4.85546875" style="3" bestFit="1" customWidth="1"/>
    <col min="5392" max="5394" width="5.5703125" style="3" bestFit="1" customWidth="1"/>
    <col min="5395" max="5395" width="4.85546875" style="3" bestFit="1" customWidth="1"/>
    <col min="5396" max="5396" width="7.85546875" style="3" bestFit="1" customWidth="1"/>
    <col min="5397" max="5397" width="8.5703125" style="3" bestFit="1" customWidth="1"/>
    <col min="5398" max="5398" width="8.85546875" style="3" bestFit="1" customWidth="1"/>
    <col min="5399" max="5633" width="9.140625" style="3"/>
    <col min="5634" max="5634" width="26" style="3" bestFit="1" customWidth="1"/>
    <col min="5635" max="5635" width="22.855468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16.7109375" style="3" bestFit="1" customWidth="1"/>
    <col min="5640" max="5642" width="5.5703125" style="3" bestFit="1" customWidth="1"/>
    <col min="5643" max="5643" width="4.85546875" style="3" bestFit="1" customWidth="1"/>
    <col min="5644" max="5646" width="5.5703125" style="3" bestFit="1" customWidth="1"/>
    <col min="5647" max="5647" width="4.85546875" style="3" bestFit="1" customWidth="1"/>
    <col min="5648" max="5650" width="5.5703125" style="3" bestFit="1" customWidth="1"/>
    <col min="5651" max="5651" width="4.85546875" style="3" bestFit="1" customWidth="1"/>
    <col min="5652" max="5652" width="7.85546875" style="3" bestFit="1" customWidth="1"/>
    <col min="5653" max="5653" width="8.5703125" style="3" bestFit="1" customWidth="1"/>
    <col min="5654" max="5654" width="8.85546875" style="3" bestFit="1" customWidth="1"/>
    <col min="5655" max="5889" width="9.140625" style="3"/>
    <col min="5890" max="5890" width="26" style="3" bestFit="1" customWidth="1"/>
    <col min="5891" max="5891" width="22.855468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16.7109375" style="3" bestFit="1" customWidth="1"/>
    <col min="5896" max="5898" width="5.5703125" style="3" bestFit="1" customWidth="1"/>
    <col min="5899" max="5899" width="4.85546875" style="3" bestFit="1" customWidth="1"/>
    <col min="5900" max="5902" width="5.5703125" style="3" bestFit="1" customWidth="1"/>
    <col min="5903" max="5903" width="4.85546875" style="3" bestFit="1" customWidth="1"/>
    <col min="5904" max="5906" width="5.5703125" style="3" bestFit="1" customWidth="1"/>
    <col min="5907" max="5907" width="4.85546875" style="3" bestFit="1" customWidth="1"/>
    <col min="5908" max="5908" width="7.85546875" style="3" bestFit="1" customWidth="1"/>
    <col min="5909" max="5909" width="8.5703125" style="3" bestFit="1" customWidth="1"/>
    <col min="5910" max="5910" width="8.85546875" style="3" bestFit="1" customWidth="1"/>
    <col min="5911" max="6145" width="9.140625" style="3"/>
    <col min="6146" max="6146" width="26" style="3" bestFit="1" customWidth="1"/>
    <col min="6147" max="6147" width="22.855468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16.7109375" style="3" bestFit="1" customWidth="1"/>
    <col min="6152" max="6154" width="5.5703125" style="3" bestFit="1" customWidth="1"/>
    <col min="6155" max="6155" width="4.85546875" style="3" bestFit="1" customWidth="1"/>
    <col min="6156" max="6158" width="5.5703125" style="3" bestFit="1" customWidth="1"/>
    <col min="6159" max="6159" width="4.85546875" style="3" bestFit="1" customWidth="1"/>
    <col min="6160" max="6162" width="5.5703125" style="3" bestFit="1" customWidth="1"/>
    <col min="6163" max="6163" width="4.85546875" style="3" bestFit="1" customWidth="1"/>
    <col min="6164" max="6164" width="7.85546875" style="3" bestFit="1" customWidth="1"/>
    <col min="6165" max="6165" width="8.5703125" style="3" bestFit="1" customWidth="1"/>
    <col min="6166" max="6166" width="8.85546875" style="3" bestFit="1" customWidth="1"/>
    <col min="6167" max="6401" width="9.140625" style="3"/>
    <col min="6402" max="6402" width="26" style="3" bestFit="1" customWidth="1"/>
    <col min="6403" max="6403" width="22.855468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16.7109375" style="3" bestFit="1" customWidth="1"/>
    <col min="6408" max="6410" width="5.5703125" style="3" bestFit="1" customWidth="1"/>
    <col min="6411" max="6411" width="4.85546875" style="3" bestFit="1" customWidth="1"/>
    <col min="6412" max="6414" width="5.5703125" style="3" bestFit="1" customWidth="1"/>
    <col min="6415" max="6415" width="4.85546875" style="3" bestFit="1" customWidth="1"/>
    <col min="6416" max="6418" width="5.5703125" style="3" bestFit="1" customWidth="1"/>
    <col min="6419" max="6419" width="4.85546875" style="3" bestFit="1" customWidth="1"/>
    <col min="6420" max="6420" width="7.85546875" style="3" bestFit="1" customWidth="1"/>
    <col min="6421" max="6421" width="8.5703125" style="3" bestFit="1" customWidth="1"/>
    <col min="6422" max="6422" width="8.85546875" style="3" bestFit="1" customWidth="1"/>
    <col min="6423" max="6657" width="9.140625" style="3"/>
    <col min="6658" max="6658" width="26" style="3" bestFit="1" customWidth="1"/>
    <col min="6659" max="6659" width="22.855468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16.7109375" style="3" bestFit="1" customWidth="1"/>
    <col min="6664" max="6666" width="5.5703125" style="3" bestFit="1" customWidth="1"/>
    <col min="6667" max="6667" width="4.85546875" style="3" bestFit="1" customWidth="1"/>
    <col min="6668" max="6670" width="5.5703125" style="3" bestFit="1" customWidth="1"/>
    <col min="6671" max="6671" width="4.85546875" style="3" bestFit="1" customWidth="1"/>
    <col min="6672" max="6674" width="5.5703125" style="3" bestFit="1" customWidth="1"/>
    <col min="6675" max="6675" width="4.85546875" style="3" bestFit="1" customWidth="1"/>
    <col min="6676" max="6676" width="7.85546875" style="3" bestFit="1" customWidth="1"/>
    <col min="6677" max="6677" width="8.5703125" style="3" bestFit="1" customWidth="1"/>
    <col min="6678" max="6678" width="8.85546875" style="3" bestFit="1" customWidth="1"/>
    <col min="6679" max="6913" width="9.140625" style="3"/>
    <col min="6914" max="6914" width="26" style="3" bestFit="1" customWidth="1"/>
    <col min="6915" max="6915" width="22.855468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16.7109375" style="3" bestFit="1" customWidth="1"/>
    <col min="6920" max="6922" width="5.5703125" style="3" bestFit="1" customWidth="1"/>
    <col min="6923" max="6923" width="4.85546875" style="3" bestFit="1" customWidth="1"/>
    <col min="6924" max="6926" width="5.5703125" style="3" bestFit="1" customWidth="1"/>
    <col min="6927" max="6927" width="4.85546875" style="3" bestFit="1" customWidth="1"/>
    <col min="6928" max="6930" width="5.5703125" style="3" bestFit="1" customWidth="1"/>
    <col min="6931" max="6931" width="4.85546875" style="3" bestFit="1" customWidth="1"/>
    <col min="6932" max="6932" width="7.85546875" style="3" bestFit="1" customWidth="1"/>
    <col min="6933" max="6933" width="8.5703125" style="3" bestFit="1" customWidth="1"/>
    <col min="6934" max="6934" width="8.85546875" style="3" bestFit="1" customWidth="1"/>
    <col min="6935" max="7169" width="9.140625" style="3"/>
    <col min="7170" max="7170" width="26" style="3" bestFit="1" customWidth="1"/>
    <col min="7171" max="7171" width="22.855468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16.7109375" style="3" bestFit="1" customWidth="1"/>
    <col min="7176" max="7178" width="5.5703125" style="3" bestFit="1" customWidth="1"/>
    <col min="7179" max="7179" width="4.85546875" style="3" bestFit="1" customWidth="1"/>
    <col min="7180" max="7182" width="5.5703125" style="3" bestFit="1" customWidth="1"/>
    <col min="7183" max="7183" width="4.85546875" style="3" bestFit="1" customWidth="1"/>
    <col min="7184" max="7186" width="5.5703125" style="3" bestFit="1" customWidth="1"/>
    <col min="7187" max="7187" width="4.85546875" style="3" bestFit="1" customWidth="1"/>
    <col min="7188" max="7188" width="7.85546875" style="3" bestFit="1" customWidth="1"/>
    <col min="7189" max="7189" width="8.5703125" style="3" bestFit="1" customWidth="1"/>
    <col min="7190" max="7190" width="8.85546875" style="3" bestFit="1" customWidth="1"/>
    <col min="7191" max="7425" width="9.140625" style="3"/>
    <col min="7426" max="7426" width="26" style="3" bestFit="1" customWidth="1"/>
    <col min="7427" max="7427" width="22.855468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16.7109375" style="3" bestFit="1" customWidth="1"/>
    <col min="7432" max="7434" width="5.5703125" style="3" bestFit="1" customWidth="1"/>
    <col min="7435" max="7435" width="4.85546875" style="3" bestFit="1" customWidth="1"/>
    <col min="7436" max="7438" width="5.5703125" style="3" bestFit="1" customWidth="1"/>
    <col min="7439" max="7439" width="4.85546875" style="3" bestFit="1" customWidth="1"/>
    <col min="7440" max="7442" width="5.5703125" style="3" bestFit="1" customWidth="1"/>
    <col min="7443" max="7443" width="4.85546875" style="3" bestFit="1" customWidth="1"/>
    <col min="7444" max="7444" width="7.85546875" style="3" bestFit="1" customWidth="1"/>
    <col min="7445" max="7445" width="8.5703125" style="3" bestFit="1" customWidth="1"/>
    <col min="7446" max="7446" width="8.85546875" style="3" bestFit="1" customWidth="1"/>
    <col min="7447" max="7681" width="9.140625" style="3"/>
    <col min="7682" max="7682" width="26" style="3" bestFit="1" customWidth="1"/>
    <col min="7683" max="7683" width="22.855468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16.7109375" style="3" bestFit="1" customWidth="1"/>
    <col min="7688" max="7690" width="5.5703125" style="3" bestFit="1" customWidth="1"/>
    <col min="7691" max="7691" width="4.85546875" style="3" bestFit="1" customWidth="1"/>
    <col min="7692" max="7694" width="5.5703125" style="3" bestFit="1" customWidth="1"/>
    <col min="7695" max="7695" width="4.85546875" style="3" bestFit="1" customWidth="1"/>
    <col min="7696" max="7698" width="5.5703125" style="3" bestFit="1" customWidth="1"/>
    <col min="7699" max="7699" width="4.85546875" style="3" bestFit="1" customWidth="1"/>
    <col min="7700" max="7700" width="7.85546875" style="3" bestFit="1" customWidth="1"/>
    <col min="7701" max="7701" width="8.5703125" style="3" bestFit="1" customWidth="1"/>
    <col min="7702" max="7702" width="8.85546875" style="3" bestFit="1" customWidth="1"/>
    <col min="7703" max="7937" width="9.140625" style="3"/>
    <col min="7938" max="7938" width="26" style="3" bestFit="1" customWidth="1"/>
    <col min="7939" max="7939" width="22.855468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16.7109375" style="3" bestFit="1" customWidth="1"/>
    <col min="7944" max="7946" width="5.5703125" style="3" bestFit="1" customWidth="1"/>
    <col min="7947" max="7947" width="4.85546875" style="3" bestFit="1" customWidth="1"/>
    <col min="7948" max="7950" width="5.5703125" style="3" bestFit="1" customWidth="1"/>
    <col min="7951" max="7951" width="4.85546875" style="3" bestFit="1" customWidth="1"/>
    <col min="7952" max="7954" width="5.5703125" style="3" bestFit="1" customWidth="1"/>
    <col min="7955" max="7955" width="4.85546875" style="3" bestFit="1" customWidth="1"/>
    <col min="7956" max="7956" width="7.85546875" style="3" bestFit="1" customWidth="1"/>
    <col min="7957" max="7957" width="8.5703125" style="3" bestFit="1" customWidth="1"/>
    <col min="7958" max="7958" width="8.85546875" style="3" bestFit="1" customWidth="1"/>
    <col min="7959" max="8193" width="9.140625" style="3"/>
    <col min="8194" max="8194" width="26" style="3" bestFit="1" customWidth="1"/>
    <col min="8195" max="8195" width="22.855468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16.7109375" style="3" bestFit="1" customWidth="1"/>
    <col min="8200" max="8202" width="5.5703125" style="3" bestFit="1" customWidth="1"/>
    <col min="8203" max="8203" width="4.85546875" style="3" bestFit="1" customWidth="1"/>
    <col min="8204" max="8206" width="5.5703125" style="3" bestFit="1" customWidth="1"/>
    <col min="8207" max="8207" width="4.85546875" style="3" bestFit="1" customWidth="1"/>
    <col min="8208" max="8210" width="5.5703125" style="3" bestFit="1" customWidth="1"/>
    <col min="8211" max="8211" width="4.85546875" style="3" bestFit="1" customWidth="1"/>
    <col min="8212" max="8212" width="7.85546875" style="3" bestFit="1" customWidth="1"/>
    <col min="8213" max="8213" width="8.5703125" style="3" bestFit="1" customWidth="1"/>
    <col min="8214" max="8214" width="8.85546875" style="3" bestFit="1" customWidth="1"/>
    <col min="8215" max="8449" width="9.140625" style="3"/>
    <col min="8450" max="8450" width="26" style="3" bestFit="1" customWidth="1"/>
    <col min="8451" max="8451" width="22.855468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16.7109375" style="3" bestFit="1" customWidth="1"/>
    <col min="8456" max="8458" width="5.5703125" style="3" bestFit="1" customWidth="1"/>
    <col min="8459" max="8459" width="4.85546875" style="3" bestFit="1" customWidth="1"/>
    <col min="8460" max="8462" width="5.5703125" style="3" bestFit="1" customWidth="1"/>
    <col min="8463" max="8463" width="4.85546875" style="3" bestFit="1" customWidth="1"/>
    <col min="8464" max="8466" width="5.5703125" style="3" bestFit="1" customWidth="1"/>
    <col min="8467" max="8467" width="4.85546875" style="3" bestFit="1" customWidth="1"/>
    <col min="8468" max="8468" width="7.85546875" style="3" bestFit="1" customWidth="1"/>
    <col min="8469" max="8469" width="8.5703125" style="3" bestFit="1" customWidth="1"/>
    <col min="8470" max="8470" width="8.85546875" style="3" bestFit="1" customWidth="1"/>
    <col min="8471" max="8705" width="9.140625" style="3"/>
    <col min="8706" max="8706" width="26" style="3" bestFit="1" customWidth="1"/>
    <col min="8707" max="8707" width="22.855468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16.7109375" style="3" bestFit="1" customWidth="1"/>
    <col min="8712" max="8714" width="5.5703125" style="3" bestFit="1" customWidth="1"/>
    <col min="8715" max="8715" width="4.85546875" style="3" bestFit="1" customWidth="1"/>
    <col min="8716" max="8718" width="5.5703125" style="3" bestFit="1" customWidth="1"/>
    <col min="8719" max="8719" width="4.85546875" style="3" bestFit="1" customWidth="1"/>
    <col min="8720" max="8722" width="5.5703125" style="3" bestFit="1" customWidth="1"/>
    <col min="8723" max="8723" width="4.85546875" style="3" bestFit="1" customWidth="1"/>
    <col min="8724" max="8724" width="7.85546875" style="3" bestFit="1" customWidth="1"/>
    <col min="8725" max="8725" width="8.5703125" style="3" bestFit="1" customWidth="1"/>
    <col min="8726" max="8726" width="8.85546875" style="3" bestFit="1" customWidth="1"/>
    <col min="8727" max="8961" width="9.140625" style="3"/>
    <col min="8962" max="8962" width="26" style="3" bestFit="1" customWidth="1"/>
    <col min="8963" max="8963" width="22.855468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16.7109375" style="3" bestFit="1" customWidth="1"/>
    <col min="8968" max="8970" width="5.5703125" style="3" bestFit="1" customWidth="1"/>
    <col min="8971" max="8971" width="4.85546875" style="3" bestFit="1" customWidth="1"/>
    <col min="8972" max="8974" width="5.5703125" style="3" bestFit="1" customWidth="1"/>
    <col min="8975" max="8975" width="4.85546875" style="3" bestFit="1" customWidth="1"/>
    <col min="8976" max="8978" width="5.5703125" style="3" bestFit="1" customWidth="1"/>
    <col min="8979" max="8979" width="4.85546875" style="3" bestFit="1" customWidth="1"/>
    <col min="8980" max="8980" width="7.85546875" style="3" bestFit="1" customWidth="1"/>
    <col min="8981" max="8981" width="8.5703125" style="3" bestFit="1" customWidth="1"/>
    <col min="8982" max="8982" width="8.85546875" style="3" bestFit="1" customWidth="1"/>
    <col min="8983" max="9217" width="9.140625" style="3"/>
    <col min="9218" max="9218" width="26" style="3" bestFit="1" customWidth="1"/>
    <col min="9219" max="9219" width="22.855468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16.7109375" style="3" bestFit="1" customWidth="1"/>
    <col min="9224" max="9226" width="5.5703125" style="3" bestFit="1" customWidth="1"/>
    <col min="9227" max="9227" width="4.85546875" style="3" bestFit="1" customWidth="1"/>
    <col min="9228" max="9230" width="5.5703125" style="3" bestFit="1" customWidth="1"/>
    <col min="9231" max="9231" width="4.85546875" style="3" bestFit="1" customWidth="1"/>
    <col min="9232" max="9234" width="5.5703125" style="3" bestFit="1" customWidth="1"/>
    <col min="9235" max="9235" width="4.85546875" style="3" bestFit="1" customWidth="1"/>
    <col min="9236" max="9236" width="7.85546875" style="3" bestFit="1" customWidth="1"/>
    <col min="9237" max="9237" width="8.5703125" style="3" bestFit="1" customWidth="1"/>
    <col min="9238" max="9238" width="8.85546875" style="3" bestFit="1" customWidth="1"/>
    <col min="9239" max="9473" width="9.140625" style="3"/>
    <col min="9474" max="9474" width="26" style="3" bestFit="1" customWidth="1"/>
    <col min="9475" max="9475" width="22.855468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16.7109375" style="3" bestFit="1" customWidth="1"/>
    <col min="9480" max="9482" width="5.5703125" style="3" bestFit="1" customWidth="1"/>
    <col min="9483" max="9483" width="4.85546875" style="3" bestFit="1" customWidth="1"/>
    <col min="9484" max="9486" width="5.5703125" style="3" bestFit="1" customWidth="1"/>
    <col min="9487" max="9487" width="4.85546875" style="3" bestFit="1" customWidth="1"/>
    <col min="9488" max="9490" width="5.5703125" style="3" bestFit="1" customWidth="1"/>
    <col min="9491" max="9491" width="4.85546875" style="3" bestFit="1" customWidth="1"/>
    <col min="9492" max="9492" width="7.85546875" style="3" bestFit="1" customWidth="1"/>
    <col min="9493" max="9493" width="8.5703125" style="3" bestFit="1" customWidth="1"/>
    <col min="9494" max="9494" width="8.85546875" style="3" bestFit="1" customWidth="1"/>
    <col min="9495" max="9729" width="9.140625" style="3"/>
    <col min="9730" max="9730" width="26" style="3" bestFit="1" customWidth="1"/>
    <col min="9731" max="9731" width="22.855468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16.7109375" style="3" bestFit="1" customWidth="1"/>
    <col min="9736" max="9738" width="5.5703125" style="3" bestFit="1" customWidth="1"/>
    <col min="9739" max="9739" width="4.85546875" style="3" bestFit="1" customWidth="1"/>
    <col min="9740" max="9742" width="5.5703125" style="3" bestFit="1" customWidth="1"/>
    <col min="9743" max="9743" width="4.85546875" style="3" bestFit="1" customWidth="1"/>
    <col min="9744" max="9746" width="5.5703125" style="3" bestFit="1" customWidth="1"/>
    <col min="9747" max="9747" width="4.85546875" style="3" bestFit="1" customWidth="1"/>
    <col min="9748" max="9748" width="7.85546875" style="3" bestFit="1" customWidth="1"/>
    <col min="9749" max="9749" width="8.5703125" style="3" bestFit="1" customWidth="1"/>
    <col min="9750" max="9750" width="8.85546875" style="3" bestFit="1" customWidth="1"/>
    <col min="9751" max="9985" width="9.140625" style="3"/>
    <col min="9986" max="9986" width="26" style="3" bestFit="1" customWidth="1"/>
    <col min="9987" max="9987" width="22.855468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16.7109375" style="3" bestFit="1" customWidth="1"/>
    <col min="9992" max="9994" width="5.5703125" style="3" bestFit="1" customWidth="1"/>
    <col min="9995" max="9995" width="4.85546875" style="3" bestFit="1" customWidth="1"/>
    <col min="9996" max="9998" width="5.5703125" style="3" bestFit="1" customWidth="1"/>
    <col min="9999" max="9999" width="4.85546875" style="3" bestFit="1" customWidth="1"/>
    <col min="10000" max="10002" width="5.5703125" style="3" bestFit="1" customWidth="1"/>
    <col min="10003" max="10003" width="4.85546875" style="3" bestFit="1" customWidth="1"/>
    <col min="10004" max="10004" width="7.85546875" style="3" bestFit="1" customWidth="1"/>
    <col min="10005" max="10005" width="8.5703125" style="3" bestFit="1" customWidth="1"/>
    <col min="10006" max="10006" width="8.85546875" style="3" bestFit="1" customWidth="1"/>
    <col min="10007" max="10241" width="9.140625" style="3"/>
    <col min="10242" max="10242" width="26" style="3" bestFit="1" customWidth="1"/>
    <col min="10243" max="10243" width="22.855468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16.7109375" style="3" bestFit="1" customWidth="1"/>
    <col min="10248" max="10250" width="5.5703125" style="3" bestFit="1" customWidth="1"/>
    <col min="10251" max="10251" width="4.85546875" style="3" bestFit="1" customWidth="1"/>
    <col min="10252" max="10254" width="5.5703125" style="3" bestFit="1" customWidth="1"/>
    <col min="10255" max="10255" width="4.85546875" style="3" bestFit="1" customWidth="1"/>
    <col min="10256" max="10258" width="5.5703125" style="3" bestFit="1" customWidth="1"/>
    <col min="10259" max="10259" width="4.85546875" style="3" bestFit="1" customWidth="1"/>
    <col min="10260" max="10260" width="7.85546875" style="3" bestFit="1" customWidth="1"/>
    <col min="10261" max="10261" width="8.5703125" style="3" bestFit="1" customWidth="1"/>
    <col min="10262" max="10262" width="8.85546875" style="3" bestFit="1" customWidth="1"/>
    <col min="10263" max="10497" width="9.140625" style="3"/>
    <col min="10498" max="10498" width="26" style="3" bestFit="1" customWidth="1"/>
    <col min="10499" max="10499" width="22.855468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16.7109375" style="3" bestFit="1" customWidth="1"/>
    <col min="10504" max="10506" width="5.5703125" style="3" bestFit="1" customWidth="1"/>
    <col min="10507" max="10507" width="4.85546875" style="3" bestFit="1" customWidth="1"/>
    <col min="10508" max="10510" width="5.5703125" style="3" bestFit="1" customWidth="1"/>
    <col min="10511" max="10511" width="4.85546875" style="3" bestFit="1" customWidth="1"/>
    <col min="10512" max="10514" width="5.5703125" style="3" bestFit="1" customWidth="1"/>
    <col min="10515" max="10515" width="4.85546875" style="3" bestFit="1" customWidth="1"/>
    <col min="10516" max="10516" width="7.85546875" style="3" bestFit="1" customWidth="1"/>
    <col min="10517" max="10517" width="8.5703125" style="3" bestFit="1" customWidth="1"/>
    <col min="10518" max="10518" width="8.85546875" style="3" bestFit="1" customWidth="1"/>
    <col min="10519" max="10753" width="9.140625" style="3"/>
    <col min="10754" max="10754" width="26" style="3" bestFit="1" customWidth="1"/>
    <col min="10755" max="10755" width="22.855468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16.7109375" style="3" bestFit="1" customWidth="1"/>
    <col min="10760" max="10762" width="5.5703125" style="3" bestFit="1" customWidth="1"/>
    <col min="10763" max="10763" width="4.85546875" style="3" bestFit="1" customWidth="1"/>
    <col min="10764" max="10766" width="5.5703125" style="3" bestFit="1" customWidth="1"/>
    <col min="10767" max="10767" width="4.85546875" style="3" bestFit="1" customWidth="1"/>
    <col min="10768" max="10770" width="5.5703125" style="3" bestFit="1" customWidth="1"/>
    <col min="10771" max="10771" width="4.85546875" style="3" bestFit="1" customWidth="1"/>
    <col min="10772" max="10772" width="7.85546875" style="3" bestFit="1" customWidth="1"/>
    <col min="10773" max="10773" width="8.5703125" style="3" bestFit="1" customWidth="1"/>
    <col min="10774" max="10774" width="8.85546875" style="3" bestFit="1" customWidth="1"/>
    <col min="10775" max="11009" width="9.140625" style="3"/>
    <col min="11010" max="11010" width="26" style="3" bestFit="1" customWidth="1"/>
    <col min="11011" max="11011" width="22.855468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16.7109375" style="3" bestFit="1" customWidth="1"/>
    <col min="11016" max="11018" width="5.5703125" style="3" bestFit="1" customWidth="1"/>
    <col min="11019" max="11019" width="4.85546875" style="3" bestFit="1" customWidth="1"/>
    <col min="11020" max="11022" width="5.5703125" style="3" bestFit="1" customWidth="1"/>
    <col min="11023" max="11023" width="4.85546875" style="3" bestFit="1" customWidth="1"/>
    <col min="11024" max="11026" width="5.5703125" style="3" bestFit="1" customWidth="1"/>
    <col min="11027" max="11027" width="4.85546875" style="3" bestFit="1" customWidth="1"/>
    <col min="11028" max="11028" width="7.85546875" style="3" bestFit="1" customWidth="1"/>
    <col min="11029" max="11029" width="8.5703125" style="3" bestFit="1" customWidth="1"/>
    <col min="11030" max="11030" width="8.85546875" style="3" bestFit="1" customWidth="1"/>
    <col min="11031" max="11265" width="9.140625" style="3"/>
    <col min="11266" max="11266" width="26" style="3" bestFit="1" customWidth="1"/>
    <col min="11267" max="11267" width="22.855468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16.7109375" style="3" bestFit="1" customWidth="1"/>
    <col min="11272" max="11274" width="5.5703125" style="3" bestFit="1" customWidth="1"/>
    <col min="11275" max="11275" width="4.85546875" style="3" bestFit="1" customWidth="1"/>
    <col min="11276" max="11278" width="5.5703125" style="3" bestFit="1" customWidth="1"/>
    <col min="11279" max="11279" width="4.85546875" style="3" bestFit="1" customWidth="1"/>
    <col min="11280" max="11282" width="5.5703125" style="3" bestFit="1" customWidth="1"/>
    <col min="11283" max="11283" width="4.85546875" style="3" bestFit="1" customWidth="1"/>
    <col min="11284" max="11284" width="7.85546875" style="3" bestFit="1" customWidth="1"/>
    <col min="11285" max="11285" width="8.5703125" style="3" bestFit="1" customWidth="1"/>
    <col min="11286" max="11286" width="8.85546875" style="3" bestFit="1" customWidth="1"/>
    <col min="11287" max="11521" width="9.140625" style="3"/>
    <col min="11522" max="11522" width="26" style="3" bestFit="1" customWidth="1"/>
    <col min="11523" max="11523" width="22.855468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16.7109375" style="3" bestFit="1" customWidth="1"/>
    <col min="11528" max="11530" width="5.5703125" style="3" bestFit="1" customWidth="1"/>
    <col min="11531" max="11531" width="4.85546875" style="3" bestFit="1" customWidth="1"/>
    <col min="11532" max="11534" width="5.5703125" style="3" bestFit="1" customWidth="1"/>
    <col min="11535" max="11535" width="4.85546875" style="3" bestFit="1" customWidth="1"/>
    <col min="11536" max="11538" width="5.5703125" style="3" bestFit="1" customWidth="1"/>
    <col min="11539" max="11539" width="4.85546875" style="3" bestFit="1" customWidth="1"/>
    <col min="11540" max="11540" width="7.85546875" style="3" bestFit="1" customWidth="1"/>
    <col min="11541" max="11541" width="8.5703125" style="3" bestFit="1" customWidth="1"/>
    <col min="11542" max="11542" width="8.85546875" style="3" bestFit="1" customWidth="1"/>
    <col min="11543" max="11777" width="9.140625" style="3"/>
    <col min="11778" max="11778" width="26" style="3" bestFit="1" customWidth="1"/>
    <col min="11779" max="11779" width="22.855468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16.7109375" style="3" bestFit="1" customWidth="1"/>
    <col min="11784" max="11786" width="5.5703125" style="3" bestFit="1" customWidth="1"/>
    <col min="11787" max="11787" width="4.85546875" style="3" bestFit="1" customWidth="1"/>
    <col min="11788" max="11790" width="5.5703125" style="3" bestFit="1" customWidth="1"/>
    <col min="11791" max="11791" width="4.85546875" style="3" bestFit="1" customWidth="1"/>
    <col min="11792" max="11794" width="5.5703125" style="3" bestFit="1" customWidth="1"/>
    <col min="11795" max="11795" width="4.85546875" style="3" bestFit="1" customWidth="1"/>
    <col min="11796" max="11796" width="7.85546875" style="3" bestFit="1" customWidth="1"/>
    <col min="11797" max="11797" width="8.5703125" style="3" bestFit="1" customWidth="1"/>
    <col min="11798" max="11798" width="8.85546875" style="3" bestFit="1" customWidth="1"/>
    <col min="11799" max="12033" width="9.140625" style="3"/>
    <col min="12034" max="12034" width="26" style="3" bestFit="1" customWidth="1"/>
    <col min="12035" max="12035" width="22.855468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16.7109375" style="3" bestFit="1" customWidth="1"/>
    <col min="12040" max="12042" width="5.5703125" style="3" bestFit="1" customWidth="1"/>
    <col min="12043" max="12043" width="4.85546875" style="3" bestFit="1" customWidth="1"/>
    <col min="12044" max="12046" width="5.5703125" style="3" bestFit="1" customWidth="1"/>
    <col min="12047" max="12047" width="4.85546875" style="3" bestFit="1" customWidth="1"/>
    <col min="12048" max="12050" width="5.5703125" style="3" bestFit="1" customWidth="1"/>
    <col min="12051" max="12051" width="4.85546875" style="3" bestFit="1" customWidth="1"/>
    <col min="12052" max="12052" width="7.85546875" style="3" bestFit="1" customWidth="1"/>
    <col min="12053" max="12053" width="8.5703125" style="3" bestFit="1" customWidth="1"/>
    <col min="12054" max="12054" width="8.85546875" style="3" bestFit="1" customWidth="1"/>
    <col min="12055" max="12289" width="9.140625" style="3"/>
    <col min="12290" max="12290" width="26" style="3" bestFit="1" customWidth="1"/>
    <col min="12291" max="12291" width="22.855468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16.7109375" style="3" bestFit="1" customWidth="1"/>
    <col min="12296" max="12298" width="5.5703125" style="3" bestFit="1" customWidth="1"/>
    <col min="12299" max="12299" width="4.85546875" style="3" bestFit="1" customWidth="1"/>
    <col min="12300" max="12302" width="5.5703125" style="3" bestFit="1" customWidth="1"/>
    <col min="12303" max="12303" width="4.85546875" style="3" bestFit="1" customWidth="1"/>
    <col min="12304" max="12306" width="5.5703125" style="3" bestFit="1" customWidth="1"/>
    <col min="12307" max="12307" width="4.85546875" style="3" bestFit="1" customWidth="1"/>
    <col min="12308" max="12308" width="7.85546875" style="3" bestFit="1" customWidth="1"/>
    <col min="12309" max="12309" width="8.5703125" style="3" bestFit="1" customWidth="1"/>
    <col min="12310" max="12310" width="8.85546875" style="3" bestFit="1" customWidth="1"/>
    <col min="12311" max="12545" width="9.140625" style="3"/>
    <col min="12546" max="12546" width="26" style="3" bestFit="1" customWidth="1"/>
    <col min="12547" max="12547" width="22.855468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16.7109375" style="3" bestFit="1" customWidth="1"/>
    <col min="12552" max="12554" width="5.5703125" style="3" bestFit="1" customWidth="1"/>
    <col min="12555" max="12555" width="4.85546875" style="3" bestFit="1" customWidth="1"/>
    <col min="12556" max="12558" width="5.5703125" style="3" bestFit="1" customWidth="1"/>
    <col min="12559" max="12559" width="4.85546875" style="3" bestFit="1" customWidth="1"/>
    <col min="12560" max="12562" width="5.5703125" style="3" bestFit="1" customWidth="1"/>
    <col min="12563" max="12563" width="4.85546875" style="3" bestFit="1" customWidth="1"/>
    <col min="12564" max="12564" width="7.85546875" style="3" bestFit="1" customWidth="1"/>
    <col min="12565" max="12565" width="8.5703125" style="3" bestFit="1" customWidth="1"/>
    <col min="12566" max="12566" width="8.85546875" style="3" bestFit="1" customWidth="1"/>
    <col min="12567" max="12801" width="9.140625" style="3"/>
    <col min="12802" max="12802" width="26" style="3" bestFit="1" customWidth="1"/>
    <col min="12803" max="12803" width="22.855468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16.7109375" style="3" bestFit="1" customWidth="1"/>
    <col min="12808" max="12810" width="5.5703125" style="3" bestFit="1" customWidth="1"/>
    <col min="12811" max="12811" width="4.85546875" style="3" bestFit="1" customWidth="1"/>
    <col min="12812" max="12814" width="5.5703125" style="3" bestFit="1" customWidth="1"/>
    <col min="12815" max="12815" width="4.85546875" style="3" bestFit="1" customWidth="1"/>
    <col min="12816" max="12818" width="5.5703125" style="3" bestFit="1" customWidth="1"/>
    <col min="12819" max="12819" width="4.85546875" style="3" bestFit="1" customWidth="1"/>
    <col min="12820" max="12820" width="7.85546875" style="3" bestFit="1" customWidth="1"/>
    <col min="12821" max="12821" width="8.5703125" style="3" bestFit="1" customWidth="1"/>
    <col min="12822" max="12822" width="8.85546875" style="3" bestFit="1" customWidth="1"/>
    <col min="12823" max="13057" width="9.140625" style="3"/>
    <col min="13058" max="13058" width="26" style="3" bestFit="1" customWidth="1"/>
    <col min="13059" max="13059" width="22.855468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16.7109375" style="3" bestFit="1" customWidth="1"/>
    <col min="13064" max="13066" width="5.5703125" style="3" bestFit="1" customWidth="1"/>
    <col min="13067" max="13067" width="4.85546875" style="3" bestFit="1" customWidth="1"/>
    <col min="13068" max="13070" width="5.5703125" style="3" bestFit="1" customWidth="1"/>
    <col min="13071" max="13071" width="4.85546875" style="3" bestFit="1" customWidth="1"/>
    <col min="13072" max="13074" width="5.5703125" style="3" bestFit="1" customWidth="1"/>
    <col min="13075" max="13075" width="4.85546875" style="3" bestFit="1" customWidth="1"/>
    <col min="13076" max="13076" width="7.85546875" style="3" bestFit="1" customWidth="1"/>
    <col min="13077" max="13077" width="8.5703125" style="3" bestFit="1" customWidth="1"/>
    <col min="13078" max="13078" width="8.85546875" style="3" bestFit="1" customWidth="1"/>
    <col min="13079" max="13313" width="9.140625" style="3"/>
    <col min="13314" max="13314" width="26" style="3" bestFit="1" customWidth="1"/>
    <col min="13315" max="13315" width="22.855468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16.7109375" style="3" bestFit="1" customWidth="1"/>
    <col min="13320" max="13322" width="5.5703125" style="3" bestFit="1" customWidth="1"/>
    <col min="13323" max="13323" width="4.85546875" style="3" bestFit="1" customWidth="1"/>
    <col min="13324" max="13326" width="5.5703125" style="3" bestFit="1" customWidth="1"/>
    <col min="13327" max="13327" width="4.85546875" style="3" bestFit="1" customWidth="1"/>
    <col min="13328" max="13330" width="5.5703125" style="3" bestFit="1" customWidth="1"/>
    <col min="13331" max="13331" width="4.85546875" style="3" bestFit="1" customWidth="1"/>
    <col min="13332" max="13332" width="7.85546875" style="3" bestFit="1" customWidth="1"/>
    <col min="13333" max="13333" width="8.5703125" style="3" bestFit="1" customWidth="1"/>
    <col min="13334" max="13334" width="8.85546875" style="3" bestFit="1" customWidth="1"/>
    <col min="13335" max="13569" width="9.140625" style="3"/>
    <col min="13570" max="13570" width="26" style="3" bestFit="1" customWidth="1"/>
    <col min="13571" max="13571" width="22.855468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16.7109375" style="3" bestFit="1" customWidth="1"/>
    <col min="13576" max="13578" width="5.5703125" style="3" bestFit="1" customWidth="1"/>
    <col min="13579" max="13579" width="4.85546875" style="3" bestFit="1" customWidth="1"/>
    <col min="13580" max="13582" width="5.5703125" style="3" bestFit="1" customWidth="1"/>
    <col min="13583" max="13583" width="4.85546875" style="3" bestFit="1" customWidth="1"/>
    <col min="13584" max="13586" width="5.5703125" style="3" bestFit="1" customWidth="1"/>
    <col min="13587" max="13587" width="4.85546875" style="3" bestFit="1" customWidth="1"/>
    <col min="13588" max="13588" width="7.85546875" style="3" bestFit="1" customWidth="1"/>
    <col min="13589" max="13589" width="8.5703125" style="3" bestFit="1" customWidth="1"/>
    <col min="13590" max="13590" width="8.85546875" style="3" bestFit="1" customWidth="1"/>
    <col min="13591" max="13825" width="9.140625" style="3"/>
    <col min="13826" max="13826" width="26" style="3" bestFit="1" customWidth="1"/>
    <col min="13827" max="13827" width="22.855468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16.7109375" style="3" bestFit="1" customWidth="1"/>
    <col min="13832" max="13834" width="5.5703125" style="3" bestFit="1" customWidth="1"/>
    <col min="13835" max="13835" width="4.85546875" style="3" bestFit="1" customWidth="1"/>
    <col min="13836" max="13838" width="5.5703125" style="3" bestFit="1" customWidth="1"/>
    <col min="13839" max="13839" width="4.85546875" style="3" bestFit="1" customWidth="1"/>
    <col min="13840" max="13842" width="5.5703125" style="3" bestFit="1" customWidth="1"/>
    <col min="13843" max="13843" width="4.85546875" style="3" bestFit="1" customWidth="1"/>
    <col min="13844" max="13844" width="7.85546875" style="3" bestFit="1" customWidth="1"/>
    <col min="13845" max="13845" width="8.5703125" style="3" bestFit="1" customWidth="1"/>
    <col min="13846" max="13846" width="8.85546875" style="3" bestFit="1" customWidth="1"/>
    <col min="13847" max="14081" width="9.140625" style="3"/>
    <col min="14082" max="14082" width="26" style="3" bestFit="1" customWidth="1"/>
    <col min="14083" max="14083" width="22.855468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16.7109375" style="3" bestFit="1" customWidth="1"/>
    <col min="14088" max="14090" width="5.5703125" style="3" bestFit="1" customWidth="1"/>
    <col min="14091" max="14091" width="4.85546875" style="3" bestFit="1" customWidth="1"/>
    <col min="14092" max="14094" width="5.5703125" style="3" bestFit="1" customWidth="1"/>
    <col min="14095" max="14095" width="4.85546875" style="3" bestFit="1" customWidth="1"/>
    <col min="14096" max="14098" width="5.5703125" style="3" bestFit="1" customWidth="1"/>
    <col min="14099" max="14099" width="4.85546875" style="3" bestFit="1" customWidth="1"/>
    <col min="14100" max="14100" width="7.85546875" style="3" bestFit="1" customWidth="1"/>
    <col min="14101" max="14101" width="8.5703125" style="3" bestFit="1" customWidth="1"/>
    <col min="14102" max="14102" width="8.85546875" style="3" bestFit="1" customWidth="1"/>
    <col min="14103" max="14337" width="9.140625" style="3"/>
    <col min="14338" max="14338" width="26" style="3" bestFit="1" customWidth="1"/>
    <col min="14339" max="14339" width="22.855468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16.7109375" style="3" bestFit="1" customWidth="1"/>
    <col min="14344" max="14346" width="5.5703125" style="3" bestFit="1" customWidth="1"/>
    <col min="14347" max="14347" width="4.85546875" style="3" bestFit="1" customWidth="1"/>
    <col min="14348" max="14350" width="5.5703125" style="3" bestFit="1" customWidth="1"/>
    <col min="14351" max="14351" width="4.85546875" style="3" bestFit="1" customWidth="1"/>
    <col min="14352" max="14354" width="5.5703125" style="3" bestFit="1" customWidth="1"/>
    <col min="14355" max="14355" width="4.85546875" style="3" bestFit="1" customWidth="1"/>
    <col min="14356" max="14356" width="7.85546875" style="3" bestFit="1" customWidth="1"/>
    <col min="14357" max="14357" width="8.5703125" style="3" bestFit="1" customWidth="1"/>
    <col min="14358" max="14358" width="8.85546875" style="3" bestFit="1" customWidth="1"/>
    <col min="14359" max="14593" width="9.140625" style="3"/>
    <col min="14594" max="14594" width="26" style="3" bestFit="1" customWidth="1"/>
    <col min="14595" max="14595" width="22.855468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16.7109375" style="3" bestFit="1" customWidth="1"/>
    <col min="14600" max="14602" width="5.5703125" style="3" bestFit="1" customWidth="1"/>
    <col min="14603" max="14603" width="4.85546875" style="3" bestFit="1" customWidth="1"/>
    <col min="14604" max="14606" width="5.5703125" style="3" bestFit="1" customWidth="1"/>
    <col min="14607" max="14607" width="4.85546875" style="3" bestFit="1" customWidth="1"/>
    <col min="14608" max="14610" width="5.5703125" style="3" bestFit="1" customWidth="1"/>
    <col min="14611" max="14611" width="4.85546875" style="3" bestFit="1" customWidth="1"/>
    <col min="14612" max="14612" width="7.85546875" style="3" bestFit="1" customWidth="1"/>
    <col min="14613" max="14613" width="8.5703125" style="3" bestFit="1" customWidth="1"/>
    <col min="14614" max="14614" width="8.85546875" style="3" bestFit="1" customWidth="1"/>
    <col min="14615" max="14849" width="9.140625" style="3"/>
    <col min="14850" max="14850" width="26" style="3" bestFit="1" customWidth="1"/>
    <col min="14851" max="14851" width="22.855468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16.7109375" style="3" bestFit="1" customWidth="1"/>
    <col min="14856" max="14858" width="5.5703125" style="3" bestFit="1" customWidth="1"/>
    <col min="14859" max="14859" width="4.85546875" style="3" bestFit="1" customWidth="1"/>
    <col min="14860" max="14862" width="5.5703125" style="3" bestFit="1" customWidth="1"/>
    <col min="14863" max="14863" width="4.85546875" style="3" bestFit="1" customWidth="1"/>
    <col min="14864" max="14866" width="5.5703125" style="3" bestFit="1" customWidth="1"/>
    <col min="14867" max="14867" width="4.85546875" style="3" bestFit="1" customWidth="1"/>
    <col min="14868" max="14868" width="7.85546875" style="3" bestFit="1" customWidth="1"/>
    <col min="14869" max="14869" width="8.5703125" style="3" bestFit="1" customWidth="1"/>
    <col min="14870" max="14870" width="8.85546875" style="3" bestFit="1" customWidth="1"/>
    <col min="14871" max="15105" width="9.140625" style="3"/>
    <col min="15106" max="15106" width="26" style="3" bestFit="1" customWidth="1"/>
    <col min="15107" max="15107" width="22.855468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16.7109375" style="3" bestFit="1" customWidth="1"/>
    <col min="15112" max="15114" width="5.5703125" style="3" bestFit="1" customWidth="1"/>
    <col min="15115" max="15115" width="4.85546875" style="3" bestFit="1" customWidth="1"/>
    <col min="15116" max="15118" width="5.5703125" style="3" bestFit="1" customWidth="1"/>
    <col min="15119" max="15119" width="4.85546875" style="3" bestFit="1" customWidth="1"/>
    <col min="15120" max="15122" width="5.5703125" style="3" bestFit="1" customWidth="1"/>
    <col min="15123" max="15123" width="4.85546875" style="3" bestFit="1" customWidth="1"/>
    <col min="15124" max="15124" width="7.85546875" style="3" bestFit="1" customWidth="1"/>
    <col min="15125" max="15125" width="8.5703125" style="3" bestFit="1" customWidth="1"/>
    <col min="15126" max="15126" width="8.85546875" style="3" bestFit="1" customWidth="1"/>
    <col min="15127" max="15361" width="9.140625" style="3"/>
    <col min="15362" max="15362" width="26" style="3" bestFit="1" customWidth="1"/>
    <col min="15363" max="15363" width="22.855468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16.7109375" style="3" bestFit="1" customWidth="1"/>
    <col min="15368" max="15370" width="5.5703125" style="3" bestFit="1" customWidth="1"/>
    <col min="15371" max="15371" width="4.85546875" style="3" bestFit="1" customWidth="1"/>
    <col min="15372" max="15374" width="5.5703125" style="3" bestFit="1" customWidth="1"/>
    <col min="15375" max="15375" width="4.85546875" style="3" bestFit="1" customWidth="1"/>
    <col min="15376" max="15378" width="5.5703125" style="3" bestFit="1" customWidth="1"/>
    <col min="15379" max="15379" width="4.85546875" style="3" bestFit="1" customWidth="1"/>
    <col min="15380" max="15380" width="7.85546875" style="3" bestFit="1" customWidth="1"/>
    <col min="15381" max="15381" width="8.5703125" style="3" bestFit="1" customWidth="1"/>
    <col min="15382" max="15382" width="8.85546875" style="3" bestFit="1" customWidth="1"/>
    <col min="15383" max="15617" width="9.140625" style="3"/>
    <col min="15618" max="15618" width="26" style="3" bestFit="1" customWidth="1"/>
    <col min="15619" max="15619" width="22.855468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16.7109375" style="3" bestFit="1" customWidth="1"/>
    <col min="15624" max="15626" width="5.5703125" style="3" bestFit="1" customWidth="1"/>
    <col min="15627" max="15627" width="4.85546875" style="3" bestFit="1" customWidth="1"/>
    <col min="15628" max="15630" width="5.5703125" style="3" bestFit="1" customWidth="1"/>
    <col min="15631" max="15631" width="4.85546875" style="3" bestFit="1" customWidth="1"/>
    <col min="15632" max="15634" width="5.5703125" style="3" bestFit="1" customWidth="1"/>
    <col min="15635" max="15635" width="4.85546875" style="3" bestFit="1" customWidth="1"/>
    <col min="15636" max="15636" width="7.85546875" style="3" bestFit="1" customWidth="1"/>
    <col min="15637" max="15637" width="8.5703125" style="3" bestFit="1" customWidth="1"/>
    <col min="15638" max="15638" width="8.85546875" style="3" bestFit="1" customWidth="1"/>
    <col min="15639" max="15873" width="9.140625" style="3"/>
    <col min="15874" max="15874" width="26" style="3" bestFit="1" customWidth="1"/>
    <col min="15875" max="15875" width="22.855468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16.7109375" style="3" bestFit="1" customWidth="1"/>
    <col min="15880" max="15882" width="5.5703125" style="3" bestFit="1" customWidth="1"/>
    <col min="15883" max="15883" width="4.85546875" style="3" bestFit="1" customWidth="1"/>
    <col min="15884" max="15886" width="5.5703125" style="3" bestFit="1" customWidth="1"/>
    <col min="15887" max="15887" width="4.85546875" style="3" bestFit="1" customWidth="1"/>
    <col min="15888" max="15890" width="5.5703125" style="3" bestFit="1" customWidth="1"/>
    <col min="15891" max="15891" width="4.85546875" style="3" bestFit="1" customWidth="1"/>
    <col min="15892" max="15892" width="7.85546875" style="3" bestFit="1" customWidth="1"/>
    <col min="15893" max="15893" width="8.5703125" style="3" bestFit="1" customWidth="1"/>
    <col min="15894" max="15894" width="8.85546875" style="3" bestFit="1" customWidth="1"/>
    <col min="15895" max="16129" width="9.140625" style="3"/>
    <col min="16130" max="16130" width="26" style="3" bestFit="1" customWidth="1"/>
    <col min="16131" max="16131" width="22.855468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16.7109375" style="3" bestFit="1" customWidth="1"/>
    <col min="16136" max="16138" width="5.5703125" style="3" bestFit="1" customWidth="1"/>
    <col min="16139" max="16139" width="4.85546875" style="3" bestFit="1" customWidth="1"/>
    <col min="16140" max="16142" width="5.5703125" style="3" bestFit="1" customWidth="1"/>
    <col min="16143" max="16143" width="4.85546875" style="3" bestFit="1" customWidth="1"/>
    <col min="16144" max="16146" width="5.5703125" style="3" bestFit="1" customWidth="1"/>
    <col min="16147" max="16147" width="4.85546875" style="3" bestFit="1" customWidth="1"/>
    <col min="16148" max="16148" width="7.85546875" style="3" bestFit="1" customWidth="1"/>
    <col min="16149" max="16149" width="8.5703125" style="3" bestFit="1" customWidth="1"/>
    <col min="16150" max="16150" width="8.85546875" style="3" bestFit="1" customWidth="1"/>
    <col min="16151" max="16384" width="9.140625" style="3"/>
  </cols>
  <sheetData>
    <row r="1" spans="1:22" s="2" customFormat="1" ht="29.1" customHeight="1" x14ac:dyDescent="0.2">
      <c r="A1" s="40" t="s">
        <v>1348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2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1000</v>
      </c>
      <c r="I3" s="37"/>
      <c r="J3" s="37"/>
      <c r="K3" s="37"/>
      <c r="L3" s="37" t="s">
        <v>1</v>
      </c>
      <c r="M3" s="37"/>
      <c r="N3" s="37"/>
      <c r="O3" s="37"/>
      <c r="P3" s="37" t="s">
        <v>295</v>
      </c>
      <c r="Q3" s="37"/>
      <c r="R3" s="37"/>
      <c r="S3" s="37"/>
      <c r="T3" s="37" t="s">
        <v>1001</v>
      </c>
      <c r="U3" s="37" t="s">
        <v>3</v>
      </c>
      <c r="V3" s="38" t="s">
        <v>2</v>
      </c>
    </row>
    <row r="4" spans="1:22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5">
        <v>1</v>
      </c>
      <c r="M4" s="5">
        <v>2</v>
      </c>
      <c r="N4" s="5">
        <v>3</v>
      </c>
      <c r="O4" s="5" t="s">
        <v>224</v>
      </c>
      <c r="P4" s="5">
        <v>1</v>
      </c>
      <c r="Q4" s="5">
        <v>2</v>
      </c>
      <c r="R4" s="5">
        <v>3</v>
      </c>
      <c r="S4" s="5" t="s">
        <v>224</v>
      </c>
      <c r="T4" s="36"/>
      <c r="U4" s="36"/>
      <c r="V4" s="39"/>
    </row>
    <row r="5" spans="1:22" ht="15" x14ac:dyDescent="0.2">
      <c r="A5" s="61" t="s">
        <v>50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x14ac:dyDescent="0.2">
      <c r="A6" s="6" t="s">
        <v>1349</v>
      </c>
      <c r="B6" s="6" t="s">
        <v>1443</v>
      </c>
      <c r="C6" s="6" t="s">
        <v>1350</v>
      </c>
      <c r="D6" s="6" t="s">
        <v>1351</v>
      </c>
      <c r="E6" s="6" t="str">
        <f>"0,6515"</f>
        <v>0,6515</v>
      </c>
      <c r="F6" s="6" t="s">
        <v>65</v>
      </c>
      <c r="G6" s="6" t="s">
        <v>66</v>
      </c>
      <c r="H6" s="7" t="s">
        <v>280</v>
      </c>
      <c r="I6" s="8" t="s">
        <v>280</v>
      </c>
      <c r="J6" s="8" t="s">
        <v>388</v>
      </c>
      <c r="K6" s="7"/>
      <c r="L6" s="8" t="s">
        <v>400</v>
      </c>
      <c r="M6" s="8" t="s">
        <v>269</v>
      </c>
      <c r="N6" s="7" t="s">
        <v>241</v>
      </c>
      <c r="O6" s="7"/>
      <c r="P6" s="8" t="s">
        <v>394</v>
      </c>
      <c r="Q6" s="8" t="s">
        <v>395</v>
      </c>
      <c r="R6" s="8" t="s">
        <v>405</v>
      </c>
      <c r="S6" s="7"/>
      <c r="T6" s="6" t="str">
        <f>"650,0"</f>
        <v>650,0</v>
      </c>
      <c r="U6" s="8" t="str">
        <f>"423,4750"</f>
        <v>423,4750</v>
      </c>
      <c r="V6" s="6"/>
    </row>
    <row r="8" spans="1:22" ht="15" x14ac:dyDescent="0.2">
      <c r="A8" s="62" t="s">
        <v>81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1:22" x14ac:dyDescent="0.2">
      <c r="A9" s="6" t="s">
        <v>1352</v>
      </c>
      <c r="B9" s="6" t="s">
        <v>1443</v>
      </c>
      <c r="C9" s="6" t="s">
        <v>192</v>
      </c>
      <c r="D9" s="6" t="s">
        <v>1353</v>
      </c>
      <c r="E9" s="6" t="str">
        <f>"0,5919"</f>
        <v>0,5919</v>
      </c>
      <c r="F9" s="6" t="s">
        <v>65</v>
      </c>
      <c r="G9" s="6" t="s">
        <v>66</v>
      </c>
      <c r="H9" s="8" t="s">
        <v>508</v>
      </c>
      <c r="I9" s="8" t="s">
        <v>395</v>
      </c>
      <c r="J9" s="7" t="s">
        <v>404</v>
      </c>
      <c r="K9" s="7"/>
      <c r="L9" s="8" t="s">
        <v>382</v>
      </c>
      <c r="M9" s="8" t="s">
        <v>270</v>
      </c>
      <c r="N9" s="8" t="s">
        <v>279</v>
      </c>
      <c r="O9" s="7"/>
      <c r="P9" s="8" t="s">
        <v>496</v>
      </c>
      <c r="Q9" s="8" t="s">
        <v>1270</v>
      </c>
      <c r="R9" s="7" t="s">
        <v>1354</v>
      </c>
      <c r="S9" s="7"/>
      <c r="T9" s="6" t="str">
        <f>"760,0"</f>
        <v>760,0</v>
      </c>
      <c r="U9" s="8" t="str">
        <f>"449,8440"</f>
        <v>449,8440</v>
      </c>
      <c r="V9" s="6" t="s">
        <v>62</v>
      </c>
    </row>
    <row r="11" spans="1:22" ht="15" x14ac:dyDescent="0.2">
      <c r="F11" s="17" t="s">
        <v>96</v>
      </c>
    </row>
    <row r="12" spans="1:22" ht="15" x14ac:dyDescent="0.2">
      <c r="F12" s="17" t="s">
        <v>97</v>
      </c>
    </row>
    <row r="13" spans="1:22" ht="15" x14ac:dyDescent="0.2">
      <c r="F13" s="17" t="s">
        <v>98</v>
      </c>
    </row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6">
    <mergeCell ref="A5:U5"/>
    <mergeCell ref="A8:U8"/>
    <mergeCell ref="B3:B4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3"/>
  <sheetViews>
    <sheetView topLeftCell="A7" zoomScale="80" zoomScaleNormal="80" workbookViewId="0">
      <selection activeCell="A29" sqref="A29:L29"/>
    </sheetView>
  </sheetViews>
  <sheetFormatPr defaultRowHeight="12.75" x14ac:dyDescent="0.2"/>
  <cols>
    <col min="1" max="1" width="26" style="4" bestFit="1" customWidth="1"/>
    <col min="2" max="2" width="12.85546875" style="4" customWidth="1"/>
    <col min="3" max="3" width="28.570312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5.7109375" style="4" bestFit="1" customWidth="1"/>
    <col min="8" max="8" width="5.5703125" style="3" bestFit="1" customWidth="1"/>
    <col min="9" max="9" width="10.7109375" style="3" customWidth="1"/>
    <col min="10" max="10" width="10.85546875" style="4" customWidth="1"/>
    <col min="11" max="11" width="9.5703125" style="3" bestFit="1" customWidth="1"/>
    <col min="12" max="12" width="26.85546875" style="4" bestFit="1" customWidth="1"/>
    <col min="13" max="16384" width="9.140625" style="3"/>
  </cols>
  <sheetData>
    <row r="1" spans="1:12" s="2" customFormat="1" ht="29.1" customHeight="1" x14ac:dyDescent="0.2">
      <c r="A1" s="40" t="s">
        <v>218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8</v>
      </c>
      <c r="F3" s="37" t="s">
        <v>4</v>
      </c>
      <c r="G3" s="37" t="s">
        <v>6</v>
      </c>
      <c r="H3" s="37" t="s">
        <v>1</v>
      </c>
      <c r="I3" s="37"/>
      <c r="J3" s="37" t="s">
        <v>115</v>
      </c>
      <c r="K3" s="37" t="s">
        <v>3</v>
      </c>
      <c r="L3" s="38" t="s">
        <v>2</v>
      </c>
    </row>
    <row r="4" spans="1:12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 t="s">
        <v>219</v>
      </c>
      <c r="I4" s="5" t="s">
        <v>220</v>
      </c>
      <c r="J4" s="36"/>
      <c r="K4" s="36"/>
      <c r="L4" s="39"/>
    </row>
    <row r="5" spans="1:12" ht="15" x14ac:dyDescent="0.2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x14ac:dyDescent="0.2">
      <c r="A6" s="6" t="s">
        <v>116</v>
      </c>
      <c r="B6" s="6" t="s">
        <v>1436</v>
      </c>
      <c r="C6" s="6" t="s">
        <v>117</v>
      </c>
      <c r="D6" s="6" t="s">
        <v>118</v>
      </c>
      <c r="E6" s="6" t="str">
        <f>"0,8236"</f>
        <v>0,8236</v>
      </c>
      <c r="F6" s="6" t="s">
        <v>65</v>
      </c>
      <c r="G6" s="6" t="s">
        <v>66</v>
      </c>
      <c r="H6" s="8" t="s">
        <v>119</v>
      </c>
      <c r="I6" s="8" t="s">
        <v>120</v>
      </c>
      <c r="J6" s="6" t="str">
        <f>"812,5"</f>
        <v>812,5</v>
      </c>
      <c r="K6" s="8" t="str">
        <f>"669,1750"</f>
        <v>669,1750</v>
      </c>
      <c r="L6" s="6" t="s">
        <v>62</v>
      </c>
    </row>
    <row r="8" spans="1:12" ht="15" x14ac:dyDescent="0.2">
      <c r="A8" s="32" t="s">
        <v>19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A9" s="9" t="s">
        <v>121</v>
      </c>
      <c r="B9" s="9" t="s">
        <v>1437</v>
      </c>
      <c r="C9" s="9" t="s">
        <v>122</v>
      </c>
      <c r="D9" s="9" t="s">
        <v>123</v>
      </c>
      <c r="E9" s="9" t="str">
        <f>"0,7042"</f>
        <v>0,7042</v>
      </c>
      <c r="F9" s="9" t="s">
        <v>65</v>
      </c>
      <c r="G9" s="9" t="s">
        <v>66</v>
      </c>
      <c r="H9" s="10" t="s">
        <v>106</v>
      </c>
      <c r="I9" s="10" t="s">
        <v>124</v>
      </c>
      <c r="J9" s="9" t="str">
        <f>"2100,0"</f>
        <v>2100,0</v>
      </c>
      <c r="K9" s="10" t="str">
        <f>"1478,7150"</f>
        <v>1478,7150</v>
      </c>
      <c r="L9" s="9" t="s">
        <v>125</v>
      </c>
    </row>
    <row r="10" spans="1:12" x14ac:dyDescent="0.2">
      <c r="A10" s="14" t="s">
        <v>126</v>
      </c>
      <c r="B10" s="14" t="s">
        <v>1438</v>
      </c>
      <c r="C10" s="14" t="s">
        <v>127</v>
      </c>
      <c r="D10" s="14" t="s">
        <v>128</v>
      </c>
      <c r="E10" s="14" t="str">
        <f>"0,7012"</f>
        <v>0,7012</v>
      </c>
      <c r="F10" s="14" t="s">
        <v>14</v>
      </c>
      <c r="G10" s="14" t="s">
        <v>15</v>
      </c>
      <c r="H10" s="16" t="s">
        <v>106</v>
      </c>
      <c r="I10" s="16" t="s">
        <v>129</v>
      </c>
      <c r="J10" s="14" t="str">
        <f>"1275,0"</f>
        <v>1275,0</v>
      </c>
      <c r="K10" s="16" t="str">
        <f>"893,9663"</f>
        <v>893,9663</v>
      </c>
      <c r="L10" s="14" t="s">
        <v>62</v>
      </c>
    </row>
    <row r="12" spans="1:12" ht="15" x14ac:dyDescent="0.2">
      <c r="A12" s="32" t="s">
        <v>26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x14ac:dyDescent="0.2">
      <c r="A13" s="6" t="s">
        <v>130</v>
      </c>
      <c r="B13" s="6" t="s">
        <v>1441</v>
      </c>
      <c r="C13" s="6" t="s">
        <v>131</v>
      </c>
      <c r="D13" s="6" t="s">
        <v>132</v>
      </c>
      <c r="E13" s="6" t="str">
        <f>"0,6646"</f>
        <v>0,6646</v>
      </c>
      <c r="F13" s="6" t="s">
        <v>14</v>
      </c>
      <c r="G13" s="6" t="s">
        <v>133</v>
      </c>
      <c r="H13" s="8" t="s">
        <v>32</v>
      </c>
      <c r="I13" s="8" t="s">
        <v>134</v>
      </c>
      <c r="J13" s="6" t="str">
        <f>"1440,0"</f>
        <v>1440,0</v>
      </c>
      <c r="K13" s="8" t="str">
        <f>"1152,2569"</f>
        <v>1152,2569</v>
      </c>
      <c r="L13" s="6" t="s">
        <v>34</v>
      </c>
    </row>
    <row r="15" spans="1:12" ht="15" x14ac:dyDescent="0.2">
      <c r="A15" s="32" t="s">
        <v>50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x14ac:dyDescent="0.2">
      <c r="A16" s="9" t="s">
        <v>135</v>
      </c>
      <c r="B16" s="9" t="s">
        <v>1442</v>
      </c>
      <c r="C16" s="9" t="s">
        <v>136</v>
      </c>
      <c r="D16" s="9" t="s">
        <v>137</v>
      </c>
      <c r="E16" s="9" t="str">
        <f>"0,6161"</f>
        <v>0,6161</v>
      </c>
      <c r="F16" s="9" t="s">
        <v>65</v>
      </c>
      <c r="G16" s="9" t="s">
        <v>66</v>
      </c>
      <c r="H16" s="10" t="s">
        <v>68</v>
      </c>
      <c r="I16" s="10" t="s">
        <v>138</v>
      </c>
      <c r="J16" s="9" t="str">
        <f>"2610,0"</f>
        <v>2610,0</v>
      </c>
      <c r="K16" s="10" t="str">
        <f>"1607,8905"</f>
        <v>1607,8905</v>
      </c>
      <c r="L16" s="9" t="s">
        <v>139</v>
      </c>
    </row>
    <row r="17" spans="1:12" x14ac:dyDescent="0.2">
      <c r="A17" s="11" t="s">
        <v>141</v>
      </c>
      <c r="B17" s="11" t="s">
        <v>1443</v>
      </c>
      <c r="C17" s="11" t="s">
        <v>142</v>
      </c>
      <c r="D17" s="11" t="s">
        <v>143</v>
      </c>
      <c r="E17" s="11" t="str">
        <f>"0,6263"</f>
        <v>0,6263</v>
      </c>
      <c r="F17" s="11" t="s">
        <v>65</v>
      </c>
      <c r="G17" s="11" t="s">
        <v>66</v>
      </c>
      <c r="H17" s="13" t="s">
        <v>55</v>
      </c>
      <c r="I17" s="13" t="s">
        <v>144</v>
      </c>
      <c r="J17" s="11" t="str">
        <f>"2887,5"</f>
        <v>2887,5</v>
      </c>
      <c r="K17" s="13" t="str">
        <f>"1808,5856"</f>
        <v>1808,5856</v>
      </c>
      <c r="L17" s="11" t="s">
        <v>145</v>
      </c>
    </row>
    <row r="18" spans="1:12" x14ac:dyDescent="0.2">
      <c r="A18" s="11" t="s">
        <v>146</v>
      </c>
      <c r="B18" s="11" t="s">
        <v>1441</v>
      </c>
      <c r="C18" s="11" t="s">
        <v>147</v>
      </c>
      <c r="D18" s="11" t="s">
        <v>148</v>
      </c>
      <c r="E18" s="11" t="str">
        <f>"0,6181"</f>
        <v>0,6181</v>
      </c>
      <c r="F18" s="11" t="s">
        <v>65</v>
      </c>
      <c r="G18" s="11" t="s">
        <v>66</v>
      </c>
      <c r="H18" s="13" t="s">
        <v>68</v>
      </c>
      <c r="I18" s="13" t="s">
        <v>134</v>
      </c>
      <c r="J18" s="11" t="str">
        <f>"1620,0"</f>
        <v>1620,0</v>
      </c>
      <c r="K18" s="13" t="str">
        <f>"1001,3220"</f>
        <v>1001,3220</v>
      </c>
      <c r="L18" s="11" t="s">
        <v>34</v>
      </c>
    </row>
    <row r="19" spans="1:12" x14ac:dyDescent="0.2">
      <c r="A19" s="14" t="s">
        <v>149</v>
      </c>
      <c r="B19" s="14" t="s">
        <v>1443</v>
      </c>
      <c r="C19" s="14" t="s">
        <v>150</v>
      </c>
      <c r="D19" s="14" t="s">
        <v>151</v>
      </c>
      <c r="E19" s="14" t="str">
        <f>"0,6217"</f>
        <v>0,6217</v>
      </c>
      <c r="F19" s="14" t="s">
        <v>14</v>
      </c>
      <c r="G19" s="14" t="s">
        <v>152</v>
      </c>
      <c r="H19" s="16" t="s">
        <v>55</v>
      </c>
      <c r="I19" s="16" t="s">
        <v>153</v>
      </c>
      <c r="J19" s="14" t="str">
        <f>"2712,5"</f>
        <v>2712,5</v>
      </c>
      <c r="K19" s="16" t="str">
        <f>"1824,7896"</f>
        <v>1824,7896</v>
      </c>
      <c r="L19" s="14" t="s">
        <v>62</v>
      </c>
    </row>
    <row r="21" spans="1:12" ht="15" x14ac:dyDescent="0.2">
      <c r="A21" s="32" t="s">
        <v>70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x14ac:dyDescent="0.2">
      <c r="A22" s="9" t="s">
        <v>155</v>
      </c>
      <c r="B22" s="9" t="s">
        <v>1443</v>
      </c>
      <c r="C22" s="9" t="s">
        <v>156</v>
      </c>
      <c r="D22" s="9" t="s">
        <v>157</v>
      </c>
      <c r="E22" s="9" t="str">
        <f>"0,6029"</f>
        <v>0,6029</v>
      </c>
      <c r="F22" s="9" t="s">
        <v>65</v>
      </c>
      <c r="G22" s="9" t="s">
        <v>66</v>
      </c>
      <c r="H22" s="10" t="s">
        <v>74</v>
      </c>
      <c r="I22" s="10" t="s">
        <v>158</v>
      </c>
      <c r="J22" s="9" t="str">
        <f>"2960,0"</f>
        <v>2960,0</v>
      </c>
      <c r="K22" s="10" t="str">
        <f>"1784,7319"</f>
        <v>1784,7319</v>
      </c>
      <c r="L22" s="9" t="s">
        <v>159</v>
      </c>
    </row>
    <row r="23" spans="1:12" x14ac:dyDescent="0.2">
      <c r="A23" s="11" t="s">
        <v>155</v>
      </c>
      <c r="B23" s="11" t="s">
        <v>1443</v>
      </c>
      <c r="C23" s="11" t="s">
        <v>160</v>
      </c>
      <c r="D23" s="11" t="s">
        <v>157</v>
      </c>
      <c r="E23" s="11" t="str">
        <f>"0,6029"</f>
        <v>0,6029</v>
      </c>
      <c r="F23" s="11" t="s">
        <v>65</v>
      </c>
      <c r="G23" s="11" t="s">
        <v>66</v>
      </c>
      <c r="H23" s="13" t="s">
        <v>74</v>
      </c>
      <c r="I23" s="13" t="s">
        <v>158</v>
      </c>
      <c r="J23" s="11" t="str">
        <f>"2960,0"</f>
        <v>2960,0</v>
      </c>
      <c r="K23" s="13" t="str">
        <f>"1784,7319"</f>
        <v>1784,7319</v>
      </c>
      <c r="L23" s="11" t="s">
        <v>159</v>
      </c>
    </row>
    <row r="24" spans="1:12" x14ac:dyDescent="0.2">
      <c r="A24" s="11" t="s">
        <v>161</v>
      </c>
      <c r="B24" s="11" t="s">
        <v>1437</v>
      </c>
      <c r="C24" s="11" t="s">
        <v>162</v>
      </c>
      <c r="D24" s="11" t="s">
        <v>163</v>
      </c>
      <c r="E24" s="11" t="str">
        <f>"0,5870"</f>
        <v>0,5870</v>
      </c>
      <c r="F24" s="11" t="s">
        <v>65</v>
      </c>
      <c r="G24" s="11" t="s">
        <v>66</v>
      </c>
      <c r="H24" s="13" t="s">
        <v>114</v>
      </c>
      <c r="I24" s="13" t="s">
        <v>80</v>
      </c>
      <c r="J24" s="11" t="str">
        <f>"2100,0"</f>
        <v>2100,0</v>
      </c>
      <c r="K24" s="13" t="str">
        <f>"1232,5950"</f>
        <v>1232,5950</v>
      </c>
      <c r="L24" s="11" t="s">
        <v>62</v>
      </c>
    </row>
    <row r="25" spans="1:12" x14ac:dyDescent="0.2">
      <c r="A25" s="11" t="s">
        <v>165</v>
      </c>
      <c r="B25" s="11" t="s">
        <v>1437</v>
      </c>
      <c r="C25" s="11" t="s">
        <v>166</v>
      </c>
      <c r="D25" s="11" t="s">
        <v>167</v>
      </c>
      <c r="E25" s="11" t="str">
        <f>"0,5850"</f>
        <v>0,5850</v>
      </c>
      <c r="F25" s="11" t="s">
        <v>65</v>
      </c>
      <c r="G25" s="11" t="s">
        <v>66</v>
      </c>
      <c r="H25" s="13" t="s">
        <v>114</v>
      </c>
      <c r="I25" s="13" t="s">
        <v>168</v>
      </c>
      <c r="J25" s="11" t="str">
        <f>"2000,0"</f>
        <v>2000,0</v>
      </c>
      <c r="K25" s="13" t="str">
        <f>"1249,6668"</f>
        <v>1249,6668</v>
      </c>
      <c r="L25" s="11" t="s">
        <v>169</v>
      </c>
    </row>
    <row r="27" spans="1:12" ht="15" x14ac:dyDescent="0.2">
      <c r="A27" s="32" t="s">
        <v>81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x14ac:dyDescent="0.2">
      <c r="A28" s="9" t="s">
        <v>172</v>
      </c>
      <c r="B28" s="9" t="s">
        <v>1444</v>
      </c>
      <c r="C28" s="9" t="s">
        <v>173</v>
      </c>
      <c r="D28" s="9" t="s">
        <v>174</v>
      </c>
      <c r="E28" s="9" t="str">
        <f>"0,5781"</f>
        <v>0,5781</v>
      </c>
      <c r="F28" s="9" t="s">
        <v>65</v>
      </c>
      <c r="G28" s="9" t="s">
        <v>66</v>
      </c>
      <c r="H28" s="10" t="s">
        <v>175</v>
      </c>
      <c r="I28" s="10" t="s">
        <v>144</v>
      </c>
      <c r="J28" s="9" t="str">
        <f>"3382,5"</f>
        <v>3382,5</v>
      </c>
      <c r="K28" s="10" t="str">
        <f>"1955,2542"</f>
        <v>1955,2542</v>
      </c>
      <c r="L28" s="9" t="s">
        <v>62</v>
      </c>
    </row>
    <row r="29" spans="1:12" x14ac:dyDescent="0.2">
      <c r="A29" s="14" t="s">
        <v>176</v>
      </c>
      <c r="B29" s="14" t="s">
        <v>1442</v>
      </c>
      <c r="C29" s="14" t="s">
        <v>177</v>
      </c>
      <c r="D29" s="14" t="s">
        <v>178</v>
      </c>
      <c r="E29" s="14" t="str">
        <f>"0,5684"</f>
        <v>0,5684</v>
      </c>
      <c r="F29" s="14" t="s">
        <v>65</v>
      </c>
      <c r="G29" s="14" t="s">
        <v>66</v>
      </c>
      <c r="H29" s="16" t="s">
        <v>179</v>
      </c>
      <c r="I29" s="16" t="s">
        <v>180</v>
      </c>
      <c r="J29" s="14" t="str">
        <f>"2580,0"</f>
        <v>2580,0</v>
      </c>
      <c r="K29" s="16" t="str">
        <f>"1466,6009"</f>
        <v>1466,6009</v>
      </c>
      <c r="L29" s="14" t="s">
        <v>181</v>
      </c>
    </row>
    <row r="31" spans="1:12" ht="15" x14ac:dyDescent="0.2">
      <c r="F31" s="17" t="s">
        <v>96</v>
      </c>
    </row>
    <row r="32" spans="1:12" ht="15" x14ac:dyDescent="0.2">
      <c r="F32" s="17" t="s">
        <v>97</v>
      </c>
    </row>
    <row r="33" spans="1:12" ht="15" x14ac:dyDescent="0.2">
      <c r="F33" s="17" t="s">
        <v>98</v>
      </c>
    </row>
    <row r="34" spans="1:12" ht="15" x14ac:dyDescent="0.2">
      <c r="F34" s="17"/>
    </row>
    <row r="36" spans="1:12" ht="18" x14ac:dyDescent="0.25">
      <c r="A36" s="18" t="s">
        <v>99</v>
      </c>
      <c r="B36" s="18"/>
      <c r="C36" s="18"/>
    </row>
    <row r="37" spans="1:12" ht="15" x14ac:dyDescent="0.2">
      <c r="A37" s="19" t="s">
        <v>100</v>
      </c>
      <c r="B37" s="19"/>
      <c r="C37" s="19"/>
    </row>
    <row r="38" spans="1:12" ht="14.25" x14ac:dyDescent="0.2">
      <c r="A38" s="21"/>
      <c r="B38" s="21"/>
      <c r="C38" s="22" t="s">
        <v>107</v>
      </c>
    </row>
    <row r="39" spans="1:12" ht="15" x14ac:dyDescent="0.2">
      <c r="A39" s="23" t="s">
        <v>101</v>
      </c>
      <c r="B39" s="23"/>
      <c r="C39" s="23" t="s">
        <v>102</v>
      </c>
      <c r="D39" s="23" t="s">
        <v>103</v>
      </c>
      <c r="E39" s="23" t="s">
        <v>104</v>
      </c>
      <c r="F39" s="23" t="s">
        <v>105</v>
      </c>
    </row>
    <row r="40" spans="1:12" x14ac:dyDescent="0.2">
      <c r="A40" s="20" t="s">
        <v>171</v>
      </c>
      <c r="B40" s="20"/>
      <c r="C40" s="4" t="s">
        <v>107</v>
      </c>
      <c r="D40" s="4" t="s">
        <v>83</v>
      </c>
      <c r="E40" s="4" t="s">
        <v>186</v>
      </c>
      <c r="F40" s="24" t="s">
        <v>187</v>
      </c>
    </row>
    <row r="41" spans="1:12" x14ac:dyDescent="0.2">
      <c r="A41" s="20" t="s">
        <v>140</v>
      </c>
      <c r="B41" s="20"/>
      <c r="C41" s="4" t="s">
        <v>107</v>
      </c>
      <c r="D41" s="4" t="s">
        <v>68</v>
      </c>
      <c r="E41" s="4" t="s">
        <v>188</v>
      </c>
      <c r="F41" s="24" t="s">
        <v>189</v>
      </c>
    </row>
    <row r="42" spans="1:12" x14ac:dyDescent="0.2">
      <c r="A42" s="20" t="s">
        <v>154</v>
      </c>
      <c r="B42" s="20"/>
      <c r="C42" s="4" t="s">
        <v>107</v>
      </c>
      <c r="D42" s="4" t="s">
        <v>114</v>
      </c>
      <c r="E42" s="4" t="s">
        <v>184</v>
      </c>
      <c r="F42" s="24" t="s">
        <v>185</v>
      </c>
      <c r="G42" s="3"/>
      <c r="J42" s="3"/>
      <c r="L42" s="3"/>
    </row>
    <row r="43" spans="1:12" x14ac:dyDescent="0.2">
      <c r="G43" s="3"/>
      <c r="J43" s="3"/>
      <c r="L43" s="3"/>
    </row>
    <row r="44" spans="1:12" x14ac:dyDescent="0.2">
      <c r="G44" s="3"/>
      <c r="J44" s="3"/>
      <c r="L44" s="3"/>
    </row>
    <row r="45" spans="1:12" x14ac:dyDescent="0.2">
      <c r="G45" s="3"/>
      <c r="J45" s="3"/>
      <c r="L45" s="3"/>
    </row>
    <row r="46" spans="1:12" x14ac:dyDescent="0.2">
      <c r="G46" s="3"/>
      <c r="J46" s="3"/>
      <c r="L46" s="3"/>
    </row>
    <row r="47" spans="1:12" x14ac:dyDescent="0.2">
      <c r="G47" s="3"/>
      <c r="J47" s="3"/>
      <c r="L47" s="3"/>
    </row>
    <row r="48" spans="1:12" x14ac:dyDescent="0.2">
      <c r="G48" s="3"/>
      <c r="J48" s="3"/>
      <c r="L48" s="3"/>
    </row>
    <row r="49" spans="1:12" x14ac:dyDescent="0.2">
      <c r="G49" s="3"/>
      <c r="J49" s="3"/>
      <c r="L49" s="3"/>
    </row>
    <row r="50" spans="1:12" x14ac:dyDescent="0.2">
      <c r="G50" s="3"/>
      <c r="J50" s="3"/>
      <c r="L50" s="3"/>
    </row>
    <row r="51" spans="1:12" x14ac:dyDescent="0.2">
      <c r="G51" s="3"/>
      <c r="J51" s="3"/>
      <c r="L51" s="3"/>
    </row>
    <row r="52" spans="1:12" x14ac:dyDescent="0.2">
      <c r="G52" s="3"/>
      <c r="J52" s="3"/>
      <c r="L52" s="3"/>
    </row>
    <row r="53" spans="1:12" x14ac:dyDescent="0.2">
      <c r="G53" s="3"/>
      <c r="J53" s="3"/>
      <c r="L53" s="3"/>
    </row>
    <row r="54" spans="1:12" x14ac:dyDescent="0.2">
      <c r="G54" s="3"/>
      <c r="J54" s="3"/>
      <c r="L54" s="3"/>
    </row>
    <row r="55" spans="1:12" x14ac:dyDescent="0.2">
      <c r="G55" s="3"/>
      <c r="J55" s="3"/>
      <c r="L55" s="3"/>
    </row>
    <row r="56" spans="1:12" x14ac:dyDescent="0.2">
      <c r="G56" s="3"/>
      <c r="J56" s="3"/>
      <c r="L56" s="3"/>
    </row>
    <row r="57" spans="1:12" x14ac:dyDescent="0.2">
      <c r="G57" s="3"/>
      <c r="J57" s="3"/>
      <c r="L57" s="3"/>
    </row>
    <row r="58" spans="1:12" x14ac:dyDescent="0.2">
      <c r="A58" s="3"/>
      <c r="B58" s="3"/>
      <c r="C58" s="3"/>
      <c r="D58" s="3"/>
      <c r="E58" s="3"/>
      <c r="F58" s="3"/>
      <c r="G58" s="3"/>
      <c r="J58" s="3"/>
      <c r="L58" s="3"/>
    </row>
    <row r="59" spans="1:12" x14ac:dyDescent="0.2">
      <c r="A59" s="3"/>
      <c r="B59" s="3"/>
      <c r="C59" s="3"/>
      <c r="D59" s="3"/>
      <c r="E59" s="3"/>
      <c r="F59" s="3"/>
      <c r="G59" s="3"/>
      <c r="J59" s="3"/>
      <c r="L59" s="3"/>
    </row>
    <row r="60" spans="1:12" x14ac:dyDescent="0.2">
      <c r="A60" s="3"/>
      <c r="B60" s="3"/>
      <c r="C60" s="3"/>
      <c r="D60" s="3"/>
      <c r="E60" s="3"/>
      <c r="F60" s="3"/>
      <c r="G60" s="3"/>
      <c r="J60" s="3"/>
      <c r="L60" s="3"/>
    </row>
    <row r="61" spans="1:12" x14ac:dyDescent="0.2">
      <c r="A61" s="3"/>
      <c r="B61" s="3"/>
      <c r="C61" s="3"/>
      <c r="D61" s="3"/>
      <c r="E61" s="3"/>
      <c r="F61" s="3"/>
      <c r="G61" s="3"/>
      <c r="J61" s="3"/>
      <c r="L61" s="3"/>
    </row>
    <row r="62" spans="1:12" x14ac:dyDescent="0.2">
      <c r="A62" s="3"/>
      <c r="B62" s="3"/>
      <c r="C62" s="3"/>
      <c r="D62" s="3"/>
      <c r="E62" s="3"/>
      <c r="F62" s="3"/>
      <c r="G62" s="3"/>
      <c r="J62" s="3"/>
      <c r="L62" s="3"/>
    </row>
    <row r="63" spans="1:12" x14ac:dyDescent="0.2">
      <c r="A63" s="3"/>
      <c r="B63" s="3"/>
      <c r="C63" s="3"/>
      <c r="D63" s="3"/>
      <c r="E63" s="3"/>
      <c r="F63" s="3"/>
      <c r="G63" s="3"/>
      <c r="J63" s="3"/>
      <c r="L63" s="3"/>
    </row>
    <row r="64" spans="1:12" x14ac:dyDescent="0.2">
      <c r="A64" s="3"/>
      <c r="B64" s="3"/>
      <c r="C64" s="3"/>
      <c r="D64" s="3"/>
      <c r="E64" s="3"/>
      <c r="F64" s="3"/>
      <c r="G64" s="3"/>
      <c r="J64" s="3"/>
      <c r="L64" s="3"/>
    </row>
    <row r="65" spans="1:12" x14ac:dyDescent="0.2">
      <c r="A65" s="3"/>
      <c r="B65" s="3"/>
      <c r="C65" s="3"/>
      <c r="D65" s="3"/>
      <c r="E65" s="3"/>
      <c r="F65" s="3"/>
      <c r="G65" s="3"/>
      <c r="J65" s="3"/>
      <c r="L65" s="3"/>
    </row>
    <row r="66" spans="1:12" x14ac:dyDescent="0.2">
      <c r="A66" s="3"/>
      <c r="B66" s="3"/>
      <c r="C66" s="3"/>
      <c r="D66" s="3"/>
      <c r="E66" s="3"/>
      <c r="F66" s="3"/>
      <c r="G66" s="3"/>
      <c r="J66" s="3"/>
      <c r="L66" s="3"/>
    </row>
    <row r="67" spans="1:12" x14ac:dyDescent="0.2">
      <c r="A67" s="3"/>
      <c r="B67" s="3"/>
      <c r="C67" s="3"/>
      <c r="D67" s="3"/>
      <c r="E67" s="3"/>
      <c r="F67" s="3"/>
      <c r="G67" s="3"/>
      <c r="J67" s="3"/>
      <c r="L67" s="3"/>
    </row>
    <row r="68" spans="1:12" x14ac:dyDescent="0.2">
      <c r="A68" s="3"/>
      <c r="B68" s="3"/>
      <c r="C68" s="3"/>
      <c r="D68" s="3"/>
      <c r="E68" s="3"/>
      <c r="F68" s="3"/>
      <c r="G68" s="3"/>
      <c r="J68" s="3"/>
      <c r="L68" s="3"/>
    </row>
    <row r="69" spans="1:12" x14ac:dyDescent="0.2">
      <c r="A69" s="3"/>
      <c r="B69" s="3"/>
      <c r="C69" s="3"/>
      <c r="D69" s="3"/>
      <c r="E69" s="3"/>
      <c r="F69" s="3"/>
      <c r="G69" s="3"/>
      <c r="J69" s="3"/>
      <c r="L69" s="3"/>
    </row>
    <row r="70" spans="1:12" x14ac:dyDescent="0.2">
      <c r="A70" s="3"/>
      <c r="B70" s="3"/>
      <c r="C70" s="3"/>
      <c r="D70" s="3"/>
      <c r="E70" s="3"/>
      <c r="F70" s="3"/>
      <c r="G70" s="3"/>
      <c r="J70" s="3"/>
      <c r="L70" s="3"/>
    </row>
    <row r="71" spans="1:12" x14ac:dyDescent="0.2">
      <c r="A71" s="3"/>
      <c r="B71" s="3"/>
      <c r="C71" s="3"/>
      <c r="D71" s="3"/>
      <c r="E71" s="3"/>
      <c r="F71" s="3"/>
      <c r="G71" s="3"/>
      <c r="J71" s="3"/>
      <c r="L71" s="3"/>
    </row>
    <row r="72" spans="1:12" x14ac:dyDescent="0.2">
      <c r="A72" s="3"/>
      <c r="B72" s="3"/>
      <c r="C72" s="3"/>
      <c r="D72" s="3"/>
      <c r="E72" s="3"/>
      <c r="F72" s="3"/>
      <c r="G72" s="3"/>
      <c r="J72" s="3"/>
      <c r="L72" s="3"/>
    </row>
    <row r="73" spans="1:12" x14ac:dyDescent="0.2">
      <c r="A73" s="3"/>
      <c r="B73" s="3"/>
      <c r="C73" s="3"/>
      <c r="D73" s="3"/>
      <c r="E73" s="3"/>
      <c r="F73" s="3"/>
      <c r="G73" s="3"/>
      <c r="J73" s="3"/>
      <c r="L73" s="3"/>
    </row>
    <row r="74" spans="1:12" x14ac:dyDescent="0.2">
      <c r="A74" s="3"/>
      <c r="B74" s="3"/>
      <c r="C74" s="3"/>
      <c r="D74" s="3"/>
      <c r="E74" s="3"/>
      <c r="F74" s="3"/>
      <c r="G74" s="3"/>
      <c r="J74" s="3"/>
      <c r="L74" s="3"/>
    </row>
    <row r="75" spans="1:12" x14ac:dyDescent="0.2">
      <c r="A75" s="3"/>
      <c r="B75" s="3"/>
      <c r="C75" s="3"/>
      <c r="D75" s="3"/>
      <c r="E75" s="3"/>
      <c r="F75" s="3"/>
      <c r="G75" s="3"/>
      <c r="J75" s="3"/>
      <c r="L75" s="3"/>
    </row>
    <row r="76" spans="1:12" x14ac:dyDescent="0.2">
      <c r="A76" s="3"/>
      <c r="B76" s="3"/>
      <c r="C76" s="3"/>
      <c r="D76" s="3"/>
      <c r="E76" s="3"/>
      <c r="F76" s="3"/>
      <c r="G76" s="3"/>
      <c r="J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J77" s="3"/>
      <c r="L77" s="3"/>
    </row>
    <row r="78" spans="1:12" x14ac:dyDescent="0.2">
      <c r="A78" s="3"/>
      <c r="B78" s="3"/>
      <c r="C78" s="3"/>
      <c r="D78" s="3"/>
      <c r="E78" s="3"/>
      <c r="F78" s="3"/>
      <c r="G78" s="3"/>
      <c r="J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J79" s="3"/>
      <c r="L79" s="3"/>
    </row>
    <row r="80" spans="1:12" x14ac:dyDescent="0.2">
      <c r="A80" s="3"/>
      <c r="B80" s="3"/>
      <c r="C80" s="3"/>
      <c r="D80" s="3"/>
      <c r="E80" s="3"/>
      <c r="F80" s="3"/>
      <c r="G80" s="3"/>
      <c r="J80" s="3"/>
      <c r="L80" s="3"/>
    </row>
    <row r="81" spans="1:12" x14ac:dyDescent="0.2">
      <c r="A81" s="3"/>
      <c r="B81" s="3"/>
      <c r="C81" s="3"/>
      <c r="D81" s="3"/>
      <c r="E81" s="3"/>
      <c r="F81" s="3"/>
      <c r="G81" s="3"/>
      <c r="J81" s="3"/>
      <c r="L81" s="3"/>
    </row>
    <row r="82" spans="1:12" x14ac:dyDescent="0.2">
      <c r="A82" s="3"/>
      <c r="B82" s="3"/>
      <c r="C82" s="3"/>
      <c r="D82" s="3"/>
      <c r="E82" s="3"/>
      <c r="F82" s="3"/>
      <c r="G82" s="3"/>
      <c r="J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J83" s="3"/>
      <c r="L83" s="3"/>
    </row>
    <row r="84" spans="1:12" x14ac:dyDescent="0.2">
      <c r="A84" s="3"/>
      <c r="B84" s="3"/>
      <c r="C84" s="3"/>
      <c r="D84" s="3"/>
      <c r="E84" s="3"/>
      <c r="F84" s="3"/>
      <c r="G84" s="3"/>
      <c r="J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J85" s="3"/>
      <c r="L85" s="3"/>
    </row>
    <row r="86" spans="1:12" x14ac:dyDescent="0.2">
      <c r="A86" s="3"/>
      <c r="B86" s="3"/>
      <c r="C86" s="3"/>
      <c r="D86" s="3"/>
      <c r="E86" s="3"/>
      <c r="F86" s="3"/>
      <c r="G86" s="3"/>
      <c r="J86" s="3"/>
      <c r="L86" s="3"/>
    </row>
    <row r="87" spans="1:12" x14ac:dyDescent="0.2">
      <c r="A87" s="3"/>
      <c r="B87" s="3"/>
      <c r="C87" s="3"/>
      <c r="D87" s="3"/>
      <c r="E87" s="3"/>
      <c r="F87" s="3"/>
      <c r="G87" s="3"/>
      <c r="J87" s="3"/>
      <c r="L87" s="3"/>
    </row>
    <row r="88" spans="1:12" x14ac:dyDescent="0.2">
      <c r="A88" s="3"/>
      <c r="B88" s="3"/>
      <c r="C88" s="3"/>
      <c r="D88" s="3"/>
      <c r="E88" s="3"/>
      <c r="F88" s="3"/>
      <c r="G88" s="3"/>
      <c r="J88" s="3"/>
      <c r="L88" s="3"/>
    </row>
    <row r="89" spans="1:12" x14ac:dyDescent="0.2">
      <c r="A89" s="3"/>
      <c r="B89" s="3"/>
      <c r="C89" s="3"/>
      <c r="D89" s="3"/>
      <c r="E89" s="3"/>
      <c r="F89" s="3"/>
      <c r="G89" s="3"/>
      <c r="J89" s="3"/>
      <c r="L89" s="3"/>
    </row>
    <row r="90" spans="1:12" x14ac:dyDescent="0.2">
      <c r="A90" s="3"/>
      <c r="B90" s="3"/>
      <c r="C90" s="3"/>
      <c r="D90" s="3"/>
      <c r="E90" s="3"/>
      <c r="F90" s="3"/>
      <c r="G90" s="3"/>
      <c r="J90" s="3"/>
      <c r="L90" s="3"/>
    </row>
    <row r="91" spans="1:12" x14ac:dyDescent="0.2">
      <c r="A91" s="3"/>
      <c r="B91" s="3"/>
      <c r="C91" s="3"/>
      <c r="D91" s="3"/>
      <c r="E91" s="3"/>
      <c r="F91" s="3"/>
      <c r="G91" s="3"/>
      <c r="J91" s="3"/>
      <c r="L91" s="3"/>
    </row>
    <row r="92" spans="1:12" x14ac:dyDescent="0.2">
      <c r="A92" s="3"/>
      <c r="B92" s="3"/>
      <c r="C92" s="3"/>
      <c r="D92" s="3"/>
      <c r="E92" s="3"/>
      <c r="F92" s="3"/>
      <c r="G92" s="3"/>
      <c r="J92" s="3"/>
      <c r="L92" s="3"/>
    </row>
    <row r="93" spans="1:12" x14ac:dyDescent="0.2">
      <c r="A93" s="3"/>
      <c r="B93" s="3"/>
      <c r="C93" s="3"/>
      <c r="D93" s="3"/>
      <c r="E93" s="3"/>
      <c r="F93" s="3"/>
      <c r="G93" s="3"/>
      <c r="J93" s="3"/>
      <c r="L93" s="3"/>
    </row>
    <row r="94" spans="1:12" x14ac:dyDescent="0.2">
      <c r="A94" s="3"/>
      <c r="B94" s="3"/>
      <c r="C94" s="3"/>
      <c r="D94" s="3"/>
      <c r="E94" s="3"/>
      <c r="F94" s="3"/>
      <c r="G94" s="3"/>
      <c r="J94" s="3"/>
      <c r="L94" s="3"/>
    </row>
    <row r="95" spans="1:12" x14ac:dyDescent="0.2">
      <c r="A95" s="3"/>
      <c r="B95" s="3"/>
      <c r="C95" s="3"/>
      <c r="D95" s="3"/>
      <c r="E95" s="3"/>
      <c r="F95" s="3"/>
      <c r="G95" s="3"/>
      <c r="J95" s="3"/>
      <c r="L95" s="3"/>
    </row>
    <row r="96" spans="1:12" x14ac:dyDescent="0.2">
      <c r="A96" s="3"/>
      <c r="B96" s="3"/>
      <c r="C96" s="3"/>
      <c r="D96" s="3"/>
      <c r="E96" s="3"/>
      <c r="F96" s="3"/>
      <c r="G96" s="3"/>
      <c r="J96" s="3"/>
      <c r="L96" s="3"/>
    </row>
    <row r="97" spans="1:12" x14ac:dyDescent="0.2">
      <c r="A97" s="3"/>
      <c r="B97" s="3"/>
      <c r="C97" s="3"/>
      <c r="D97" s="3"/>
      <c r="E97" s="3"/>
      <c r="F97" s="3"/>
      <c r="G97" s="3"/>
      <c r="J97" s="3"/>
      <c r="L97" s="3"/>
    </row>
    <row r="98" spans="1:12" x14ac:dyDescent="0.2">
      <c r="A98" s="3"/>
      <c r="B98" s="3"/>
      <c r="C98" s="3"/>
      <c r="D98" s="3"/>
      <c r="E98" s="3"/>
      <c r="F98" s="3"/>
      <c r="G98" s="3"/>
      <c r="J98" s="3"/>
      <c r="L98" s="3"/>
    </row>
    <row r="99" spans="1:12" x14ac:dyDescent="0.2">
      <c r="A99" s="3"/>
      <c r="B99" s="3"/>
      <c r="C99" s="3"/>
      <c r="D99" s="3"/>
      <c r="E99" s="3"/>
      <c r="F99" s="3"/>
      <c r="G99" s="3"/>
      <c r="J99" s="3"/>
      <c r="L99" s="3"/>
    </row>
    <row r="100" spans="1:12" x14ac:dyDescent="0.2">
      <c r="A100" s="3"/>
      <c r="B100" s="3"/>
      <c r="C100" s="3"/>
      <c r="D100" s="3"/>
      <c r="E100" s="3"/>
      <c r="F100" s="3"/>
      <c r="G100" s="3"/>
      <c r="J100" s="3"/>
      <c r="L100" s="3"/>
    </row>
    <row r="101" spans="1:12" x14ac:dyDescent="0.2">
      <c r="A101" s="3"/>
      <c r="B101" s="3"/>
      <c r="C101" s="3"/>
      <c r="D101" s="3"/>
      <c r="E101" s="3"/>
      <c r="F101" s="3"/>
      <c r="G101" s="3"/>
      <c r="J101" s="3"/>
      <c r="L101" s="3"/>
    </row>
    <row r="102" spans="1:12" x14ac:dyDescent="0.2">
      <c r="A102" s="3"/>
      <c r="B102" s="3"/>
      <c r="C102" s="3"/>
      <c r="D102" s="3"/>
      <c r="E102" s="3"/>
      <c r="F102" s="3"/>
      <c r="G102" s="3"/>
      <c r="J102" s="3"/>
      <c r="L102" s="3"/>
    </row>
    <row r="103" spans="1:12" x14ac:dyDescent="0.2">
      <c r="A103" s="3"/>
      <c r="B103" s="3"/>
      <c r="C103" s="3"/>
      <c r="D103" s="3"/>
      <c r="E103" s="3"/>
      <c r="F103" s="3"/>
      <c r="G103" s="3"/>
      <c r="J103" s="3"/>
      <c r="L103" s="3"/>
    </row>
    <row r="104" spans="1:12" x14ac:dyDescent="0.2">
      <c r="A104" s="3"/>
      <c r="B104" s="3"/>
      <c r="C104" s="3"/>
      <c r="D104" s="3"/>
      <c r="E104" s="3"/>
      <c r="F104" s="3"/>
      <c r="G104" s="3"/>
      <c r="J104" s="3"/>
      <c r="L104" s="3"/>
    </row>
    <row r="105" spans="1:12" x14ac:dyDescent="0.2">
      <c r="A105" s="3"/>
      <c r="B105" s="3"/>
      <c r="C105" s="3"/>
      <c r="D105" s="3"/>
      <c r="E105" s="3"/>
      <c r="F105" s="3"/>
      <c r="G105" s="3"/>
      <c r="J105" s="3"/>
      <c r="L105" s="3"/>
    </row>
    <row r="106" spans="1:12" x14ac:dyDescent="0.2">
      <c r="A106" s="3"/>
      <c r="B106" s="3"/>
      <c r="C106" s="3"/>
      <c r="D106" s="3"/>
      <c r="E106" s="3"/>
      <c r="F106" s="3"/>
      <c r="G106" s="3"/>
      <c r="J106" s="3"/>
      <c r="L106" s="3"/>
    </row>
    <row r="107" spans="1:12" x14ac:dyDescent="0.2">
      <c r="A107" s="3"/>
      <c r="B107" s="3"/>
      <c r="C107" s="3"/>
      <c r="D107" s="3"/>
      <c r="E107" s="3"/>
      <c r="F107" s="3"/>
      <c r="G107" s="3"/>
      <c r="J107" s="3"/>
      <c r="L107" s="3"/>
    </row>
    <row r="108" spans="1:12" x14ac:dyDescent="0.2">
      <c r="A108" s="3"/>
      <c r="B108" s="3"/>
      <c r="C108" s="3"/>
      <c r="D108" s="3"/>
      <c r="E108" s="3"/>
      <c r="F108" s="3"/>
      <c r="G108" s="3"/>
      <c r="J108" s="3"/>
      <c r="L108" s="3"/>
    </row>
    <row r="109" spans="1:12" x14ac:dyDescent="0.2">
      <c r="A109" s="3"/>
      <c r="B109" s="3"/>
      <c r="C109" s="3"/>
      <c r="D109" s="3"/>
      <c r="E109" s="3"/>
      <c r="F109" s="3"/>
      <c r="G109" s="3"/>
      <c r="J109" s="3"/>
      <c r="L109" s="3"/>
    </row>
    <row r="110" spans="1:12" x14ac:dyDescent="0.2">
      <c r="A110" s="3"/>
      <c r="B110" s="3"/>
      <c r="C110" s="3"/>
      <c r="D110" s="3"/>
      <c r="E110" s="3"/>
      <c r="F110" s="3"/>
      <c r="G110" s="3"/>
      <c r="J110" s="3"/>
      <c r="L110" s="3"/>
    </row>
    <row r="111" spans="1:12" x14ac:dyDescent="0.2">
      <c r="A111" s="3"/>
      <c r="B111" s="3"/>
      <c r="C111" s="3"/>
      <c r="D111" s="3"/>
      <c r="E111" s="3"/>
      <c r="F111" s="3"/>
      <c r="G111" s="3"/>
      <c r="J111" s="3"/>
      <c r="L111" s="3"/>
    </row>
    <row r="112" spans="1:12" x14ac:dyDescent="0.2">
      <c r="A112" s="3"/>
      <c r="B112" s="3"/>
      <c r="C112" s="3"/>
      <c r="D112" s="3"/>
      <c r="E112" s="3"/>
      <c r="F112" s="3"/>
      <c r="G112" s="3"/>
      <c r="J112" s="3"/>
      <c r="L112" s="3"/>
    </row>
    <row r="113" spans="1:12" x14ac:dyDescent="0.2">
      <c r="A113" s="3"/>
      <c r="B113" s="3"/>
      <c r="C113" s="3"/>
      <c r="D113" s="3"/>
      <c r="E113" s="3"/>
      <c r="F113" s="3"/>
      <c r="G113" s="3"/>
      <c r="J113" s="3"/>
      <c r="L113" s="3"/>
    </row>
    <row r="114" spans="1:12" x14ac:dyDescent="0.2">
      <c r="A114" s="3"/>
      <c r="B114" s="3"/>
      <c r="C114" s="3"/>
      <c r="D114" s="3"/>
      <c r="E114" s="3"/>
      <c r="F114" s="3"/>
      <c r="G114" s="3"/>
      <c r="J114" s="3"/>
      <c r="L114" s="3"/>
    </row>
    <row r="115" spans="1:12" x14ac:dyDescent="0.2">
      <c r="A115" s="3"/>
      <c r="B115" s="3"/>
      <c r="C115" s="3"/>
      <c r="D115" s="3"/>
      <c r="E115" s="3"/>
      <c r="F115" s="3"/>
      <c r="G115" s="3"/>
      <c r="J115" s="3"/>
      <c r="L115" s="3"/>
    </row>
    <row r="116" spans="1:12" x14ac:dyDescent="0.2">
      <c r="A116" s="3"/>
      <c r="B116" s="3"/>
      <c r="C116" s="3"/>
      <c r="D116" s="3"/>
      <c r="E116" s="3"/>
      <c r="F116" s="3"/>
      <c r="G116" s="3"/>
      <c r="J116" s="3"/>
      <c r="L116" s="3"/>
    </row>
    <row r="117" spans="1:12" x14ac:dyDescent="0.2">
      <c r="A117" s="3"/>
      <c r="B117" s="3"/>
      <c r="C117" s="3"/>
      <c r="D117" s="3"/>
      <c r="E117" s="3"/>
      <c r="F117" s="3"/>
      <c r="G117" s="3"/>
      <c r="J117" s="3"/>
      <c r="L117" s="3"/>
    </row>
    <row r="118" spans="1:12" x14ac:dyDescent="0.2">
      <c r="A118" s="3"/>
      <c r="B118" s="3"/>
      <c r="C118" s="3"/>
      <c r="D118" s="3"/>
      <c r="E118" s="3"/>
      <c r="F118" s="3"/>
      <c r="G118" s="3"/>
      <c r="J118" s="3"/>
      <c r="L118" s="3"/>
    </row>
    <row r="119" spans="1:12" x14ac:dyDescent="0.2">
      <c r="A119" s="3"/>
      <c r="B119" s="3"/>
      <c r="C119" s="3"/>
      <c r="D119" s="3"/>
      <c r="E119" s="3"/>
      <c r="F119" s="3"/>
      <c r="G119" s="3"/>
      <c r="J119" s="3"/>
      <c r="L119" s="3"/>
    </row>
    <row r="120" spans="1:12" x14ac:dyDescent="0.2">
      <c r="A120" s="3"/>
      <c r="B120" s="3"/>
      <c r="C120" s="3"/>
      <c r="D120" s="3"/>
      <c r="E120" s="3"/>
      <c r="F120" s="3"/>
      <c r="G120" s="3"/>
      <c r="J120" s="3"/>
      <c r="L120" s="3"/>
    </row>
    <row r="121" spans="1:12" x14ac:dyDescent="0.2">
      <c r="A121" s="3"/>
      <c r="B121" s="3"/>
      <c r="C121" s="3"/>
      <c r="D121" s="3"/>
      <c r="E121" s="3"/>
      <c r="F121" s="3"/>
      <c r="G121" s="3"/>
      <c r="J121" s="3"/>
      <c r="L121" s="3"/>
    </row>
    <row r="122" spans="1:12" x14ac:dyDescent="0.2">
      <c r="A122" s="3"/>
      <c r="B122" s="3"/>
      <c r="C122" s="3"/>
      <c r="D122" s="3"/>
      <c r="E122" s="3"/>
      <c r="F122" s="3"/>
      <c r="G122" s="3"/>
      <c r="J122" s="3"/>
      <c r="L122" s="3"/>
    </row>
    <row r="123" spans="1:12" x14ac:dyDescent="0.2">
      <c r="A123" s="3"/>
      <c r="B123" s="3"/>
      <c r="C123" s="3"/>
      <c r="D123" s="3"/>
      <c r="E123" s="3"/>
      <c r="F123" s="3"/>
      <c r="G123" s="3"/>
      <c r="J123" s="3"/>
      <c r="L123" s="3"/>
    </row>
    <row r="124" spans="1:12" x14ac:dyDescent="0.2">
      <c r="A124" s="3"/>
      <c r="B124" s="3"/>
      <c r="C124" s="3"/>
      <c r="D124" s="3"/>
      <c r="E124" s="3"/>
      <c r="F124" s="3"/>
      <c r="G124" s="3"/>
      <c r="J124" s="3"/>
      <c r="L124" s="3"/>
    </row>
    <row r="125" spans="1:12" x14ac:dyDescent="0.2">
      <c r="A125" s="3"/>
      <c r="B125" s="3"/>
      <c r="C125" s="3"/>
      <c r="D125" s="3"/>
      <c r="E125" s="3"/>
      <c r="F125" s="3"/>
      <c r="G125" s="3"/>
      <c r="J125" s="3"/>
      <c r="L125" s="3"/>
    </row>
    <row r="126" spans="1:12" x14ac:dyDescent="0.2">
      <c r="A126" s="3"/>
      <c r="B126" s="3"/>
      <c r="C126" s="3"/>
      <c r="D126" s="3"/>
      <c r="E126" s="3"/>
      <c r="F126" s="3"/>
      <c r="G126" s="3"/>
      <c r="J126" s="3"/>
      <c r="L126" s="3"/>
    </row>
    <row r="127" spans="1:12" x14ac:dyDescent="0.2">
      <c r="A127" s="3"/>
      <c r="B127" s="3"/>
      <c r="C127" s="3"/>
      <c r="D127" s="3"/>
      <c r="E127" s="3"/>
      <c r="F127" s="3"/>
      <c r="G127" s="3"/>
      <c r="J127" s="3"/>
      <c r="L127" s="3"/>
    </row>
    <row r="128" spans="1:12" x14ac:dyDescent="0.2">
      <c r="A128" s="3"/>
      <c r="B128" s="3"/>
      <c r="C128" s="3"/>
      <c r="D128" s="3"/>
      <c r="E128" s="3"/>
      <c r="F128" s="3"/>
      <c r="G128" s="3"/>
      <c r="J128" s="3"/>
      <c r="L128" s="3"/>
    </row>
    <row r="129" spans="1:12" x14ac:dyDescent="0.2">
      <c r="A129" s="3"/>
      <c r="B129" s="3"/>
      <c r="C129" s="3"/>
      <c r="D129" s="3"/>
      <c r="E129" s="3"/>
      <c r="F129" s="3"/>
      <c r="G129" s="3"/>
      <c r="J129" s="3"/>
      <c r="L129" s="3"/>
    </row>
    <row r="130" spans="1:12" x14ac:dyDescent="0.2">
      <c r="A130" s="3"/>
      <c r="B130" s="3"/>
      <c r="C130" s="3"/>
      <c r="D130" s="3"/>
      <c r="E130" s="3"/>
      <c r="F130" s="3"/>
      <c r="G130" s="3"/>
      <c r="J130" s="3"/>
      <c r="L130" s="3"/>
    </row>
    <row r="131" spans="1:12" x14ac:dyDescent="0.2">
      <c r="A131" s="3"/>
      <c r="B131" s="3"/>
      <c r="C131" s="3"/>
      <c r="D131" s="3"/>
      <c r="E131" s="3"/>
      <c r="F131" s="3"/>
      <c r="G131" s="3"/>
      <c r="J131" s="3"/>
      <c r="L131" s="3"/>
    </row>
    <row r="132" spans="1:12" x14ac:dyDescent="0.2">
      <c r="A132" s="3"/>
      <c r="B132" s="3"/>
      <c r="C132" s="3"/>
      <c r="D132" s="3"/>
      <c r="E132" s="3"/>
      <c r="F132" s="3"/>
      <c r="G132" s="3"/>
      <c r="J132" s="3"/>
      <c r="L132" s="3"/>
    </row>
    <row r="133" spans="1:12" x14ac:dyDescent="0.2">
      <c r="A133" s="3"/>
      <c r="B133" s="3"/>
      <c r="C133" s="3"/>
      <c r="D133" s="3"/>
      <c r="E133" s="3"/>
      <c r="F133" s="3"/>
      <c r="G133" s="3"/>
      <c r="J133" s="3"/>
      <c r="L133" s="3"/>
    </row>
    <row r="134" spans="1:12" x14ac:dyDescent="0.2">
      <c r="A134" s="3"/>
      <c r="B134" s="3"/>
      <c r="C134" s="3"/>
      <c r="D134" s="3"/>
      <c r="E134" s="3"/>
      <c r="F134" s="3"/>
      <c r="G134" s="3"/>
      <c r="J134" s="3"/>
      <c r="L134" s="3"/>
    </row>
    <row r="135" spans="1:12" x14ac:dyDescent="0.2">
      <c r="A135" s="3"/>
      <c r="B135" s="3"/>
      <c r="C135" s="3"/>
      <c r="D135" s="3"/>
      <c r="E135" s="3"/>
      <c r="F135" s="3"/>
      <c r="G135" s="3"/>
      <c r="J135" s="3"/>
      <c r="L135" s="3"/>
    </row>
    <row r="136" spans="1:12" x14ac:dyDescent="0.2">
      <c r="A136" s="3"/>
      <c r="B136" s="3"/>
      <c r="C136" s="3"/>
      <c r="D136" s="3"/>
      <c r="E136" s="3"/>
      <c r="F136" s="3"/>
      <c r="G136" s="3"/>
      <c r="J136" s="3"/>
      <c r="L136" s="3"/>
    </row>
    <row r="137" spans="1:12" x14ac:dyDescent="0.2">
      <c r="A137" s="3"/>
      <c r="B137" s="3"/>
      <c r="C137" s="3"/>
      <c r="D137" s="3"/>
      <c r="E137" s="3"/>
      <c r="F137" s="3"/>
      <c r="G137" s="3"/>
      <c r="J137" s="3"/>
      <c r="L137" s="3"/>
    </row>
    <row r="138" spans="1:12" x14ac:dyDescent="0.2">
      <c r="A138" s="3"/>
      <c r="B138" s="3"/>
      <c r="C138" s="3"/>
      <c r="D138" s="3"/>
      <c r="E138" s="3"/>
      <c r="F138" s="3"/>
      <c r="G138" s="3"/>
      <c r="J138" s="3"/>
      <c r="L138" s="3"/>
    </row>
    <row r="139" spans="1:12" x14ac:dyDescent="0.2">
      <c r="A139" s="3"/>
      <c r="B139" s="3"/>
      <c r="C139" s="3"/>
      <c r="D139" s="3"/>
      <c r="E139" s="3"/>
      <c r="F139" s="3"/>
      <c r="G139" s="3"/>
      <c r="J139" s="3"/>
      <c r="L139" s="3"/>
    </row>
    <row r="140" spans="1:12" x14ac:dyDescent="0.2">
      <c r="A140" s="3"/>
      <c r="B140" s="3"/>
      <c r="C140" s="3"/>
      <c r="D140" s="3"/>
      <c r="E140" s="3"/>
      <c r="F140" s="3"/>
      <c r="G140" s="3"/>
      <c r="J140" s="3"/>
      <c r="L140" s="3"/>
    </row>
    <row r="141" spans="1:12" x14ac:dyDescent="0.2">
      <c r="A141" s="3"/>
      <c r="B141" s="3"/>
      <c r="C141" s="3"/>
      <c r="D141" s="3"/>
      <c r="E141" s="3"/>
      <c r="F141" s="3"/>
      <c r="G141" s="3"/>
      <c r="J141" s="3"/>
      <c r="L141" s="3"/>
    </row>
    <row r="142" spans="1:12" x14ac:dyDescent="0.2">
      <c r="A142" s="3"/>
      <c r="B142" s="3"/>
      <c r="C142" s="3"/>
      <c r="D142" s="3"/>
      <c r="E142" s="3"/>
      <c r="F142" s="3"/>
      <c r="G142" s="3"/>
      <c r="J142" s="3"/>
      <c r="L142" s="3"/>
    </row>
    <row r="143" spans="1:12" x14ac:dyDescent="0.2">
      <c r="A143" s="3"/>
      <c r="B143" s="3"/>
      <c r="C143" s="3"/>
      <c r="D143" s="3"/>
      <c r="E143" s="3"/>
      <c r="F143" s="3"/>
      <c r="G143" s="3"/>
      <c r="J143" s="3"/>
      <c r="L143" s="3"/>
    </row>
    <row r="144" spans="1:12" x14ac:dyDescent="0.2">
      <c r="A144" s="3"/>
      <c r="B144" s="3"/>
      <c r="C144" s="3"/>
      <c r="D144" s="3"/>
      <c r="E144" s="3"/>
      <c r="F144" s="3"/>
      <c r="G144" s="3"/>
      <c r="J144" s="3"/>
      <c r="L144" s="3"/>
    </row>
    <row r="145" spans="1:12" x14ac:dyDescent="0.2">
      <c r="A145" s="3"/>
      <c r="B145" s="3"/>
      <c r="C145" s="3"/>
      <c r="D145" s="3"/>
      <c r="E145" s="3"/>
      <c r="F145" s="3"/>
      <c r="G145" s="3"/>
      <c r="J145" s="3"/>
      <c r="L145" s="3"/>
    </row>
    <row r="146" spans="1:12" x14ac:dyDescent="0.2">
      <c r="A146" s="3"/>
      <c r="B146" s="3"/>
      <c r="C146" s="3"/>
      <c r="D146" s="3"/>
      <c r="E146" s="3"/>
      <c r="F146" s="3"/>
      <c r="G146" s="3"/>
      <c r="J146" s="3"/>
      <c r="L146" s="3"/>
    </row>
    <row r="147" spans="1:12" x14ac:dyDescent="0.2">
      <c r="A147" s="3"/>
      <c r="B147" s="3"/>
      <c r="C147" s="3"/>
      <c r="D147" s="3"/>
      <c r="E147" s="3"/>
      <c r="F147" s="3"/>
      <c r="G147" s="3"/>
      <c r="J147" s="3"/>
      <c r="L147" s="3"/>
    </row>
    <row r="148" spans="1:12" x14ac:dyDescent="0.2">
      <c r="A148" s="3"/>
      <c r="B148" s="3"/>
      <c r="C148" s="3"/>
      <c r="D148" s="3"/>
      <c r="E148" s="3"/>
      <c r="F148" s="3"/>
      <c r="G148" s="3"/>
      <c r="J148" s="3"/>
      <c r="L148" s="3"/>
    </row>
    <row r="149" spans="1:12" x14ac:dyDescent="0.2">
      <c r="A149" s="3"/>
      <c r="B149" s="3"/>
      <c r="C149" s="3"/>
      <c r="D149" s="3"/>
      <c r="E149" s="3"/>
      <c r="F149" s="3"/>
      <c r="G149" s="3"/>
      <c r="J149" s="3"/>
      <c r="L149" s="3"/>
    </row>
    <row r="150" spans="1:12" x14ac:dyDescent="0.2">
      <c r="A150" s="3"/>
      <c r="B150" s="3"/>
      <c r="C150" s="3"/>
      <c r="D150" s="3"/>
      <c r="E150" s="3"/>
      <c r="F150" s="3"/>
      <c r="G150" s="3"/>
      <c r="J150" s="3"/>
      <c r="L150" s="3"/>
    </row>
    <row r="151" spans="1:12" x14ac:dyDescent="0.2">
      <c r="A151" s="3"/>
      <c r="B151" s="3"/>
      <c r="C151" s="3"/>
      <c r="D151" s="3"/>
      <c r="E151" s="3"/>
      <c r="F151" s="3"/>
      <c r="G151" s="3"/>
      <c r="J151" s="3"/>
      <c r="L151" s="3"/>
    </row>
    <row r="152" spans="1:12" x14ac:dyDescent="0.2">
      <c r="A152" s="3"/>
      <c r="B152" s="3"/>
      <c r="C152" s="3"/>
      <c r="D152" s="3"/>
      <c r="E152" s="3"/>
      <c r="F152" s="3"/>
      <c r="G152" s="3"/>
      <c r="J152" s="3"/>
      <c r="L152" s="3"/>
    </row>
    <row r="153" spans="1:12" x14ac:dyDescent="0.2">
      <c r="A153" s="3"/>
      <c r="B153" s="3"/>
      <c r="C153" s="3"/>
      <c r="D153" s="3"/>
      <c r="E153" s="3"/>
      <c r="F153" s="3"/>
      <c r="G153" s="3"/>
      <c r="J153" s="3"/>
      <c r="L153" s="3"/>
    </row>
    <row r="154" spans="1:12" x14ac:dyDescent="0.2">
      <c r="A154" s="3"/>
      <c r="B154" s="3"/>
      <c r="C154" s="3"/>
      <c r="D154" s="3"/>
      <c r="E154" s="3"/>
      <c r="F154" s="3"/>
      <c r="G154" s="3"/>
      <c r="J154" s="3"/>
      <c r="L154" s="3"/>
    </row>
    <row r="155" spans="1:12" x14ac:dyDescent="0.2">
      <c r="A155" s="3"/>
      <c r="B155" s="3"/>
      <c r="C155" s="3"/>
      <c r="D155" s="3"/>
      <c r="E155" s="3"/>
      <c r="F155" s="3"/>
      <c r="G155" s="3"/>
      <c r="J155" s="3"/>
      <c r="L155" s="3"/>
    </row>
    <row r="156" spans="1:12" x14ac:dyDescent="0.2">
      <c r="A156" s="3"/>
      <c r="B156" s="3"/>
      <c r="C156" s="3"/>
      <c r="D156" s="3"/>
      <c r="E156" s="3"/>
      <c r="F156" s="3"/>
      <c r="G156" s="3"/>
      <c r="J156" s="3"/>
      <c r="L156" s="3"/>
    </row>
    <row r="157" spans="1:12" x14ac:dyDescent="0.2">
      <c r="A157" s="3"/>
      <c r="B157" s="3"/>
      <c r="C157" s="3"/>
      <c r="D157" s="3"/>
      <c r="E157" s="3"/>
      <c r="F157" s="3"/>
      <c r="G157" s="3"/>
      <c r="J157" s="3"/>
      <c r="L157" s="3"/>
    </row>
    <row r="158" spans="1:12" x14ac:dyDescent="0.2">
      <c r="A158" s="3"/>
      <c r="B158" s="3"/>
      <c r="C158" s="3"/>
      <c r="D158" s="3"/>
      <c r="E158" s="3"/>
      <c r="F158" s="3"/>
      <c r="G158" s="3"/>
      <c r="J158" s="3"/>
      <c r="L158" s="3"/>
    </row>
    <row r="159" spans="1:12" x14ac:dyDescent="0.2">
      <c r="A159" s="3"/>
      <c r="B159" s="3"/>
      <c r="C159" s="3"/>
      <c r="D159" s="3"/>
      <c r="E159" s="3"/>
      <c r="F159" s="3"/>
      <c r="G159" s="3"/>
      <c r="J159" s="3"/>
      <c r="L159" s="3"/>
    </row>
    <row r="160" spans="1:12" x14ac:dyDescent="0.2">
      <c r="A160" s="3"/>
      <c r="B160" s="3"/>
      <c r="C160" s="3"/>
      <c r="D160" s="3"/>
      <c r="E160" s="3"/>
      <c r="F160" s="3"/>
      <c r="G160" s="3"/>
      <c r="J160" s="3"/>
      <c r="L160" s="3"/>
    </row>
    <row r="161" spans="1:12" x14ac:dyDescent="0.2">
      <c r="A161" s="3"/>
      <c r="B161" s="3"/>
      <c r="C161" s="3"/>
      <c r="D161" s="3"/>
      <c r="E161" s="3"/>
      <c r="F161" s="3"/>
      <c r="G161" s="3"/>
      <c r="J161" s="3"/>
      <c r="L161" s="3"/>
    </row>
    <row r="162" spans="1:12" x14ac:dyDescent="0.2">
      <c r="A162" s="3"/>
      <c r="B162" s="3"/>
      <c r="C162" s="3"/>
      <c r="D162" s="3"/>
      <c r="E162" s="3"/>
      <c r="F162" s="3"/>
      <c r="G162" s="3"/>
      <c r="J162" s="3"/>
      <c r="L162" s="3"/>
    </row>
    <row r="163" spans="1:12" x14ac:dyDescent="0.2">
      <c r="A163" s="3"/>
      <c r="B163" s="3"/>
      <c r="C163" s="3"/>
      <c r="D163" s="3"/>
      <c r="E163" s="3"/>
      <c r="F163" s="3"/>
      <c r="G163" s="3"/>
      <c r="J163" s="3"/>
      <c r="L163" s="3"/>
    </row>
    <row r="164" spans="1:12" x14ac:dyDescent="0.2">
      <c r="A164" s="3"/>
      <c r="B164" s="3"/>
      <c r="C164" s="3"/>
      <c r="D164" s="3"/>
      <c r="E164" s="3"/>
      <c r="F164" s="3"/>
      <c r="G164" s="3"/>
      <c r="J164" s="3"/>
      <c r="L164" s="3"/>
    </row>
    <row r="165" spans="1:12" x14ac:dyDescent="0.2">
      <c r="A165" s="3"/>
      <c r="B165" s="3"/>
      <c r="C165" s="3"/>
      <c r="D165" s="3"/>
      <c r="E165" s="3"/>
      <c r="F165" s="3"/>
      <c r="G165" s="3"/>
      <c r="J165" s="3"/>
      <c r="L165" s="3"/>
    </row>
    <row r="166" spans="1:12" x14ac:dyDescent="0.2">
      <c r="A166" s="3"/>
      <c r="B166" s="3"/>
      <c r="C166" s="3"/>
      <c r="D166" s="3"/>
      <c r="E166" s="3"/>
      <c r="F166" s="3"/>
      <c r="G166" s="3"/>
      <c r="J166" s="3"/>
      <c r="L166" s="3"/>
    </row>
    <row r="167" spans="1:12" x14ac:dyDescent="0.2">
      <c r="A167" s="3"/>
      <c r="B167" s="3"/>
      <c r="C167" s="3"/>
      <c r="D167" s="3"/>
      <c r="E167" s="3"/>
      <c r="F167" s="3"/>
      <c r="G167" s="3"/>
      <c r="J167" s="3"/>
      <c r="L167" s="3"/>
    </row>
    <row r="168" spans="1:12" x14ac:dyDescent="0.2">
      <c r="A168" s="3"/>
      <c r="B168" s="3"/>
      <c r="C168" s="3"/>
      <c r="D168" s="3"/>
      <c r="E168" s="3"/>
      <c r="F168" s="3"/>
      <c r="G168" s="3"/>
      <c r="J168" s="3"/>
      <c r="L168" s="3"/>
    </row>
    <row r="169" spans="1:12" x14ac:dyDescent="0.2">
      <c r="A169" s="3"/>
      <c r="B169" s="3"/>
      <c r="C169" s="3"/>
      <c r="D169" s="3"/>
      <c r="E169" s="3"/>
      <c r="F169" s="3"/>
      <c r="G169" s="3"/>
      <c r="J169" s="3"/>
      <c r="L169" s="3"/>
    </row>
    <row r="170" spans="1:12" x14ac:dyDescent="0.2">
      <c r="A170" s="3"/>
      <c r="B170" s="3"/>
      <c r="C170" s="3"/>
      <c r="D170" s="3"/>
      <c r="E170" s="3"/>
      <c r="F170" s="3"/>
      <c r="G170" s="3"/>
      <c r="J170" s="3"/>
      <c r="L170" s="3"/>
    </row>
    <row r="171" spans="1:12" x14ac:dyDescent="0.2">
      <c r="A171" s="3"/>
      <c r="B171" s="3"/>
      <c r="C171" s="3"/>
      <c r="D171" s="3"/>
      <c r="E171" s="3"/>
      <c r="F171" s="3"/>
      <c r="G171" s="3"/>
      <c r="J171" s="3"/>
      <c r="L171" s="3"/>
    </row>
    <row r="172" spans="1:12" x14ac:dyDescent="0.2">
      <c r="A172" s="3"/>
      <c r="B172" s="3"/>
      <c r="C172" s="3"/>
      <c r="D172" s="3"/>
      <c r="E172" s="3"/>
      <c r="F172" s="3"/>
      <c r="G172" s="3"/>
      <c r="J172" s="3"/>
      <c r="L172" s="3"/>
    </row>
    <row r="173" spans="1:12" x14ac:dyDescent="0.2">
      <c r="A173" s="3"/>
      <c r="B173" s="3"/>
      <c r="C173" s="3"/>
      <c r="D173" s="3"/>
      <c r="E173" s="3"/>
      <c r="F173" s="3"/>
      <c r="G173" s="3"/>
      <c r="J173" s="3"/>
      <c r="L173" s="3"/>
    </row>
    <row r="174" spans="1:12" x14ac:dyDescent="0.2">
      <c r="A174" s="3"/>
      <c r="B174" s="3"/>
      <c r="C174" s="3"/>
      <c r="D174" s="3"/>
      <c r="E174" s="3"/>
      <c r="F174" s="3"/>
      <c r="G174" s="3"/>
      <c r="J174" s="3"/>
      <c r="L174" s="3"/>
    </row>
    <row r="175" spans="1:12" x14ac:dyDescent="0.2">
      <c r="A175" s="3"/>
      <c r="B175" s="3"/>
      <c r="C175" s="3"/>
      <c r="D175" s="3"/>
      <c r="E175" s="3"/>
      <c r="F175" s="3"/>
      <c r="G175" s="3"/>
      <c r="J175" s="3"/>
      <c r="L175" s="3"/>
    </row>
    <row r="176" spans="1:12" x14ac:dyDescent="0.2">
      <c r="A176" s="3"/>
      <c r="B176" s="3"/>
      <c r="C176" s="3"/>
      <c r="D176" s="3"/>
      <c r="E176" s="3"/>
      <c r="F176" s="3"/>
      <c r="G176" s="3"/>
      <c r="J176" s="3"/>
      <c r="L176" s="3"/>
    </row>
    <row r="177" spans="1:12" x14ac:dyDescent="0.2">
      <c r="A177" s="3"/>
      <c r="B177" s="3"/>
      <c r="C177" s="3"/>
      <c r="D177" s="3"/>
      <c r="E177" s="3"/>
      <c r="F177" s="3"/>
      <c r="G177" s="3"/>
      <c r="J177" s="3"/>
      <c r="L177" s="3"/>
    </row>
    <row r="178" spans="1:12" x14ac:dyDescent="0.2">
      <c r="A178" s="3"/>
      <c r="B178" s="3"/>
      <c r="C178" s="3"/>
      <c r="D178" s="3"/>
      <c r="E178" s="3"/>
      <c r="F178" s="3"/>
      <c r="G178" s="3"/>
      <c r="J178" s="3"/>
      <c r="L178" s="3"/>
    </row>
    <row r="179" spans="1:12" x14ac:dyDescent="0.2">
      <c r="A179" s="3"/>
      <c r="B179" s="3"/>
      <c r="C179" s="3"/>
      <c r="D179" s="3"/>
      <c r="E179" s="3"/>
      <c r="F179" s="3"/>
      <c r="G179" s="3"/>
      <c r="J179" s="3"/>
      <c r="L179" s="3"/>
    </row>
    <row r="180" spans="1:12" x14ac:dyDescent="0.2">
      <c r="A180" s="3"/>
      <c r="B180" s="3"/>
      <c r="C180" s="3"/>
      <c r="D180" s="3"/>
      <c r="E180" s="3"/>
      <c r="F180" s="3"/>
      <c r="G180" s="3"/>
      <c r="J180" s="3"/>
      <c r="L180" s="3"/>
    </row>
    <row r="181" spans="1:12" x14ac:dyDescent="0.2">
      <c r="A181" s="3"/>
      <c r="B181" s="3"/>
      <c r="C181" s="3"/>
      <c r="D181" s="3"/>
      <c r="E181" s="3"/>
      <c r="F181" s="3"/>
      <c r="G181" s="3"/>
      <c r="J181" s="3"/>
      <c r="L181" s="3"/>
    </row>
    <row r="182" spans="1:12" x14ac:dyDescent="0.2">
      <c r="A182" s="3"/>
      <c r="B182" s="3"/>
      <c r="C182" s="3"/>
      <c r="D182" s="3"/>
      <c r="E182" s="3"/>
      <c r="F182" s="3"/>
      <c r="G182" s="3"/>
      <c r="J182" s="3"/>
      <c r="L182" s="3"/>
    </row>
    <row r="183" spans="1:12" x14ac:dyDescent="0.2">
      <c r="A183" s="3"/>
      <c r="B183" s="3"/>
      <c r="C183" s="3"/>
      <c r="D183" s="3"/>
      <c r="E183" s="3"/>
      <c r="F183" s="3"/>
      <c r="G183" s="3"/>
      <c r="J183" s="3"/>
      <c r="L183" s="3"/>
    </row>
    <row r="184" spans="1:12" x14ac:dyDescent="0.2">
      <c r="A184" s="3"/>
      <c r="B184" s="3"/>
      <c r="C184" s="3"/>
      <c r="D184" s="3"/>
      <c r="E184" s="3"/>
      <c r="F184" s="3"/>
      <c r="G184" s="3"/>
      <c r="J184" s="3"/>
      <c r="L184" s="3"/>
    </row>
    <row r="185" spans="1:12" x14ac:dyDescent="0.2">
      <c r="A185" s="3"/>
      <c r="B185" s="3"/>
      <c r="C185" s="3"/>
      <c r="D185" s="3"/>
      <c r="E185" s="3"/>
      <c r="F185" s="3"/>
      <c r="G185" s="3"/>
      <c r="J185" s="3"/>
      <c r="L185" s="3"/>
    </row>
    <row r="186" spans="1:12" x14ac:dyDescent="0.2">
      <c r="A186" s="3"/>
      <c r="B186" s="3"/>
      <c r="C186" s="3"/>
      <c r="D186" s="3"/>
      <c r="E186" s="3"/>
      <c r="F186" s="3"/>
      <c r="G186" s="3"/>
      <c r="J186" s="3"/>
      <c r="L186" s="3"/>
    </row>
    <row r="187" spans="1:12" x14ac:dyDescent="0.2">
      <c r="A187" s="3"/>
      <c r="B187" s="3"/>
      <c r="C187" s="3"/>
      <c r="D187" s="3"/>
      <c r="E187" s="3"/>
      <c r="F187" s="3"/>
      <c r="G187" s="3"/>
      <c r="J187" s="3"/>
      <c r="L187" s="3"/>
    </row>
    <row r="188" spans="1:12" x14ac:dyDescent="0.2">
      <c r="A188" s="3"/>
      <c r="B188" s="3"/>
      <c r="C188" s="3"/>
      <c r="D188" s="3"/>
      <c r="E188" s="3"/>
      <c r="F188" s="3"/>
      <c r="G188" s="3"/>
      <c r="J188" s="3"/>
      <c r="L188" s="3"/>
    </row>
    <row r="189" spans="1:12" x14ac:dyDescent="0.2">
      <c r="A189" s="3"/>
      <c r="B189" s="3"/>
      <c r="C189" s="3"/>
      <c r="D189" s="3"/>
      <c r="E189" s="3"/>
      <c r="F189" s="3"/>
      <c r="G189" s="3"/>
      <c r="J189" s="3"/>
      <c r="L189" s="3"/>
    </row>
    <row r="190" spans="1:12" x14ac:dyDescent="0.2">
      <c r="A190" s="3"/>
      <c r="B190" s="3"/>
      <c r="C190" s="3"/>
      <c r="D190" s="3"/>
      <c r="E190" s="3"/>
      <c r="F190" s="3"/>
      <c r="G190" s="3"/>
      <c r="J190" s="3"/>
      <c r="L190" s="3"/>
    </row>
    <row r="191" spans="1:12" x14ac:dyDescent="0.2">
      <c r="A191" s="3"/>
      <c r="B191" s="3"/>
      <c r="C191" s="3"/>
      <c r="D191" s="3"/>
      <c r="E191" s="3"/>
      <c r="F191" s="3"/>
      <c r="G191" s="3"/>
      <c r="J191" s="3"/>
      <c r="L191" s="3"/>
    </row>
    <row r="192" spans="1:12" x14ac:dyDescent="0.2">
      <c r="A192" s="3"/>
      <c r="B192" s="3"/>
      <c r="C192" s="3"/>
      <c r="D192" s="3"/>
      <c r="E192" s="3"/>
      <c r="F192" s="3"/>
      <c r="G192" s="3"/>
      <c r="J192" s="3"/>
      <c r="L192" s="3"/>
    </row>
    <row r="193" spans="1:12" x14ac:dyDescent="0.2">
      <c r="A193" s="3"/>
      <c r="B193" s="3"/>
      <c r="C193" s="3"/>
      <c r="D193" s="3"/>
      <c r="E193" s="3"/>
      <c r="F193" s="3"/>
      <c r="G193" s="3"/>
      <c r="J193" s="3"/>
      <c r="L193" s="3"/>
    </row>
    <row r="194" spans="1:12" x14ac:dyDescent="0.2">
      <c r="A194" s="3"/>
      <c r="B194" s="3"/>
      <c r="C194" s="3"/>
      <c r="D194" s="3"/>
      <c r="E194" s="3"/>
      <c r="F194" s="3"/>
      <c r="G194" s="3"/>
      <c r="J194" s="3"/>
      <c r="L194" s="3"/>
    </row>
    <row r="195" spans="1:12" x14ac:dyDescent="0.2">
      <c r="A195" s="3"/>
      <c r="B195" s="3"/>
      <c r="C195" s="3"/>
      <c r="D195" s="3"/>
      <c r="E195" s="3"/>
      <c r="F195" s="3"/>
      <c r="G195" s="3"/>
      <c r="J195" s="3"/>
      <c r="L195" s="3"/>
    </row>
    <row r="196" spans="1:12" x14ac:dyDescent="0.2">
      <c r="A196" s="3"/>
      <c r="B196" s="3"/>
      <c r="C196" s="3"/>
      <c r="D196" s="3"/>
      <c r="E196" s="3"/>
      <c r="F196" s="3"/>
      <c r="G196" s="3"/>
      <c r="J196" s="3"/>
      <c r="L196" s="3"/>
    </row>
    <row r="197" spans="1:12" x14ac:dyDescent="0.2">
      <c r="A197" s="3"/>
      <c r="B197" s="3"/>
      <c r="C197" s="3"/>
      <c r="D197" s="3"/>
      <c r="E197" s="3"/>
      <c r="F197" s="3"/>
      <c r="G197" s="3"/>
      <c r="J197" s="3"/>
      <c r="L197" s="3"/>
    </row>
    <row r="198" spans="1:12" x14ac:dyDescent="0.2">
      <c r="A198" s="3"/>
      <c r="B198" s="3"/>
      <c r="C198" s="3"/>
      <c r="D198" s="3"/>
      <c r="E198" s="3"/>
      <c r="F198" s="3"/>
      <c r="G198" s="3"/>
      <c r="J198" s="3"/>
      <c r="L198" s="3"/>
    </row>
    <row r="199" spans="1:12" x14ac:dyDescent="0.2">
      <c r="A199" s="3"/>
      <c r="B199" s="3"/>
      <c r="C199" s="3"/>
      <c r="D199" s="3"/>
      <c r="E199" s="3"/>
      <c r="F199" s="3"/>
      <c r="G199" s="3"/>
      <c r="J199" s="3"/>
      <c r="L199" s="3"/>
    </row>
    <row r="200" spans="1:12" x14ac:dyDescent="0.2">
      <c r="A200" s="3"/>
      <c r="B200" s="3"/>
      <c r="C200" s="3"/>
      <c r="D200" s="3"/>
      <c r="E200" s="3"/>
      <c r="F200" s="3"/>
      <c r="G200" s="3"/>
      <c r="J200" s="3"/>
      <c r="L200" s="3"/>
    </row>
    <row r="201" spans="1:12" x14ac:dyDescent="0.2">
      <c r="A201" s="3"/>
      <c r="B201" s="3"/>
      <c r="C201" s="3"/>
      <c r="D201" s="3"/>
      <c r="E201" s="3"/>
      <c r="F201" s="3"/>
      <c r="G201" s="3"/>
      <c r="J201" s="3"/>
      <c r="L201" s="3"/>
    </row>
    <row r="202" spans="1:12" x14ac:dyDescent="0.2">
      <c r="A202" s="3"/>
      <c r="B202" s="3"/>
      <c r="C202" s="3"/>
      <c r="D202" s="3"/>
      <c r="E202" s="3"/>
      <c r="F202" s="3"/>
      <c r="G202" s="3"/>
      <c r="J202" s="3"/>
      <c r="L202" s="3"/>
    </row>
    <row r="203" spans="1:12" x14ac:dyDescent="0.2">
      <c r="A203" s="3"/>
      <c r="B203" s="3"/>
      <c r="C203" s="3"/>
      <c r="D203" s="3"/>
      <c r="E203" s="3"/>
      <c r="F203" s="3"/>
      <c r="G203" s="3"/>
      <c r="J203" s="3"/>
      <c r="L203" s="3"/>
    </row>
    <row r="204" spans="1:12" x14ac:dyDescent="0.2">
      <c r="A204" s="3"/>
      <c r="B204" s="3"/>
      <c r="C204" s="3"/>
      <c r="D204" s="3"/>
      <c r="E204" s="3"/>
      <c r="F204" s="3"/>
      <c r="G204" s="3"/>
      <c r="J204" s="3"/>
      <c r="L204" s="3"/>
    </row>
    <row r="205" spans="1:12" x14ac:dyDescent="0.2">
      <c r="A205" s="3"/>
      <c r="B205" s="3"/>
      <c r="C205" s="3"/>
      <c r="D205" s="3"/>
      <c r="E205" s="3"/>
      <c r="F205" s="3"/>
      <c r="G205" s="3"/>
      <c r="J205" s="3"/>
      <c r="L205" s="3"/>
    </row>
    <row r="206" spans="1:12" x14ac:dyDescent="0.2">
      <c r="A206" s="3"/>
      <c r="B206" s="3"/>
      <c r="C206" s="3"/>
      <c r="D206" s="3"/>
      <c r="E206" s="3"/>
      <c r="F206" s="3"/>
      <c r="G206" s="3"/>
      <c r="J206" s="3"/>
      <c r="L206" s="3"/>
    </row>
    <row r="207" spans="1:12" x14ac:dyDescent="0.2">
      <c r="A207" s="3"/>
      <c r="B207" s="3"/>
      <c r="C207" s="3"/>
      <c r="D207" s="3"/>
      <c r="E207" s="3"/>
      <c r="F207" s="3"/>
      <c r="G207" s="3"/>
      <c r="J207" s="3"/>
      <c r="L207" s="3"/>
    </row>
    <row r="208" spans="1:12" x14ac:dyDescent="0.2">
      <c r="A208" s="3"/>
      <c r="B208" s="3"/>
      <c r="C208" s="3"/>
      <c r="D208" s="3"/>
      <c r="E208" s="3"/>
      <c r="F208" s="3"/>
      <c r="G208" s="3"/>
      <c r="J208" s="3"/>
      <c r="L208" s="3"/>
    </row>
    <row r="209" spans="1:12" x14ac:dyDescent="0.2">
      <c r="A209" s="3"/>
      <c r="B209" s="3"/>
      <c r="C209" s="3"/>
      <c r="D209" s="3"/>
      <c r="E209" s="3"/>
      <c r="F209" s="3"/>
      <c r="G209" s="3"/>
      <c r="J209" s="3"/>
      <c r="L209" s="3"/>
    </row>
    <row r="210" spans="1:12" x14ac:dyDescent="0.2">
      <c r="A210" s="3"/>
      <c r="B210" s="3"/>
      <c r="C210" s="3"/>
      <c r="D210" s="3"/>
      <c r="E210" s="3"/>
      <c r="F210" s="3"/>
      <c r="G210" s="3"/>
      <c r="J210" s="3"/>
      <c r="L210" s="3"/>
    </row>
    <row r="211" spans="1:12" x14ac:dyDescent="0.2">
      <c r="A211" s="3"/>
      <c r="B211" s="3"/>
      <c r="C211" s="3"/>
      <c r="D211" s="3"/>
      <c r="E211" s="3"/>
      <c r="F211" s="3"/>
      <c r="G211" s="3"/>
      <c r="J211" s="3"/>
      <c r="L211" s="3"/>
    </row>
    <row r="212" spans="1:12" x14ac:dyDescent="0.2">
      <c r="A212" s="3"/>
      <c r="B212" s="3"/>
      <c r="C212" s="3"/>
      <c r="D212" s="3"/>
      <c r="E212" s="3"/>
      <c r="F212" s="3"/>
      <c r="G212" s="3"/>
      <c r="J212" s="3"/>
      <c r="L212" s="3"/>
    </row>
    <row r="213" spans="1:12" x14ac:dyDescent="0.2">
      <c r="A213" s="3"/>
      <c r="B213" s="3"/>
      <c r="C213" s="3"/>
      <c r="D213" s="3"/>
      <c r="E213" s="3"/>
      <c r="F213" s="3"/>
      <c r="G213" s="3"/>
      <c r="J213" s="3"/>
      <c r="L213" s="3"/>
    </row>
    <row r="214" spans="1:12" x14ac:dyDescent="0.2">
      <c r="A214" s="3"/>
      <c r="B214" s="3"/>
      <c r="C214" s="3"/>
      <c r="D214" s="3"/>
      <c r="E214" s="3"/>
      <c r="F214" s="3"/>
      <c r="G214" s="3"/>
      <c r="J214" s="3"/>
      <c r="L214" s="3"/>
    </row>
    <row r="215" spans="1:12" x14ac:dyDescent="0.2">
      <c r="A215" s="3"/>
      <c r="B215" s="3"/>
      <c r="C215" s="3"/>
      <c r="D215" s="3"/>
      <c r="E215" s="3"/>
      <c r="F215" s="3"/>
      <c r="G215" s="3"/>
      <c r="J215" s="3"/>
      <c r="L215" s="3"/>
    </row>
    <row r="216" spans="1:12" x14ac:dyDescent="0.2">
      <c r="A216" s="3"/>
      <c r="B216" s="3"/>
      <c r="C216" s="3"/>
      <c r="D216" s="3"/>
      <c r="E216" s="3"/>
      <c r="F216" s="3"/>
      <c r="G216" s="3"/>
      <c r="J216" s="3"/>
      <c r="L216" s="3"/>
    </row>
    <row r="217" spans="1:12" x14ac:dyDescent="0.2">
      <c r="A217" s="3"/>
      <c r="B217" s="3"/>
      <c r="C217" s="3"/>
      <c r="D217" s="3"/>
      <c r="E217" s="3"/>
      <c r="F217" s="3"/>
      <c r="G217" s="3"/>
      <c r="J217" s="3"/>
      <c r="L217" s="3"/>
    </row>
    <row r="218" spans="1:12" x14ac:dyDescent="0.2">
      <c r="A218" s="3"/>
      <c r="B218" s="3"/>
      <c r="C218" s="3"/>
      <c r="D218" s="3"/>
      <c r="E218" s="3"/>
      <c r="F218" s="3"/>
      <c r="G218" s="3"/>
      <c r="J218" s="3"/>
      <c r="L218" s="3"/>
    </row>
    <row r="219" spans="1:12" x14ac:dyDescent="0.2">
      <c r="A219" s="3"/>
      <c r="B219" s="3"/>
      <c r="C219" s="3"/>
      <c r="D219" s="3"/>
      <c r="E219" s="3"/>
      <c r="F219" s="3"/>
      <c r="G219" s="3"/>
      <c r="J219" s="3"/>
      <c r="L219" s="3"/>
    </row>
    <row r="220" spans="1:12" x14ac:dyDescent="0.2">
      <c r="A220" s="3"/>
      <c r="B220" s="3"/>
      <c r="C220" s="3"/>
      <c r="D220" s="3"/>
      <c r="E220" s="3"/>
      <c r="F220" s="3"/>
      <c r="G220" s="3"/>
      <c r="J220" s="3"/>
      <c r="L220" s="3"/>
    </row>
    <row r="221" spans="1:12" x14ac:dyDescent="0.2">
      <c r="A221" s="3"/>
      <c r="B221" s="3"/>
      <c r="C221" s="3"/>
      <c r="D221" s="3"/>
      <c r="E221" s="3"/>
      <c r="F221" s="3"/>
      <c r="G221" s="3"/>
      <c r="J221" s="3"/>
      <c r="L221" s="3"/>
    </row>
    <row r="222" spans="1:12" x14ac:dyDescent="0.2">
      <c r="A222" s="3"/>
      <c r="B222" s="3"/>
      <c r="C222" s="3"/>
      <c r="D222" s="3"/>
      <c r="E222" s="3"/>
      <c r="F222" s="3"/>
      <c r="G222" s="3"/>
      <c r="J222" s="3"/>
      <c r="L222" s="3"/>
    </row>
    <row r="223" spans="1:12" x14ac:dyDescent="0.2">
      <c r="A223" s="3"/>
      <c r="B223" s="3"/>
      <c r="C223" s="3"/>
      <c r="D223" s="3"/>
      <c r="E223" s="3"/>
      <c r="F223" s="3"/>
      <c r="G223" s="3"/>
      <c r="J223" s="3"/>
      <c r="L223" s="3"/>
    </row>
    <row r="224" spans="1:12" x14ac:dyDescent="0.2">
      <c r="A224" s="3"/>
      <c r="B224" s="3"/>
      <c r="C224" s="3"/>
      <c r="D224" s="3"/>
      <c r="E224" s="3"/>
      <c r="F224" s="3"/>
      <c r="G224" s="3"/>
      <c r="J224" s="3"/>
      <c r="L224" s="3"/>
    </row>
    <row r="225" spans="1:12" x14ac:dyDescent="0.2">
      <c r="A225" s="3"/>
      <c r="B225" s="3"/>
      <c r="C225" s="3"/>
      <c r="D225" s="3"/>
      <c r="E225" s="3"/>
      <c r="F225" s="3"/>
      <c r="G225" s="3"/>
      <c r="J225" s="3"/>
      <c r="L225" s="3"/>
    </row>
    <row r="226" spans="1:12" x14ac:dyDescent="0.2">
      <c r="A226" s="3"/>
      <c r="B226" s="3"/>
      <c r="C226" s="3"/>
      <c r="D226" s="3"/>
      <c r="E226" s="3"/>
      <c r="F226" s="3"/>
      <c r="G226" s="3"/>
      <c r="J226" s="3"/>
      <c r="L226" s="3"/>
    </row>
    <row r="227" spans="1:12" x14ac:dyDescent="0.2">
      <c r="A227" s="3"/>
      <c r="B227" s="3"/>
      <c r="C227" s="3"/>
      <c r="D227" s="3"/>
      <c r="E227" s="3"/>
      <c r="F227" s="3"/>
      <c r="G227" s="3"/>
      <c r="J227" s="3"/>
      <c r="L227" s="3"/>
    </row>
    <row r="228" spans="1:12" x14ac:dyDescent="0.2">
      <c r="A228" s="3"/>
      <c r="B228" s="3"/>
      <c r="C228" s="3"/>
      <c r="D228" s="3"/>
      <c r="E228" s="3"/>
      <c r="F228" s="3"/>
      <c r="G228" s="3"/>
      <c r="J228" s="3"/>
      <c r="L228" s="3"/>
    </row>
    <row r="229" spans="1:12" x14ac:dyDescent="0.2">
      <c r="A229" s="3"/>
      <c r="B229" s="3"/>
      <c r="C229" s="3"/>
      <c r="D229" s="3"/>
      <c r="E229" s="3"/>
      <c r="F229" s="3"/>
      <c r="G229" s="3"/>
      <c r="J229" s="3"/>
      <c r="L229" s="3"/>
    </row>
    <row r="230" spans="1:12" x14ac:dyDescent="0.2">
      <c r="A230" s="3"/>
      <c r="B230" s="3"/>
      <c r="C230" s="3"/>
      <c r="D230" s="3"/>
      <c r="E230" s="3"/>
      <c r="F230" s="3"/>
      <c r="G230" s="3"/>
      <c r="J230" s="3"/>
      <c r="L230" s="3"/>
    </row>
    <row r="231" spans="1:12" x14ac:dyDescent="0.2">
      <c r="A231" s="3"/>
      <c r="B231" s="3"/>
      <c r="C231" s="3"/>
      <c r="D231" s="3"/>
      <c r="E231" s="3"/>
      <c r="F231" s="3"/>
      <c r="G231" s="3"/>
      <c r="J231" s="3"/>
      <c r="L231" s="3"/>
    </row>
    <row r="232" spans="1:12" x14ac:dyDescent="0.2">
      <c r="A232" s="3"/>
      <c r="B232" s="3"/>
      <c r="C232" s="3"/>
      <c r="D232" s="3"/>
      <c r="E232" s="3"/>
      <c r="F232" s="3"/>
      <c r="G232" s="3"/>
      <c r="J232" s="3"/>
      <c r="L232" s="3"/>
    </row>
    <row r="233" spans="1:12" x14ac:dyDescent="0.2">
      <c r="A233" s="3"/>
      <c r="B233" s="3"/>
      <c r="C233" s="3"/>
      <c r="D233" s="3"/>
      <c r="E233" s="3"/>
      <c r="F233" s="3"/>
      <c r="G233" s="3"/>
      <c r="J233" s="3"/>
      <c r="L233" s="3"/>
    </row>
    <row r="234" spans="1:12" x14ac:dyDescent="0.2">
      <c r="A234" s="3"/>
      <c r="B234" s="3"/>
      <c r="C234" s="3"/>
      <c r="D234" s="3"/>
      <c r="E234" s="3"/>
      <c r="F234" s="3"/>
      <c r="G234" s="3"/>
      <c r="J234" s="3"/>
      <c r="L234" s="3"/>
    </row>
    <row r="235" spans="1:12" x14ac:dyDescent="0.2">
      <c r="A235" s="3"/>
      <c r="B235" s="3"/>
      <c r="C235" s="3"/>
      <c r="D235" s="3"/>
      <c r="E235" s="3"/>
      <c r="F235" s="3"/>
      <c r="G235" s="3"/>
      <c r="J235" s="3"/>
      <c r="L235" s="3"/>
    </row>
    <row r="236" spans="1:12" x14ac:dyDescent="0.2">
      <c r="A236" s="3"/>
      <c r="B236" s="3"/>
      <c r="C236" s="3"/>
      <c r="D236" s="3"/>
      <c r="E236" s="3"/>
      <c r="F236" s="3"/>
      <c r="G236" s="3"/>
      <c r="J236" s="3"/>
      <c r="L236" s="3"/>
    </row>
    <row r="237" spans="1:12" x14ac:dyDescent="0.2">
      <c r="A237" s="3"/>
      <c r="B237" s="3"/>
      <c r="C237" s="3"/>
      <c r="D237" s="3"/>
      <c r="E237" s="3"/>
      <c r="F237" s="3"/>
      <c r="G237" s="3"/>
      <c r="J237" s="3"/>
      <c r="L237" s="3"/>
    </row>
    <row r="238" spans="1:12" x14ac:dyDescent="0.2">
      <c r="A238" s="3"/>
      <c r="B238" s="3"/>
      <c r="C238" s="3"/>
      <c r="D238" s="3"/>
      <c r="E238" s="3"/>
      <c r="F238" s="3"/>
      <c r="G238" s="3"/>
      <c r="J238" s="3"/>
      <c r="L238" s="3"/>
    </row>
    <row r="239" spans="1:12" x14ac:dyDescent="0.2">
      <c r="A239" s="3"/>
      <c r="B239" s="3"/>
      <c r="C239" s="3"/>
      <c r="D239" s="3"/>
      <c r="E239" s="3"/>
      <c r="F239" s="3"/>
      <c r="G239" s="3"/>
      <c r="J239" s="3"/>
      <c r="L239" s="3"/>
    </row>
    <row r="240" spans="1:12" x14ac:dyDescent="0.2">
      <c r="A240" s="3"/>
      <c r="B240" s="3"/>
      <c r="C240" s="3"/>
      <c r="D240" s="3"/>
      <c r="E240" s="3"/>
      <c r="F240" s="3"/>
      <c r="G240" s="3"/>
      <c r="J240" s="3"/>
      <c r="L240" s="3"/>
    </row>
    <row r="241" spans="1:12" x14ac:dyDescent="0.2">
      <c r="A241" s="3"/>
      <c r="B241" s="3"/>
      <c r="C241" s="3"/>
      <c r="D241" s="3"/>
      <c r="E241" s="3"/>
      <c r="F241" s="3"/>
      <c r="G241" s="3"/>
      <c r="J241" s="3"/>
      <c r="L241" s="3"/>
    </row>
    <row r="242" spans="1:12" x14ac:dyDescent="0.2">
      <c r="A242" s="3"/>
      <c r="B242" s="3"/>
      <c r="C242" s="3"/>
      <c r="D242" s="3"/>
      <c r="E242" s="3"/>
      <c r="F242" s="3"/>
      <c r="G242" s="3"/>
      <c r="J242" s="3"/>
      <c r="L242" s="3"/>
    </row>
    <row r="243" spans="1:12" x14ac:dyDescent="0.2">
      <c r="A243" s="3"/>
      <c r="B243" s="3"/>
      <c r="C243" s="3"/>
      <c r="D243" s="3"/>
      <c r="E243" s="3"/>
      <c r="F243" s="3"/>
      <c r="G243" s="3"/>
      <c r="J243" s="3"/>
      <c r="L243" s="3"/>
    </row>
    <row r="244" spans="1:12" x14ac:dyDescent="0.2">
      <c r="A244" s="3"/>
      <c r="B244" s="3"/>
      <c r="C244" s="3"/>
      <c r="D244" s="3"/>
      <c r="E244" s="3"/>
      <c r="F244" s="3"/>
      <c r="G244" s="3"/>
      <c r="J244" s="3"/>
      <c r="L244" s="3"/>
    </row>
    <row r="245" spans="1:12" x14ac:dyDescent="0.2">
      <c r="A245" s="3"/>
      <c r="B245" s="3"/>
      <c r="C245" s="3"/>
      <c r="D245" s="3"/>
      <c r="E245" s="3"/>
      <c r="F245" s="3"/>
      <c r="G245" s="3"/>
      <c r="J245" s="3"/>
      <c r="L245" s="3"/>
    </row>
    <row r="246" spans="1:12" x14ac:dyDescent="0.2">
      <c r="A246" s="3"/>
      <c r="B246" s="3"/>
      <c r="C246" s="3"/>
      <c r="D246" s="3"/>
      <c r="E246" s="3"/>
      <c r="F246" s="3"/>
      <c r="G246" s="3"/>
      <c r="J246" s="3"/>
      <c r="L246" s="3"/>
    </row>
    <row r="247" spans="1:12" x14ac:dyDescent="0.2">
      <c r="A247" s="3"/>
      <c r="B247" s="3"/>
      <c r="C247" s="3"/>
      <c r="D247" s="3"/>
      <c r="E247" s="3"/>
      <c r="F247" s="3"/>
      <c r="G247" s="3"/>
      <c r="J247" s="3"/>
      <c r="L247" s="3"/>
    </row>
    <row r="248" spans="1:12" x14ac:dyDescent="0.2">
      <c r="A248" s="3"/>
      <c r="B248" s="3"/>
      <c r="C248" s="3"/>
      <c r="D248" s="3"/>
      <c r="E248" s="3"/>
      <c r="F248" s="3"/>
      <c r="G248" s="3"/>
      <c r="J248" s="3"/>
      <c r="L248" s="3"/>
    </row>
    <row r="249" spans="1:12" x14ac:dyDescent="0.2">
      <c r="A249" s="3"/>
      <c r="B249" s="3"/>
      <c r="C249" s="3"/>
      <c r="D249" s="3"/>
      <c r="E249" s="3"/>
      <c r="F249" s="3"/>
      <c r="G249" s="3"/>
      <c r="J249" s="3"/>
      <c r="L249" s="3"/>
    </row>
    <row r="250" spans="1:12" x14ac:dyDescent="0.2">
      <c r="A250" s="3"/>
      <c r="B250" s="3"/>
      <c r="C250" s="3"/>
      <c r="D250" s="3"/>
      <c r="E250" s="3"/>
      <c r="F250" s="3"/>
      <c r="G250" s="3"/>
      <c r="J250" s="3"/>
      <c r="L250" s="3"/>
    </row>
    <row r="251" spans="1:12" x14ac:dyDescent="0.2">
      <c r="A251" s="3"/>
      <c r="B251" s="3"/>
      <c r="C251" s="3"/>
      <c r="D251" s="3"/>
      <c r="E251" s="3"/>
      <c r="F251" s="3"/>
      <c r="G251" s="3"/>
      <c r="J251" s="3"/>
      <c r="L251" s="3"/>
    </row>
    <row r="252" spans="1:12" x14ac:dyDescent="0.2">
      <c r="A252" s="3"/>
      <c r="B252" s="3"/>
      <c r="C252" s="3"/>
      <c r="D252" s="3"/>
      <c r="E252" s="3"/>
      <c r="F252" s="3"/>
      <c r="G252" s="3"/>
      <c r="J252" s="3"/>
      <c r="L252" s="3"/>
    </row>
    <row r="253" spans="1:12" x14ac:dyDescent="0.2">
      <c r="A253" s="3"/>
      <c r="B253" s="3"/>
      <c r="C253" s="3"/>
      <c r="D253" s="3"/>
      <c r="E253" s="3"/>
      <c r="F253" s="3"/>
      <c r="G253" s="3"/>
      <c r="J253" s="3"/>
      <c r="L253" s="3"/>
    </row>
    <row r="254" spans="1:12" x14ac:dyDescent="0.2">
      <c r="A254" s="3"/>
      <c r="B254" s="3"/>
      <c r="C254" s="3"/>
      <c r="D254" s="3"/>
      <c r="E254" s="3"/>
      <c r="F254" s="3"/>
      <c r="G254" s="3"/>
      <c r="J254" s="3"/>
      <c r="L254" s="3"/>
    </row>
    <row r="255" spans="1:12" x14ac:dyDescent="0.2">
      <c r="A255" s="3"/>
      <c r="B255" s="3"/>
      <c r="C255" s="3"/>
      <c r="D255" s="3"/>
      <c r="E255" s="3"/>
      <c r="F255" s="3"/>
      <c r="G255" s="3"/>
      <c r="J255" s="3"/>
      <c r="L255" s="3"/>
    </row>
    <row r="256" spans="1:12" x14ac:dyDescent="0.2">
      <c r="A256" s="3"/>
      <c r="B256" s="3"/>
      <c r="C256" s="3"/>
      <c r="D256" s="3"/>
      <c r="E256" s="3"/>
      <c r="F256" s="3"/>
      <c r="G256" s="3"/>
      <c r="J256" s="3"/>
      <c r="L256" s="3"/>
    </row>
    <row r="257" spans="1:12" x14ac:dyDescent="0.2">
      <c r="A257" s="3"/>
      <c r="B257" s="3"/>
      <c r="C257" s="3"/>
      <c r="D257" s="3"/>
      <c r="E257" s="3"/>
      <c r="F257" s="3"/>
      <c r="G257" s="3"/>
      <c r="J257" s="3"/>
      <c r="L257" s="3"/>
    </row>
    <row r="258" spans="1:12" x14ac:dyDescent="0.2">
      <c r="A258" s="3"/>
      <c r="B258" s="3"/>
      <c r="C258" s="3"/>
      <c r="D258" s="3"/>
      <c r="E258" s="3"/>
      <c r="F258" s="3"/>
      <c r="G258" s="3"/>
      <c r="J258" s="3"/>
      <c r="L258" s="3"/>
    </row>
    <row r="259" spans="1:12" x14ac:dyDescent="0.2">
      <c r="A259" s="3"/>
      <c r="B259" s="3"/>
      <c r="C259" s="3"/>
      <c r="D259" s="3"/>
      <c r="E259" s="3"/>
      <c r="F259" s="3"/>
      <c r="G259" s="3"/>
      <c r="J259" s="3"/>
      <c r="L259" s="3"/>
    </row>
    <row r="260" spans="1:12" x14ac:dyDescent="0.2">
      <c r="A260" s="3"/>
      <c r="B260" s="3"/>
      <c r="C260" s="3"/>
      <c r="D260" s="3"/>
      <c r="E260" s="3"/>
      <c r="F260" s="3"/>
      <c r="G260" s="3"/>
      <c r="J260" s="3"/>
      <c r="L260" s="3"/>
    </row>
    <row r="261" spans="1:12" x14ac:dyDescent="0.2">
      <c r="A261" s="3"/>
      <c r="B261" s="3"/>
      <c r="C261" s="3"/>
      <c r="D261" s="3"/>
      <c r="E261" s="3"/>
      <c r="F261" s="3"/>
      <c r="G261" s="3"/>
      <c r="J261" s="3"/>
      <c r="L261" s="3"/>
    </row>
    <row r="262" spans="1:12" x14ac:dyDescent="0.2">
      <c r="A262" s="3"/>
      <c r="B262" s="3"/>
      <c r="C262" s="3"/>
      <c r="D262" s="3"/>
      <c r="E262" s="3"/>
      <c r="F262" s="3"/>
      <c r="G262" s="3"/>
      <c r="J262" s="3"/>
      <c r="L262" s="3"/>
    </row>
    <row r="263" spans="1:12" x14ac:dyDescent="0.2">
      <c r="A263" s="3"/>
      <c r="B263" s="3"/>
      <c r="C263" s="3"/>
      <c r="D263" s="3"/>
      <c r="E263" s="3"/>
      <c r="F263" s="3"/>
      <c r="G263" s="3"/>
      <c r="J263" s="3"/>
      <c r="L263" s="3"/>
    </row>
    <row r="264" spans="1:12" x14ac:dyDescent="0.2">
      <c r="A264" s="3"/>
      <c r="B264" s="3"/>
      <c r="C264" s="3"/>
      <c r="D264" s="3"/>
      <c r="E264" s="3"/>
      <c r="F264" s="3"/>
      <c r="G264" s="3"/>
      <c r="J264" s="3"/>
      <c r="L264" s="3"/>
    </row>
    <row r="265" spans="1:12" x14ac:dyDescent="0.2">
      <c r="A265" s="3"/>
      <c r="B265" s="3"/>
      <c r="C265" s="3"/>
      <c r="D265" s="3"/>
      <c r="E265" s="3"/>
      <c r="F265" s="3"/>
      <c r="G265" s="3"/>
      <c r="J265" s="3"/>
      <c r="L265" s="3"/>
    </row>
    <row r="266" spans="1:12" x14ac:dyDescent="0.2">
      <c r="A266" s="3"/>
      <c r="B266" s="3"/>
      <c r="C266" s="3"/>
      <c r="D266" s="3"/>
      <c r="E266" s="3"/>
      <c r="F266" s="3"/>
      <c r="G266" s="3"/>
      <c r="J266" s="3"/>
      <c r="L266" s="3"/>
    </row>
    <row r="267" spans="1:12" x14ac:dyDescent="0.2">
      <c r="A267" s="3"/>
      <c r="B267" s="3"/>
      <c r="C267" s="3"/>
      <c r="D267" s="3"/>
      <c r="E267" s="3"/>
      <c r="F267" s="3"/>
      <c r="G267" s="3"/>
      <c r="J267" s="3"/>
      <c r="L267" s="3"/>
    </row>
    <row r="268" spans="1:12" x14ac:dyDescent="0.2">
      <c r="A268" s="3"/>
      <c r="B268" s="3"/>
      <c r="C268" s="3"/>
      <c r="D268" s="3"/>
      <c r="E268" s="3"/>
      <c r="F268" s="3"/>
      <c r="G268" s="3"/>
      <c r="J268" s="3"/>
      <c r="L268" s="3"/>
    </row>
    <row r="269" spans="1:12" x14ac:dyDescent="0.2">
      <c r="A269" s="3"/>
      <c r="B269" s="3"/>
      <c r="C269" s="3"/>
      <c r="D269" s="3"/>
      <c r="E269" s="3"/>
      <c r="F269" s="3"/>
      <c r="G269" s="3"/>
      <c r="J269" s="3"/>
      <c r="L269" s="3"/>
    </row>
    <row r="270" spans="1:12" x14ac:dyDescent="0.2">
      <c r="A270" s="3"/>
      <c r="B270" s="3"/>
      <c r="C270" s="3"/>
      <c r="D270" s="3"/>
      <c r="E270" s="3"/>
      <c r="F270" s="3"/>
      <c r="G270" s="3"/>
      <c r="J270" s="3"/>
      <c r="L270" s="3"/>
    </row>
    <row r="271" spans="1:12" x14ac:dyDescent="0.2">
      <c r="A271" s="3"/>
      <c r="B271" s="3"/>
      <c r="C271" s="3"/>
      <c r="D271" s="3"/>
      <c r="E271" s="3"/>
      <c r="F271" s="3"/>
      <c r="G271" s="3"/>
      <c r="J271" s="3"/>
      <c r="L271" s="3"/>
    </row>
    <row r="272" spans="1:12" x14ac:dyDescent="0.2">
      <c r="A272" s="3"/>
      <c r="B272" s="3"/>
      <c r="C272" s="3"/>
      <c r="D272" s="3"/>
      <c r="E272" s="3"/>
      <c r="F272" s="3"/>
      <c r="G272" s="3"/>
      <c r="J272" s="3"/>
      <c r="L272" s="3"/>
    </row>
    <row r="273" spans="1:12" x14ac:dyDescent="0.2">
      <c r="A273" s="3"/>
      <c r="B273" s="3"/>
      <c r="C273" s="3"/>
      <c r="D273" s="3"/>
      <c r="E273" s="3"/>
      <c r="F273" s="3"/>
      <c r="G273" s="3"/>
      <c r="J273" s="3"/>
      <c r="L273" s="3"/>
    </row>
    <row r="274" spans="1:12" x14ac:dyDescent="0.2">
      <c r="A274" s="3"/>
      <c r="B274" s="3"/>
      <c r="C274" s="3"/>
      <c r="D274" s="3"/>
      <c r="E274" s="3"/>
      <c r="F274" s="3"/>
      <c r="G274" s="3"/>
      <c r="J274" s="3"/>
      <c r="L274" s="3"/>
    </row>
    <row r="275" spans="1:12" x14ac:dyDescent="0.2">
      <c r="A275" s="3"/>
      <c r="B275" s="3"/>
      <c r="C275" s="3"/>
      <c r="D275" s="3"/>
      <c r="E275" s="3"/>
      <c r="F275" s="3"/>
      <c r="G275" s="3"/>
      <c r="J275" s="3"/>
      <c r="L275" s="3"/>
    </row>
    <row r="276" spans="1:12" x14ac:dyDescent="0.2">
      <c r="A276" s="3"/>
      <c r="B276" s="3"/>
      <c r="C276" s="3"/>
      <c r="D276" s="3"/>
      <c r="E276" s="3"/>
      <c r="F276" s="3"/>
      <c r="G276" s="3"/>
      <c r="J276" s="3"/>
      <c r="L276" s="3"/>
    </row>
    <row r="277" spans="1:12" x14ac:dyDescent="0.2">
      <c r="A277" s="3"/>
      <c r="B277" s="3"/>
      <c r="C277" s="3"/>
      <c r="D277" s="3"/>
      <c r="E277" s="3"/>
      <c r="F277" s="3"/>
      <c r="G277" s="3"/>
      <c r="J277" s="3"/>
      <c r="L277" s="3"/>
    </row>
    <row r="278" spans="1:12" x14ac:dyDescent="0.2">
      <c r="A278" s="3"/>
      <c r="B278" s="3"/>
      <c r="C278" s="3"/>
      <c r="D278" s="3"/>
      <c r="E278" s="3"/>
      <c r="F278" s="3"/>
      <c r="G278" s="3"/>
      <c r="J278" s="3"/>
      <c r="L278" s="3"/>
    </row>
    <row r="279" spans="1:12" x14ac:dyDescent="0.2">
      <c r="A279" s="3"/>
      <c r="B279" s="3"/>
      <c r="C279" s="3"/>
      <c r="D279" s="3"/>
      <c r="E279" s="3"/>
      <c r="F279" s="3"/>
      <c r="G279" s="3"/>
      <c r="J279" s="3"/>
      <c r="L279" s="3"/>
    </row>
    <row r="280" spans="1:12" x14ac:dyDescent="0.2">
      <c r="A280" s="3"/>
      <c r="B280" s="3"/>
      <c r="C280" s="3"/>
      <c r="D280" s="3"/>
      <c r="E280" s="3"/>
      <c r="F280" s="3"/>
      <c r="G280" s="3"/>
      <c r="J280" s="3"/>
      <c r="L280" s="3"/>
    </row>
    <row r="281" spans="1:12" x14ac:dyDescent="0.2">
      <c r="A281" s="3"/>
      <c r="B281" s="3"/>
      <c r="C281" s="3"/>
      <c r="D281" s="3"/>
      <c r="E281" s="3"/>
      <c r="F281" s="3"/>
      <c r="G281" s="3"/>
      <c r="J281" s="3"/>
      <c r="L281" s="3"/>
    </row>
    <row r="282" spans="1:12" x14ac:dyDescent="0.2">
      <c r="A282" s="3"/>
      <c r="B282" s="3"/>
      <c r="C282" s="3"/>
      <c r="D282" s="3"/>
      <c r="E282" s="3"/>
      <c r="F282" s="3"/>
      <c r="G282" s="3"/>
      <c r="J282" s="3"/>
      <c r="L282" s="3"/>
    </row>
    <row r="283" spans="1:12" x14ac:dyDescent="0.2">
      <c r="A283" s="3"/>
      <c r="B283" s="3"/>
      <c r="C283" s="3"/>
      <c r="D283" s="3"/>
      <c r="E283" s="3"/>
      <c r="F283" s="3"/>
      <c r="G283" s="3"/>
      <c r="J283" s="3"/>
      <c r="L283" s="3"/>
    </row>
    <row r="284" spans="1:12" x14ac:dyDescent="0.2">
      <c r="A284" s="3"/>
      <c r="B284" s="3"/>
      <c r="C284" s="3"/>
      <c r="D284" s="3"/>
      <c r="E284" s="3"/>
      <c r="F284" s="3"/>
      <c r="G284" s="3"/>
      <c r="J284" s="3"/>
      <c r="L284" s="3"/>
    </row>
    <row r="285" spans="1:12" x14ac:dyDescent="0.2">
      <c r="A285" s="3"/>
      <c r="B285" s="3"/>
      <c r="C285" s="3"/>
      <c r="D285" s="3"/>
      <c r="E285" s="3"/>
      <c r="F285" s="3"/>
      <c r="G285" s="3"/>
      <c r="J285" s="3"/>
      <c r="L285" s="3"/>
    </row>
    <row r="286" spans="1:12" x14ac:dyDescent="0.2">
      <c r="A286" s="3"/>
      <c r="B286" s="3"/>
      <c r="C286" s="3"/>
      <c r="D286" s="3"/>
      <c r="E286" s="3"/>
      <c r="F286" s="3"/>
      <c r="G286" s="3"/>
      <c r="J286" s="3"/>
      <c r="L286" s="3"/>
    </row>
    <row r="287" spans="1:12" x14ac:dyDescent="0.2">
      <c r="A287" s="3"/>
      <c r="B287" s="3"/>
      <c r="C287" s="3"/>
      <c r="D287" s="3"/>
      <c r="E287" s="3"/>
      <c r="F287" s="3"/>
      <c r="G287" s="3"/>
      <c r="J287" s="3"/>
      <c r="L287" s="3"/>
    </row>
    <row r="288" spans="1:12" x14ac:dyDescent="0.2">
      <c r="A288" s="3"/>
      <c r="B288" s="3"/>
      <c r="C288" s="3"/>
      <c r="D288" s="3"/>
      <c r="E288" s="3"/>
      <c r="F288" s="3"/>
      <c r="G288" s="3"/>
      <c r="J288" s="3"/>
      <c r="L288" s="3"/>
    </row>
    <row r="289" spans="1:12" x14ac:dyDescent="0.2">
      <c r="A289" s="3"/>
      <c r="B289" s="3"/>
      <c r="C289" s="3"/>
      <c r="D289" s="3"/>
      <c r="E289" s="3"/>
      <c r="F289" s="3"/>
      <c r="G289" s="3"/>
      <c r="J289" s="3"/>
      <c r="L289" s="3"/>
    </row>
    <row r="290" spans="1:12" x14ac:dyDescent="0.2">
      <c r="A290" s="3"/>
      <c r="B290" s="3"/>
      <c r="C290" s="3"/>
      <c r="D290" s="3"/>
      <c r="E290" s="3"/>
      <c r="F290" s="3"/>
      <c r="G290" s="3"/>
      <c r="J290" s="3"/>
      <c r="L290" s="3"/>
    </row>
    <row r="291" spans="1:12" x14ac:dyDescent="0.2">
      <c r="A291" s="3"/>
      <c r="B291" s="3"/>
      <c r="C291" s="3"/>
      <c r="D291" s="3"/>
      <c r="E291" s="3"/>
      <c r="F291" s="3"/>
      <c r="G291" s="3"/>
      <c r="J291" s="3"/>
      <c r="L291" s="3"/>
    </row>
    <row r="292" spans="1:12" x14ac:dyDescent="0.2">
      <c r="A292" s="3"/>
      <c r="B292" s="3"/>
      <c r="C292" s="3"/>
      <c r="D292" s="3"/>
      <c r="E292" s="3"/>
      <c r="F292" s="3"/>
      <c r="G292" s="3"/>
      <c r="J292" s="3"/>
      <c r="L292" s="3"/>
    </row>
    <row r="293" spans="1:12" x14ac:dyDescent="0.2">
      <c r="A293" s="3"/>
      <c r="B293" s="3"/>
      <c r="C293" s="3"/>
      <c r="D293" s="3"/>
      <c r="E293" s="3"/>
      <c r="F293" s="3"/>
      <c r="G293" s="3"/>
      <c r="J293" s="3"/>
      <c r="L293" s="3"/>
    </row>
    <row r="294" spans="1:12" x14ac:dyDescent="0.2">
      <c r="A294" s="3"/>
      <c r="B294" s="3"/>
      <c r="C294" s="3"/>
      <c r="D294" s="3"/>
      <c r="E294" s="3"/>
      <c r="F294" s="3"/>
      <c r="G294" s="3"/>
      <c r="J294" s="3"/>
      <c r="L294" s="3"/>
    </row>
    <row r="295" spans="1:12" x14ac:dyDescent="0.2">
      <c r="A295" s="3"/>
      <c r="B295" s="3"/>
      <c r="C295" s="3"/>
      <c r="D295" s="3"/>
      <c r="E295" s="3"/>
      <c r="F295" s="3"/>
      <c r="G295" s="3"/>
      <c r="J295" s="3"/>
      <c r="L295" s="3"/>
    </row>
    <row r="296" spans="1:12" x14ac:dyDescent="0.2">
      <c r="A296" s="3"/>
      <c r="B296" s="3"/>
      <c r="C296" s="3"/>
      <c r="D296" s="3"/>
      <c r="E296" s="3"/>
      <c r="F296" s="3"/>
      <c r="G296" s="3"/>
      <c r="J296" s="3"/>
      <c r="L296" s="3"/>
    </row>
    <row r="297" spans="1:12" x14ac:dyDescent="0.2">
      <c r="A297" s="3"/>
      <c r="B297" s="3"/>
      <c r="C297" s="3"/>
      <c r="D297" s="3"/>
      <c r="E297" s="3"/>
      <c r="F297" s="3"/>
      <c r="G297" s="3"/>
      <c r="J297" s="3"/>
      <c r="L297" s="3"/>
    </row>
    <row r="298" spans="1:12" x14ac:dyDescent="0.2">
      <c r="A298" s="3"/>
      <c r="B298" s="3"/>
      <c r="C298" s="3"/>
      <c r="D298" s="3"/>
      <c r="E298" s="3"/>
      <c r="F298" s="3"/>
      <c r="G298" s="3"/>
      <c r="J298" s="3"/>
      <c r="L298" s="3"/>
    </row>
    <row r="299" spans="1:12" x14ac:dyDescent="0.2">
      <c r="A299" s="3"/>
      <c r="B299" s="3"/>
      <c r="C299" s="3"/>
      <c r="D299" s="3"/>
      <c r="E299" s="3"/>
      <c r="F299" s="3"/>
      <c r="G299" s="3"/>
      <c r="J299" s="3"/>
      <c r="L299" s="3"/>
    </row>
    <row r="300" spans="1:12" x14ac:dyDescent="0.2">
      <c r="A300" s="3"/>
      <c r="B300" s="3"/>
      <c r="C300" s="3"/>
      <c r="D300" s="3"/>
      <c r="E300" s="3"/>
      <c r="F300" s="3"/>
      <c r="G300" s="3"/>
      <c r="J300" s="3"/>
      <c r="L300" s="3"/>
    </row>
    <row r="301" spans="1:12" x14ac:dyDescent="0.2">
      <c r="A301" s="3"/>
      <c r="B301" s="3"/>
      <c r="C301" s="3"/>
      <c r="D301" s="3"/>
      <c r="E301" s="3"/>
      <c r="F301" s="3"/>
      <c r="G301" s="3"/>
      <c r="J301" s="3"/>
      <c r="L301" s="3"/>
    </row>
    <row r="302" spans="1:12" x14ac:dyDescent="0.2">
      <c r="A302" s="3"/>
      <c r="B302" s="3"/>
      <c r="C302" s="3"/>
      <c r="D302" s="3"/>
      <c r="E302" s="3"/>
      <c r="F302" s="3"/>
      <c r="G302" s="3"/>
      <c r="J302" s="3"/>
      <c r="L302" s="3"/>
    </row>
    <row r="303" spans="1:12" x14ac:dyDescent="0.2">
      <c r="A303" s="3"/>
      <c r="B303" s="3"/>
      <c r="C303" s="3"/>
      <c r="D303" s="3"/>
      <c r="E303" s="3"/>
      <c r="F303" s="3"/>
      <c r="G303" s="3"/>
      <c r="J303" s="3"/>
      <c r="L303" s="3"/>
    </row>
    <row r="304" spans="1:12" x14ac:dyDescent="0.2">
      <c r="A304" s="3"/>
      <c r="B304" s="3"/>
      <c r="C304" s="3"/>
      <c r="D304" s="3"/>
      <c r="E304" s="3"/>
      <c r="F304" s="3"/>
      <c r="G304" s="3"/>
      <c r="J304" s="3"/>
      <c r="L304" s="3"/>
    </row>
    <row r="305" spans="1:12" x14ac:dyDescent="0.2">
      <c r="A305" s="3"/>
      <c r="B305" s="3"/>
      <c r="C305" s="3"/>
      <c r="D305" s="3"/>
      <c r="E305" s="3"/>
      <c r="F305" s="3"/>
      <c r="G305" s="3"/>
      <c r="J305" s="3"/>
      <c r="L305" s="3"/>
    </row>
    <row r="306" spans="1:12" x14ac:dyDescent="0.2">
      <c r="A306" s="3"/>
      <c r="B306" s="3"/>
      <c r="C306" s="3"/>
      <c r="D306" s="3"/>
      <c r="E306" s="3"/>
      <c r="F306" s="3"/>
      <c r="G306" s="3"/>
      <c r="J306" s="3"/>
      <c r="L306" s="3"/>
    </row>
    <row r="307" spans="1:12" x14ac:dyDescent="0.2">
      <c r="A307" s="3"/>
      <c r="B307" s="3"/>
      <c r="C307" s="3"/>
      <c r="D307" s="3"/>
      <c r="E307" s="3"/>
      <c r="F307" s="3"/>
      <c r="G307" s="3"/>
      <c r="J307" s="3"/>
      <c r="L307" s="3"/>
    </row>
    <row r="308" spans="1:12" x14ac:dyDescent="0.2">
      <c r="A308" s="3"/>
      <c r="B308" s="3"/>
      <c r="C308" s="3"/>
      <c r="D308" s="3"/>
      <c r="E308" s="3"/>
      <c r="F308" s="3"/>
      <c r="G308" s="3"/>
      <c r="J308" s="3"/>
      <c r="L308" s="3"/>
    </row>
    <row r="309" spans="1:12" x14ac:dyDescent="0.2">
      <c r="A309" s="3"/>
      <c r="B309" s="3"/>
      <c r="C309" s="3"/>
      <c r="D309" s="3"/>
      <c r="E309" s="3"/>
      <c r="F309" s="3"/>
      <c r="G309" s="3"/>
      <c r="J309" s="3"/>
      <c r="L309" s="3"/>
    </row>
    <row r="310" spans="1:12" x14ac:dyDescent="0.2">
      <c r="A310" s="3"/>
      <c r="B310" s="3"/>
      <c r="C310" s="3"/>
      <c r="D310" s="3"/>
      <c r="E310" s="3"/>
      <c r="F310" s="3"/>
      <c r="G310" s="3"/>
      <c r="J310" s="3"/>
      <c r="L310" s="3"/>
    </row>
    <row r="311" spans="1:12" x14ac:dyDescent="0.2">
      <c r="A311" s="3"/>
      <c r="B311" s="3"/>
      <c r="C311" s="3"/>
      <c r="D311" s="3"/>
      <c r="E311" s="3"/>
      <c r="F311" s="3"/>
      <c r="G311" s="3"/>
      <c r="J311" s="3"/>
      <c r="L311" s="3"/>
    </row>
    <row r="312" spans="1:12" x14ac:dyDescent="0.2">
      <c r="A312" s="3"/>
      <c r="B312" s="3"/>
      <c r="C312" s="3"/>
      <c r="D312" s="3"/>
      <c r="E312" s="3"/>
      <c r="F312" s="3"/>
      <c r="G312" s="3"/>
      <c r="J312" s="3"/>
      <c r="L312" s="3"/>
    </row>
    <row r="313" spans="1:12" x14ac:dyDescent="0.2">
      <c r="A313" s="3"/>
      <c r="B313" s="3"/>
      <c r="C313" s="3"/>
      <c r="D313" s="3"/>
      <c r="E313" s="3"/>
      <c r="F313" s="3"/>
      <c r="G313" s="3"/>
      <c r="J313" s="3"/>
      <c r="L313" s="3"/>
    </row>
    <row r="314" spans="1:12" x14ac:dyDescent="0.2">
      <c r="A314" s="3"/>
      <c r="B314" s="3"/>
      <c r="C314" s="3"/>
      <c r="D314" s="3"/>
      <c r="E314" s="3"/>
      <c r="F314" s="3"/>
      <c r="G314" s="3"/>
      <c r="J314" s="3"/>
      <c r="L314" s="3"/>
    </row>
    <row r="315" spans="1:12" x14ac:dyDescent="0.2">
      <c r="A315" s="3"/>
      <c r="B315" s="3"/>
      <c r="C315" s="3"/>
      <c r="D315" s="3"/>
      <c r="E315" s="3"/>
      <c r="F315" s="3"/>
      <c r="G315" s="3"/>
      <c r="J315" s="3"/>
      <c r="L315" s="3"/>
    </row>
    <row r="316" spans="1:12" x14ac:dyDescent="0.2">
      <c r="A316" s="3"/>
      <c r="B316" s="3"/>
      <c r="C316" s="3"/>
      <c r="D316" s="3"/>
      <c r="E316" s="3"/>
      <c r="F316" s="3"/>
      <c r="G316" s="3"/>
      <c r="J316" s="3"/>
      <c r="L316" s="3"/>
    </row>
    <row r="317" spans="1:12" x14ac:dyDescent="0.2">
      <c r="A317" s="3"/>
      <c r="B317" s="3"/>
      <c r="C317" s="3"/>
      <c r="D317" s="3"/>
      <c r="E317" s="3"/>
      <c r="F317" s="3"/>
      <c r="G317" s="3"/>
      <c r="J317" s="3"/>
      <c r="L317" s="3"/>
    </row>
    <row r="318" spans="1:12" x14ac:dyDescent="0.2">
      <c r="A318" s="3"/>
      <c r="B318" s="3"/>
      <c r="C318" s="3"/>
      <c r="D318" s="3"/>
      <c r="E318" s="3"/>
      <c r="F318" s="3"/>
      <c r="G318" s="3"/>
      <c r="J318" s="3"/>
      <c r="L318" s="3"/>
    </row>
    <row r="319" spans="1:12" x14ac:dyDescent="0.2">
      <c r="A319" s="3"/>
      <c r="B319" s="3"/>
      <c r="C319" s="3"/>
      <c r="D319" s="3"/>
      <c r="E319" s="3"/>
      <c r="F319" s="3"/>
      <c r="G319" s="3"/>
      <c r="J319" s="3"/>
      <c r="L319" s="3"/>
    </row>
    <row r="320" spans="1:12" x14ac:dyDescent="0.2">
      <c r="A320" s="3"/>
      <c r="B320" s="3"/>
      <c r="C320" s="3"/>
      <c r="D320" s="3"/>
      <c r="E320" s="3"/>
      <c r="F320" s="3"/>
      <c r="G320" s="3"/>
      <c r="J320" s="3"/>
      <c r="L320" s="3"/>
    </row>
    <row r="321" spans="1:12" x14ac:dyDescent="0.2">
      <c r="A321" s="3"/>
      <c r="B321" s="3"/>
      <c r="C321" s="3"/>
      <c r="D321" s="3"/>
      <c r="E321" s="3"/>
      <c r="F321" s="3"/>
      <c r="G321" s="3"/>
      <c r="J321" s="3"/>
      <c r="L321" s="3"/>
    </row>
    <row r="322" spans="1:12" x14ac:dyDescent="0.2">
      <c r="A322" s="3"/>
      <c r="B322" s="3"/>
      <c r="C322" s="3"/>
      <c r="D322" s="3"/>
      <c r="E322" s="3"/>
      <c r="F322" s="3"/>
      <c r="G322" s="3"/>
      <c r="J322" s="3"/>
      <c r="L322" s="3"/>
    </row>
    <row r="323" spans="1:12" x14ac:dyDescent="0.2">
      <c r="A323" s="3"/>
      <c r="B323" s="3"/>
      <c r="C323" s="3"/>
      <c r="D323" s="3"/>
      <c r="E323" s="3"/>
      <c r="F323" s="3"/>
      <c r="G323" s="3"/>
      <c r="J323" s="3"/>
      <c r="L323" s="3"/>
    </row>
    <row r="324" spans="1:12" x14ac:dyDescent="0.2">
      <c r="A324" s="3"/>
      <c r="B324" s="3"/>
      <c r="C324" s="3"/>
      <c r="D324" s="3"/>
      <c r="E324" s="3"/>
      <c r="F324" s="3"/>
      <c r="G324" s="3"/>
      <c r="J324" s="3"/>
      <c r="L324" s="3"/>
    </row>
    <row r="325" spans="1:12" x14ac:dyDescent="0.2">
      <c r="A325" s="3"/>
      <c r="B325" s="3"/>
      <c r="C325" s="3"/>
      <c r="D325" s="3"/>
      <c r="E325" s="3"/>
      <c r="F325" s="3"/>
      <c r="G325" s="3"/>
      <c r="J325" s="3"/>
      <c r="L325" s="3"/>
    </row>
    <row r="326" spans="1:12" x14ac:dyDescent="0.2">
      <c r="A326" s="3"/>
      <c r="B326" s="3"/>
      <c r="C326" s="3"/>
      <c r="D326" s="3"/>
      <c r="E326" s="3"/>
      <c r="F326" s="3"/>
      <c r="G326" s="3"/>
      <c r="J326" s="3"/>
      <c r="L326" s="3"/>
    </row>
    <row r="327" spans="1:12" x14ac:dyDescent="0.2">
      <c r="A327" s="3"/>
      <c r="B327" s="3"/>
      <c r="C327" s="3"/>
      <c r="D327" s="3"/>
      <c r="E327" s="3"/>
      <c r="F327" s="3"/>
      <c r="G327" s="3"/>
      <c r="J327" s="3"/>
      <c r="L327" s="3"/>
    </row>
    <row r="328" spans="1:12" x14ac:dyDescent="0.2">
      <c r="A328" s="3"/>
      <c r="B328" s="3"/>
      <c r="C328" s="3"/>
      <c r="D328" s="3"/>
      <c r="E328" s="3"/>
      <c r="F328" s="3"/>
      <c r="G328" s="3"/>
      <c r="J328" s="3"/>
      <c r="L328" s="3"/>
    </row>
    <row r="329" spans="1:12" x14ac:dyDescent="0.2">
      <c r="A329" s="3"/>
      <c r="B329" s="3"/>
      <c r="C329" s="3"/>
      <c r="D329" s="3"/>
      <c r="E329" s="3"/>
      <c r="F329" s="3"/>
      <c r="G329" s="3"/>
      <c r="J329" s="3"/>
      <c r="L329" s="3"/>
    </row>
    <row r="330" spans="1:12" x14ac:dyDescent="0.2">
      <c r="A330" s="3"/>
      <c r="B330" s="3"/>
      <c r="C330" s="3"/>
      <c r="D330" s="3"/>
      <c r="E330" s="3"/>
      <c r="F330" s="3"/>
      <c r="G330" s="3"/>
      <c r="J330" s="3"/>
      <c r="L330" s="3"/>
    </row>
    <row r="331" spans="1:12" x14ac:dyDescent="0.2">
      <c r="A331" s="3"/>
      <c r="B331" s="3"/>
      <c r="C331" s="3"/>
      <c r="D331" s="3"/>
      <c r="E331" s="3"/>
      <c r="F331" s="3"/>
      <c r="G331" s="3"/>
      <c r="J331" s="3"/>
      <c r="L331" s="3"/>
    </row>
    <row r="332" spans="1:12" x14ac:dyDescent="0.2">
      <c r="A332" s="3"/>
      <c r="B332" s="3"/>
      <c r="C332" s="3"/>
      <c r="D332" s="3"/>
      <c r="E332" s="3"/>
      <c r="F332" s="3"/>
      <c r="G332" s="3"/>
      <c r="J332" s="3"/>
      <c r="L332" s="3"/>
    </row>
    <row r="333" spans="1:12" x14ac:dyDescent="0.2">
      <c r="A333" s="3"/>
      <c r="B333" s="3"/>
      <c r="C333" s="3"/>
      <c r="D333" s="3"/>
      <c r="E333" s="3"/>
      <c r="F333" s="3"/>
      <c r="G333" s="3"/>
      <c r="J333" s="3"/>
      <c r="L333" s="3"/>
    </row>
    <row r="334" spans="1:12" x14ac:dyDescent="0.2">
      <c r="A334" s="3"/>
      <c r="B334" s="3"/>
      <c r="C334" s="3"/>
      <c r="D334" s="3"/>
      <c r="E334" s="3"/>
      <c r="F334" s="3"/>
      <c r="G334" s="3"/>
      <c r="J334" s="3"/>
      <c r="L334" s="3"/>
    </row>
    <row r="335" spans="1:12" x14ac:dyDescent="0.2">
      <c r="A335" s="3"/>
      <c r="B335" s="3"/>
      <c r="C335" s="3"/>
      <c r="D335" s="3"/>
      <c r="E335" s="3"/>
      <c r="F335" s="3"/>
      <c r="G335" s="3"/>
      <c r="J335" s="3"/>
      <c r="L335" s="3"/>
    </row>
    <row r="336" spans="1:12" x14ac:dyDescent="0.2">
      <c r="A336" s="3"/>
      <c r="B336" s="3"/>
      <c r="C336" s="3"/>
      <c r="D336" s="3"/>
      <c r="E336" s="3"/>
      <c r="F336" s="3"/>
      <c r="G336" s="3"/>
      <c r="J336" s="3"/>
      <c r="L336" s="3"/>
    </row>
    <row r="337" spans="1:12" x14ac:dyDescent="0.2">
      <c r="A337" s="3"/>
      <c r="B337" s="3"/>
      <c r="C337" s="3"/>
      <c r="D337" s="3"/>
      <c r="E337" s="3"/>
      <c r="F337" s="3"/>
      <c r="G337" s="3"/>
      <c r="J337" s="3"/>
      <c r="L337" s="3"/>
    </row>
    <row r="338" spans="1:12" x14ac:dyDescent="0.2">
      <c r="A338" s="3"/>
      <c r="B338" s="3"/>
      <c r="C338" s="3"/>
      <c r="D338" s="3"/>
      <c r="E338" s="3"/>
      <c r="F338" s="3"/>
      <c r="G338" s="3"/>
      <c r="J338" s="3"/>
      <c r="L338" s="3"/>
    </row>
    <row r="339" spans="1:12" x14ac:dyDescent="0.2">
      <c r="A339" s="3"/>
      <c r="B339" s="3"/>
      <c r="C339" s="3"/>
      <c r="D339" s="3"/>
      <c r="E339" s="3"/>
      <c r="F339" s="3"/>
      <c r="G339" s="3"/>
      <c r="J339" s="3"/>
      <c r="L339" s="3"/>
    </row>
    <row r="340" spans="1:12" x14ac:dyDescent="0.2">
      <c r="A340" s="3"/>
      <c r="B340" s="3"/>
      <c r="C340" s="3"/>
      <c r="D340" s="3"/>
      <c r="E340" s="3"/>
      <c r="F340" s="3"/>
      <c r="G340" s="3"/>
      <c r="J340" s="3"/>
      <c r="L340" s="3"/>
    </row>
    <row r="341" spans="1:12" x14ac:dyDescent="0.2">
      <c r="A341" s="3"/>
      <c r="B341" s="3"/>
      <c r="C341" s="3"/>
      <c r="D341" s="3"/>
      <c r="E341" s="3"/>
      <c r="F341" s="3"/>
      <c r="G341" s="3"/>
      <c r="J341" s="3"/>
      <c r="L341" s="3"/>
    </row>
    <row r="342" spans="1:12" x14ac:dyDescent="0.2">
      <c r="A342" s="3"/>
      <c r="B342" s="3"/>
      <c r="C342" s="3"/>
      <c r="D342" s="3"/>
      <c r="E342" s="3"/>
      <c r="F342" s="3"/>
      <c r="G342" s="3"/>
      <c r="J342" s="3"/>
      <c r="L342" s="3"/>
    </row>
    <row r="343" spans="1:12" x14ac:dyDescent="0.2">
      <c r="A343" s="3"/>
      <c r="B343" s="3"/>
      <c r="C343" s="3"/>
      <c r="D343" s="3"/>
      <c r="E343" s="3"/>
      <c r="F343" s="3"/>
      <c r="G343" s="3"/>
      <c r="J343" s="3"/>
      <c r="L343" s="3"/>
    </row>
    <row r="344" spans="1:12" x14ac:dyDescent="0.2">
      <c r="A344" s="3"/>
      <c r="B344" s="3"/>
      <c r="C344" s="3"/>
      <c r="D344" s="3"/>
      <c r="E344" s="3"/>
      <c r="F344" s="3"/>
      <c r="G344" s="3"/>
      <c r="J344" s="3"/>
      <c r="L344" s="3"/>
    </row>
    <row r="345" spans="1:12" x14ac:dyDescent="0.2">
      <c r="A345" s="3"/>
      <c r="B345" s="3"/>
      <c r="C345" s="3"/>
      <c r="D345" s="3"/>
      <c r="E345" s="3"/>
      <c r="F345" s="3"/>
      <c r="G345" s="3"/>
      <c r="J345" s="3"/>
      <c r="L345" s="3"/>
    </row>
    <row r="346" spans="1:12" x14ac:dyDescent="0.2">
      <c r="A346" s="3"/>
      <c r="B346" s="3"/>
      <c r="C346" s="3"/>
      <c r="D346" s="3"/>
      <c r="E346" s="3"/>
      <c r="F346" s="3"/>
      <c r="G346" s="3"/>
      <c r="J346" s="3"/>
      <c r="L346" s="3"/>
    </row>
    <row r="347" spans="1:12" x14ac:dyDescent="0.2">
      <c r="A347" s="3"/>
      <c r="B347" s="3"/>
      <c r="C347" s="3"/>
      <c r="D347" s="3"/>
      <c r="E347" s="3"/>
      <c r="F347" s="3"/>
      <c r="G347" s="3"/>
      <c r="J347" s="3"/>
      <c r="L347" s="3"/>
    </row>
    <row r="348" spans="1:12" x14ac:dyDescent="0.2">
      <c r="A348" s="3"/>
      <c r="B348" s="3"/>
      <c r="C348" s="3"/>
      <c r="D348" s="3"/>
      <c r="E348" s="3"/>
      <c r="F348" s="3"/>
      <c r="G348" s="3"/>
      <c r="J348" s="3"/>
      <c r="L348" s="3"/>
    </row>
    <row r="349" spans="1:12" x14ac:dyDescent="0.2">
      <c r="A349" s="3"/>
      <c r="B349" s="3"/>
      <c r="C349" s="3"/>
      <c r="D349" s="3"/>
      <c r="E349" s="3"/>
      <c r="F349" s="3"/>
      <c r="G349" s="3"/>
      <c r="J349" s="3"/>
      <c r="L349" s="3"/>
    </row>
    <row r="350" spans="1:12" x14ac:dyDescent="0.2">
      <c r="A350" s="3"/>
      <c r="B350" s="3"/>
      <c r="C350" s="3"/>
      <c r="D350" s="3"/>
      <c r="E350" s="3"/>
      <c r="F350" s="3"/>
      <c r="G350" s="3"/>
      <c r="J350" s="3"/>
      <c r="L350" s="3"/>
    </row>
    <row r="351" spans="1:12" x14ac:dyDescent="0.2">
      <c r="A351" s="3"/>
      <c r="B351" s="3"/>
      <c r="C351" s="3"/>
      <c r="D351" s="3"/>
      <c r="E351" s="3"/>
      <c r="F351" s="3"/>
      <c r="G351" s="3"/>
      <c r="J351" s="3"/>
      <c r="L351" s="3"/>
    </row>
    <row r="352" spans="1:12" x14ac:dyDescent="0.2">
      <c r="A352" s="3"/>
      <c r="B352" s="3"/>
      <c r="C352" s="3"/>
      <c r="D352" s="3"/>
      <c r="E352" s="3"/>
      <c r="F352" s="3"/>
      <c r="G352" s="3"/>
      <c r="J352" s="3"/>
      <c r="L352" s="3"/>
    </row>
    <row r="353" spans="1:12" x14ac:dyDescent="0.2">
      <c r="A353" s="3"/>
      <c r="B353" s="3"/>
      <c r="C353" s="3"/>
      <c r="D353" s="3"/>
      <c r="E353" s="3"/>
      <c r="F353" s="3"/>
      <c r="G353" s="3"/>
      <c r="J353" s="3"/>
      <c r="L353" s="3"/>
    </row>
    <row r="354" spans="1:12" x14ac:dyDescent="0.2">
      <c r="A354" s="3"/>
      <c r="B354" s="3"/>
      <c r="C354" s="3"/>
      <c r="D354" s="3"/>
      <c r="E354" s="3"/>
      <c r="F354" s="3"/>
      <c r="G354" s="3"/>
      <c r="J354" s="3"/>
      <c r="L354" s="3"/>
    </row>
    <row r="355" spans="1:12" x14ac:dyDescent="0.2">
      <c r="A355" s="3"/>
      <c r="B355" s="3"/>
      <c r="C355" s="3"/>
      <c r="D355" s="3"/>
      <c r="E355" s="3"/>
      <c r="F355" s="3"/>
      <c r="G355" s="3"/>
      <c r="J355" s="3"/>
      <c r="L355" s="3"/>
    </row>
    <row r="356" spans="1:12" x14ac:dyDescent="0.2">
      <c r="A356" s="3"/>
      <c r="B356" s="3"/>
      <c r="C356" s="3"/>
      <c r="D356" s="3"/>
      <c r="E356" s="3"/>
      <c r="F356" s="3"/>
      <c r="G356" s="3"/>
      <c r="J356" s="3"/>
      <c r="L356" s="3"/>
    </row>
    <row r="357" spans="1:12" x14ac:dyDescent="0.2">
      <c r="A357" s="3"/>
      <c r="B357" s="3"/>
      <c r="C357" s="3"/>
      <c r="D357" s="3"/>
      <c r="E357" s="3"/>
      <c r="F357" s="3"/>
      <c r="G357" s="3"/>
      <c r="J357" s="3"/>
      <c r="L357" s="3"/>
    </row>
    <row r="358" spans="1:12" x14ac:dyDescent="0.2">
      <c r="A358" s="3"/>
      <c r="B358" s="3"/>
      <c r="C358" s="3"/>
      <c r="D358" s="3"/>
      <c r="E358" s="3"/>
      <c r="F358" s="3"/>
      <c r="G358" s="3"/>
      <c r="J358" s="3"/>
      <c r="L358" s="3"/>
    </row>
    <row r="359" spans="1:12" x14ac:dyDescent="0.2">
      <c r="A359" s="3"/>
      <c r="B359" s="3"/>
      <c r="C359" s="3"/>
      <c r="D359" s="3"/>
      <c r="E359" s="3"/>
      <c r="F359" s="3"/>
      <c r="G359" s="3"/>
      <c r="J359" s="3"/>
      <c r="L359" s="3"/>
    </row>
    <row r="360" spans="1:12" x14ac:dyDescent="0.2">
      <c r="A360" s="3"/>
      <c r="B360" s="3"/>
      <c r="C360" s="3"/>
      <c r="D360" s="3"/>
      <c r="E360" s="3"/>
      <c r="F360" s="3"/>
      <c r="G360" s="3"/>
      <c r="J360" s="3"/>
      <c r="L360" s="3"/>
    </row>
    <row r="361" spans="1:12" x14ac:dyDescent="0.2">
      <c r="A361" s="3"/>
      <c r="B361" s="3"/>
      <c r="C361" s="3"/>
      <c r="D361" s="3"/>
      <c r="E361" s="3"/>
      <c r="F361" s="3"/>
      <c r="G361" s="3"/>
      <c r="J361" s="3"/>
      <c r="L361" s="3"/>
    </row>
    <row r="362" spans="1:12" x14ac:dyDescent="0.2">
      <c r="A362" s="3"/>
      <c r="B362" s="3"/>
      <c r="C362" s="3"/>
      <c r="D362" s="3"/>
      <c r="E362" s="3"/>
      <c r="F362" s="3"/>
      <c r="G362" s="3"/>
      <c r="J362" s="3"/>
      <c r="L362" s="3"/>
    </row>
    <row r="363" spans="1:12" x14ac:dyDescent="0.2">
      <c r="A363" s="3"/>
      <c r="B363" s="3"/>
      <c r="C363" s="3"/>
      <c r="D363" s="3"/>
      <c r="E363" s="3"/>
      <c r="F363" s="3"/>
      <c r="G363" s="3"/>
      <c r="J363" s="3"/>
      <c r="L363" s="3"/>
    </row>
    <row r="364" spans="1:12" x14ac:dyDescent="0.2">
      <c r="A364" s="3"/>
      <c r="B364" s="3"/>
      <c r="C364" s="3"/>
      <c r="D364" s="3"/>
      <c r="E364" s="3"/>
      <c r="F364" s="3"/>
      <c r="G364" s="3"/>
      <c r="J364" s="3"/>
      <c r="L364" s="3"/>
    </row>
    <row r="365" spans="1:12" x14ac:dyDescent="0.2">
      <c r="A365" s="3"/>
      <c r="B365" s="3"/>
      <c r="C365" s="3"/>
      <c r="D365" s="3"/>
      <c r="E365" s="3"/>
      <c r="F365" s="3"/>
      <c r="G365" s="3"/>
      <c r="J365" s="3"/>
      <c r="L365" s="3"/>
    </row>
    <row r="366" spans="1:12" x14ac:dyDescent="0.2">
      <c r="A366" s="3"/>
      <c r="B366" s="3"/>
      <c r="C366" s="3"/>
      <c r="D366" s="3"/>
      <c r="E366" s="3"/>
      <c r="F366" s="3"/>
      <c r="G366" s="3"/>
      <c r="J366" s="3"/>
      <c r="L366" s="3"/>
    </row>
    <row r="367" spans="1:12" x14ac:dyDescent="0.2">
      <c r="A367" s="3"/>
      <c r="B367" s="3"/>
      <c r="C367" s="3"/>
      <c r="D367" s="3"/>
      <c r="E367" s="3"/>
      <c r="F367" s="3"/>
      <c r="G367" s="3"/>
      <c r="J367" s="3"/>
      <c r="L367" s="3"/>
    </row>
    <row r="368" spans="1:12" x14ac:dyDescent="0.2">
      <c r="A368" s="3"/>
      <c r="B368" s="3"/>
      <c r="C368" s="3"/>
      <c r="D368" s="3"/>
      <c r="E368" s="3"/>
      <c r="F368" s="3"/>
      <c r="G368" s="3"/>
      <c r="J368" s="3"/>
      <c r="L368" s="3"/>
    </row>
    <row r="369" spans="1:12" x14ac:dyDescent="0.2">
      <c r="A369" s="3"/>
      <c r="B369" s="3"/>
      <c r="C369" s="3"/>
      <c r="D369" s="3"/>
      <c r="E369" s="3"/>
      <c r="F369" s="3"/>
      <c r="G369" s="3"/>
      <c r="J369" s="3"/>
      <c r="L369" s="3"/>
    </row>
    <row r="370" spans="1:12" x14ac:dyDescent="0.2">
      <c r="A370" s="3"/>
      <c r="B370" s="3"/>
      <c r="C370" s="3"/>
      <c r="D370" s="3"/>
      <c r="E370" s="3"/>
      <c r="F370" s="3"/>
      <c r="G370" s="3"/>
      <c r="J370" s="3"/>
      <c r="L370" s="3"/>
    </row>
    <row r="371" spans="1:12" x14ac:dyDescent="0.2">
      <c r="A371" s="3"/>
      <c r="B371" s="3"/>
      <c r="C371" s="3"/>
      <c r="D371" s="3"/>
      <c r="E371" s="3"/>
      <c r="F371" s="3"/>
      <c r="G371" s="3"/>
      <c r="J371" s="3"/>
      <c r="L371" s="3"/>
    </row>
    <row r="372" spans="1:12" x14ac:dyDescent="0.2">
      <c r="A372" s="3"/>
      <c r="B372" s="3"/>
      <c r="C372" s="3"/>
      <c r="D372" s="3"/>
      <c r="E372" s="3"/>
      <c r="F372" s="3"/>
      <c r="G372" s="3"/>
      <c r="J372" s="3"/>
      <c r="L372" s="3"/>
    </row>
    <row r="373" spans="1:12" x14ac:dyDescent="0.2">
      <c r="A373" s="3"/>
      <c r="B373" s="3"/>
      <c r="C373" s="3"/>
      <c r="D373" s="3"/>
      <c r="E373" s="3"/>
      <c r="F373" s="3"/>
      <c r="G373" s="3"/>
      <c r="J373" s="3"/>
      <c r="L373" s="3"/>
    </row>
    <row r="374" spans="1:12" x14ac:dyDescent="0.2">
      <c r="A374" s="3"/>
      <c r="B374" s="3"/>
      <c r="C374" s="3"/>
      <c r="D374" s="3"/>
      <c r="E374" s="3"/>
      <c r="F374" s="3"/>
      <c r="G374" s="3"/>
      <c r="J374" s="3"/>
      <c r="L374" s="3"/>
    </row>
    <row r="375" spans="1:12" x14ac:dyDescent="0.2">
      <c r="A375" s="3"/>
      <c r="B375" s="3"/>
      <c r="C375" s="3"/>
      <c r="D375" s="3"/>
      <c r="E375" s="3"/>
      <c r="F375" s="3"/>
      <c r="G375" s="3"/>
      <c r="J375" s="3"/>
      <c r="L375" s="3"/>
    </row>
    <row r="376" spans="1:12" x14ac:dyDescent="0.2">
      <c r="A376" s="3"/>
      <c r="B376" s="3"/>
      <c r="C376" s="3"/>
      <c r="D376" s="3"/>
      <c r="E376" s="3"/>
      <c r="F376" s="3"/>
      <c r="G376" s="3"/>
      <c r="J376" s="3"/>
      <c r="L376" s="3"/>
    </row>
    <row r="377" spans="1:12" x14ac:dyDescent="0.2">
      <c r="A377" s="3"/>
      <c r="B377" s="3"/>
      <c r="C377" s="3"/>
      <c r="D377" s="3"/>
      <c r="E377" s="3"/>
      <c r="F377" s="3"/>
      <c r="G377" s="3"/>
      <c r="J377" s="3"/>
      <c r="L377" s="3"/>
    </row>
    <row r="378" spans="1:12" x14ac:dyDescent="0.2">
      <c r="A378" s="3"/>
      <c r="B378" s="3"/>
      <c r="C378" s="3"/>
      <c r="D378" s="3"/>
      <c r="E378" s="3"/>
      <c r="F378" s="3"/>
      <c r="G378" s="3"/>
      <c r="J378" s="3"/>
      <c r="L378" s="3"/>
    </row>
    <row r="379" spans="1:12" x14ac:dyDescent="0.2">
      <c r="A379" s="3"/>
      <c r="B379" s="3"/>
      <c r="C379" s="3"/>
      <c r="D379" s="3"/>
      <c r="E379" s="3"/>
      <c r="F379" s="3"/>
      <c r="G379" s="3"/>
      <c r="J379" s="3"/>
      <c r="L379" s="3"/>
    </row>
    <row r="380" spans="1:12" x14ac:dyDescent="0.2">
      <c r="A380" s="3"/>
      <c r="B380" s="3"/>
      <c r="C380" s="3"/>
      <c r="D380" s="3"/>
      <c r="E380" s="3"/>
      <c r="F380" s="3"/>
      <c r="G380" s="3"/>
      <c r="J380" s="3"/>
      <c r="L380" s="3"/>
    </row>
    <row r="381" spans="1:12" x14ac:dyDescent="0.2">
      <c r="A381" s="3"/>
      <c r="B381" s="3"/>
      <c r="C381" s="3"/>
      <c r="D381" s="3"/>
      <c r="E381" s="3"/>
      <c r="F381" s="3"/>
      <c r="G381" s="3"/>
      <c r="J381" s="3"/>
      <c r="L381" s="3"/>
    </row>
    <row r="382" spans="1:12" x14ac:dyDescent="0.2">
      <c r="A382" s="3"/>
      <c r="B382" s="3"/>
      <c r="C382" s="3"/>
      <c r="D382" s="3"/>
      <c r="E382" s="3"/>
      <c r="F382" s="3"/>
      <c r="G382" s="3"/>
      <c r="J382" s="3"/>
      <c r="L382" s="3"/>
    </row>
    <row r="383" spans="1:12" x14ac:dyDescent="0.2">
      <c r="A383" s="3"/>
      <c r="B383" s="3"/>
      <c r="C383" s="3"/>
      <c r="D383" s="3"/>
      <c r="E383" s="3"/>
      <c r="F383" s="3"/>
      <c r="G383" s="3"/>
      <c r="J383" s="3"/>
      <c r="L383" s="3"/>
    </row>
    <row r="384" spans="1:12" x14ac:dyDescent="0.2">
      <c r="A384" s="3"/>
      <c r="B384" s="3"/>
      <c r="C384" s="3"/>
      <c r="D384" s="3"/>
      <c r="E384" s="3"/>
      <c r="F384" s="3"/>
      <c r="G384" s="3"/>
      <c r="J384" s="3"/>
      <c r="L384" s="3"/>
    </row>
    <row r="385" spans="1:12" x14ac:dyDescent="0.2">
      <c r="A385" s="3"/>
      <c r="B385" s="3"/>
      <c r="C385" s="3"/>
      <c r="D385" s="3"/>
      <c r="E385" s="3"/>
      <c r="F385" s="3"/>
      <c r="G385" s="3"/>
      <c r="J385" s="3"/>
      <c r="L385" s="3"/>
    </row>
    <row r="386" spans="1:12" x14ac:dyDescent="0.2">
      <c r="A386" s="3"/>
      <c r="B386" s="3"/>
      <c r="C386" s="3"/>
      <c r="D386" s="3"/>
      <c r="E386" s="3"/>
      <c r="F386" s="3"/>
      <c r="G386" s="3"/>
      <c r="J386" s="3"/>
      <c r="L386" s="3"/>
    </row>
    <row r="387" spans="1:12" x14ac:dyDescent="0.2">
      <c r="A387" s="3"/>
      <c r="B387" s="3"/>
      <c r="C387" s="3"/>
      <c r="D387" s="3"/>
      <c r="E387" s="3"/>
      <c r="F387" s="3"/>
      <c r="G387" s="3"/>
      <c r="J387" s="3"/>
      <c r="L387" s="3"/>
    </row>
    <row r="388" spans="1:12" x14ac:dyDescent="0.2">
      <c r="A388" s="3"/>
      <c r="B388" s="3"/>
      <c r="C388" s="3"/>
      <c r="D388" s="3"/>
      <c r="E388" s="3"/>
      <c r="F388" s="3"/>
      <c r="G388" s="3"/>
      <c r="J388" s="3"/>
      <c r="L388" s="3"/>
    </row>
    <row r="389" spans="1:12" x14ac:dyDescent="0.2">
      <c r="A389" s="3"/>
      <c r="B389" s="3"/>
      <c r="C389" s="3"/>
      <c r="D389" s="3"/>
      <c r="E389" s="3"/>
      <c r="F389" s="3"/>
      <c r="G389" s="3"/>
      <c r="J389" s="3"/>
      <c r="L389" s="3"/>
    </row>
    <row r="390" spans="1:12" x14ac:dyDescent="0.2">
      <c r="A390" s="3"/>
      <c r="B390" s="3"/>
      <c r="C390" s="3"/>
      <c r="D390" s="3"/>
      <c r="E390" s="3"/>
      <c r="F390" s="3"/>
      <c r="G390" s="3"/>
      <c r="J390" s="3"/>
      <c r="L390" s="3"/>
    </row>
    <row r="391" spans="1:12" x14ac:dyDescent="0.2">
      <c r="A391" s="3"/>
      <c r="B391" s="3"/>
      <c r="C391" s="3"/>
      <c r="D391" s="3"/>
      <c r="E391" s="3"/>
      <c r="F391" s="3"/>
      <c r="G391" s="3"/>
      <c r="J391" s="3"/>
      <c r="L391" s="3"/>
    </row>
    <row r="392" spans="1:12" x14ac:dyDescent="0.2">
      <c r="A392" s="3"/>
      <c r="B392" s="3"/>
      <c r="C392" s="3"/>
      <c r="D392" s="3"/>
      <c r="E392" s="3"/>
      <c r="F392" s="3"/>
      <c r="G392" s="3"/>
      <c r="J392" s="3"/>
      <c r="L392" s="3"/>
    </row>
    <row r="393" spans="1:12" x14ac:dyDescent="0.2">
      <c r="A393" s="3"/>
      <c r="B393" s="3"/>
      <c r="C393" s="3"/>
      <c r="D393" s="3"/>
      <c r="E393" s="3"/>
      <c r="F393" s="3"/>
      <c r="G393" s="3"/>
      <c r="J393" s="3"/>
      <c r="L393" s="3"/>
    </row>
    <row r="394" spans="1:12" x14ac:dyDescent="0.2">
      <c r="A394" s="3"/>
      <c r="B394" s="3"/>
      <c r="C394" s="3"/>
      <c r="D394" s="3"/>
      <c r="E394" s="3"/>
      <c r="F394" s="3"/>
      <c r="G394" s="3"/>
      <c r="J394" s="3"/>
      <c r="L394" s="3"/>
    </row>
    <row r="395" spans="1:12" x14ac:dyDescent="0.2">
      <c r="A395" s="3"/>
      <c r="B395" s="3"/>
      <c r="C395" s="3"/>
      <c r="D395" s="3"/>
      <c r="E395" s="3"/>
      <c r="F395" s="3"/>
      <c r="G395" s="3"/>
      <c r="J395" s="3"/>
      <c r="L395" s="3"/>
    </row>
    <row r="396" spans="1:12" x14ac:dyDescent="0.2">
      <c r="A396" s="3"/>
      <c r="B396" s="3"/>
      <c r="C396" s="3"/>
      <c r="D396" s="3"/>
      <c r="E396" s="3"/>
      <c r="F396" s="3"/>
      <c r="G396" s="3"/>
      <c r="J396" s="3"/>
      <c r="L396" s="3"/>
    </row>
    <row r="397" spans="1:12" x14ac:dyDescent="0.2">
      <c r="A397" s="3"/>
      <c r="B397" s="3"/>
      <c r="C397" s="3"/>
      <c r="D397" s="3"/>
      <c r="E397" s="3"/>
      <c r="F397" s="3"/>
      <c r="G397" s="3"/>
      <c r="J397" s="3"/>
      <c r="L397" s="3"/>
    </row>
    <row r="398" spans="1:12" x14ac:dyDescent="0.2">
      <c r="A398" s="3"/>
      <c r="B398" s="3"/>
      <c r="C398" s="3"/>
      <c r="D398" s="3"/>
      <c r="E398" s="3"/>
      <c r="F398" s="3"/>
      <c r="G398" s="3"/>
      <c r="J398" s="3"/>
      <c r="L398" s="3"/>
    </row>
    <row r="399" spans="1:12" x14ac:dyDescent="0.2">
      <c r="A399" s="3"/>
      <c r="B399" s="3"/>
      <c r="C399" s="3"/>
      <c r="D399" s="3"/>
      <c r="E399" s="3"/>
      <c r="F399" s="3"/>
      <c r="G399" s="3"/>
      <c r="J399" s="3"/>
      <c r="L399" s="3"/>
    </row>
    <row r="400" spans="1:12" x14ac:dyDescent="0.2">
      <c r="A400" s="3"/>
      <c r="B400" s="3"/>
      <c r="C400" s="3"/>
      <c r="D400" s="3"/>
      <c r="E400" s="3"/>
      <c r="F400" s="3"/>
      <c r="G400" s="3"/>
      <c r="J400" s="3"/>
      <c r="L400" s="3"/>
    </row>
    <row r="401" spans="1:12" x14ac:dyDescent="0.2">
      <c r="A401" s="3"/>
      <c r="B401" s="3"/>
      <c r="C401" s="3"/>
      <c r="D401" s="3"/>
      <c r="E401" s="3"/>
      <c r="F401" s="3"/>
      <c r="G401" s="3"/>
      <c r="J401" s="3"/>
      <c r="L401" s="3"/>
    </row>
    <row r="402" spans="1:12" x14ac:dyDescent="0.2">
      <c r="A402" s="3"/>
      <c r="B402" s="3"/>
      <c r="C402" s="3"/>
      <c r="D402" s="3"/>
      <c r="E402" s="3"/>
      <c r="F402" s="3"/>
      <c r="G402" s="3"/>
      <c r="J402" s="3"/>
      <c r="L402" s="3"/>
    </row>
    <row r="403" spans="1:12" x14ac:dyDescent="0.2">
      <c r="A403" s="3"/>
      <c r="B403" s="3"/>
      <c r="C403" s="3"/>
      <c r="D403" s="3"/>
      <c r="E403" s="3"/>
      <c r="F403" s="3"/>
      <c r="G403" s="3"/>
      <c r="J403" s="3"/>
      <c r="L403" s="3"/>
    </row>
    <row r="404" spans="1:12" x14ac:dyDescent="0.2">
      <c r="A404" s="3"/>
      <c r="B404" s="3"/>
      <c r="C404" s="3"/>
      <c r="D404" s="3"/>
      <c r="E404" s="3"/>
      <c r="F404" s="3"/>
      <c r="G404" s="3"/>
      <c r="J404" s="3"/>
      <c r="L404" s="3"/>
    </row>
    <row r="405" spans="1:12" x14ac:dyDescent="0.2">
      <c r="A405" s="3"/>
      <c r="B405" s="3"/>
      <c r="C405" s="3"/>
      <c r="D405" s="3"/>
      <c r="E405" s="3"/>
      <c r="F405" s="3"/>
      <c r="G405" s="3"/>
      <c r="J405" s="3"/>
      <c r="L405" s="3"/>
    </row>
    <row r="406" spans="1:12" x14ac:dyDescent="0.2">
      <c r="A406" s="3"/>
      <c r="B406" s="3"/>
      <c r="C406" s="3"/>
      <c r="D406" s="3"/>
      <c r="E406" s="3"/>
      <c r="F406" s="3"/>
      <c r="G406" s="3"/>
      <c r="J406" s="3"/>
      <c r="L406" s="3"/>
    </row>
    <row r="407" spans="1:12" x14ac:dyDescent="0.2">
      <c r="A407" s="3"/>
      <c r="B407" s="3"/>
      <c r="C407" s="3"/>
      <c r="D407" s="3"/>
      <c r="E407" s="3"/>
      <c r="F407" s="3"/>
      <c r="G407" s="3"/>
      <c r="J407" s="3"/>
      <c r="L407" s="3"/>
    </row>
    <row r="408" spans="1:12" x14ac:dyDescent="0.2">
      <c r="A408" s="3"/>
      <c r="B408" s="3"/>
      <c r="C408" s="3"/>
      <c r="D408" s="3"/>
      <c r="E408" s="3"/>
      <c r="F408" s="3"/>
      <c r="G408" s="3"/>
      <c r="J408" s="3"/>
      <c r="L408" s="3"/>
    </row>
    <row r="409" spans="1:12" x14ac:dyDescent="0.2">
      <c r="A409" s="3"/>
      <c r="B409" s="3"/>
      <c r="C409" s="3"/>
      <c r="D409" s="3"/>
      <c r="E409" s="3"/>
      <c r="F409" s="3"/>
      <c r="G409" s="3"/>
      <c r="J409" s="3"/>
      <c r="L409" s="3"/>
    </row>
    <row r="410" spans="1:12" x14ac:dyDescent="0.2">
      <c r="A410" s="3"/>
      <c r="B410" s="3"/>
      <c r="C410" s="3"/>
      <c r="D410" s="3"/>
      <c r="E410" s="3"/>
      <c r="F410" s="3"/>
      <c r="G410" s="3"/>
      <c r="J410" s="3"/>
      <c r="L410" s="3"/>
    </row>
    <row r="411" spans="1:12" x14ac:dyDescent="0.2">
      <c r="A411" s="3"/>
      <c r="B411" s="3"/>
      <c r="C411" s="3"/>
      <c r="D411" s="3"/>
      <c r="E411" s="3"/>
      <c r="F411" s="3"/>
      <c r="G411" s="3"/>
      <c r="J411" s="3"/>
      <c r="L411" s="3"/>
    </row>
    <row r="412" spans="1:12" x14ac:dyDescent="0.2">
      <c r="A412" s="3"/>
      <c r="B412" s="3"/>
      <c r="C412" s="3"/>
      <c r="D412" s="3"/>
      <c r="E412" s="3"/>
      <c r="F412" s="3"/>
      <c r="G412" s="3"/>
      <c r="J412" s="3"/>
      <c r="L412" s="3"/>
    </row>
    <row r="413" spans="1:12" x14ac:dyDescent="0.2">
      <c r="A413" s="3"/>
      <c r="B413" s="3"/>
      <c r="C413" s="3"/>
      <c r="D413" s="3"/>
      <c r="E413" s="3"/>
      <c r="F413" s="3"/>
      <c r="G413" s="3"/>
      <c r="J413" s="3"/>
      <c r="L413" s="3"/>
    </row>
    <row r="414" spans="1:12" x14ac:dyDescent="0.2">
      <c r="A414" s="3"/>
      <c r="B414" s="3"/>
      <c r="C414" s="3"/>
      <c r="D414" s="3"/>
      <c r="E414" s="3"/>
      <c r="F414" s="3"/>
      <c r="G414" s="3"/>
      <c r="J414" s="3"/>
      <c r="L414" s="3"/>
    </row>
    <row r="415" spans="1:12" x14ac:dyDescent="0.2">
      <c r="A415" s="3"/>
      <c r="B415" s="3"/>
      <c r="C415" s="3"/>
      <c r="D415" s="3"/>
      <c r="E415" s="3"/>
      <c r="F415" s="3"/>
      <c r="G415" s="3"/>
      <c r="J415" s="3"/>
      <c r="L415" s="3"/>
    </row>
    <row r="416" spans="1:12" x14ac:dyDescent="0.2">
      <c r="A416" s="3"/>
      <c r="B416" s="3"/>
      <c r="C416" s="3"/>
      <c r="D416" s="3"/>
      <c r="E416" s="3"/>
      <c r="F416" s="3"/>
      <c r="G416" s="3"/>
      <c r="J416" s="3"/>
      <c r="L416" s="3"/>
    </row>
    <row r="417" spans="1:12" x14ac:dyDescent="0.2">
      <c r="A417" s="3"/>
      <c r="B417" s="3"/>
      <c r="C417" s="3"/>
      <c r="D417" s="3"/>
      <c r="E417" s="3"/>
      <c r="F417" s="3"/>
      <c r="G417" s="3"/>
      <c r="J417" s="3"/>
      <c r="L417" s="3"/>
    </row>
    <row r="418" spans="1:12" x14ac:dyDescent="0.2">
      <c r="A418" s="3"/>
      <c r="B418" s="3"/>
      <c r="C418" s="3"/>
      <c r="D418" s="3"/>
      <c r="E418" s="3"/>
      <c r="F418" s="3"/>
      <c r="G418" s="3"/>
      <c r="J418" s="3"/>
      <c r="L418" s="3"/>
    </row>
    <row r="419" spans="1:12" x14ac:dyDescent="0.2">
      <c r="A419" s="3"/>
      <c r="B419" s="3"/>
      <c r="C419" s="3"/>
      <c r="D419" s="3"/>
      <c r="E419" s="3"/>
      <c r="F419" s="3"/>
      <c r="G419" s="3"/>
      <c r="J419" s="3"/>
      <c r="L419" s="3"/>
    </row>
    <row r="420" spans="1:12" x14ac:dyDescent="0.2">
      <c r="A420" s="3"/>
      <c r="B420" s="3"/>
      <c r="C420" s="3"/>
      <c r="D420" s="3"/>
      <c r="E420" s="3"/>
      <c r="F420" s="3"/>
      <c r="G420" s="3"/>
      <c r="J420" s="3"/>
      <c r="L420" s="3"/>
    </row>
    <row r="421" spans="1:12" x14ac:dyDescent="0.2">
      <c r="A421" s="3"/>
      <c r="B421" s="3"/>
      <c r="C421" s="3"/>
      <c r="D421" s="3"/>
      <c r="E421" s="3"/>
      <c r="F421" s="3"/>
      <c r="G421" s="3"/>
      <c r="J421" s="3"/>
      <c r="L421" s="3"/>
    </row>
    <row r="422" spans="1:12" x14ac:dyDescent="0.2">
      <c r="A422" s="3"/>
      <c r="B422" s="3"/>
      <c r="C422" s="3"/>
      <c r="D422" s="3"/>
      <c r="E422" s="3"/>
      <c r="F422" s="3"/>
      <c r="G422" s="3"/>
      <c r="J422" s="3"/>
      <c r="L422" s="3"/>
    </row>
    <row r="423" spans="1:12" x14ac:dyDescent="0.2">
      <c r="A423" s="3"/>
      <c r="B423" s="3"/>
      <c r="C423" s="3"/>
      <c r="D423" s="3"/>
      <c r="E423" s="3"/>
      <c r="F423" s="3"/>
      <c r="G423" s="3"/>
      <c r="J423" s="3"/>
      <c r="L423" s="3"/>
    </row>
    <row r="424" spans="1:12" x14ac:dyDescent="0.2">
      <c r="A424" s="3"/>
      <c r="B424" s="3"/>
      <c r="C424" s="3"/>
      <c r="D424" s="3"/>
      <c r="E424" s="3"/>
      <c r="F424" s="3"/>
      <c r="G424" s="3"/>
      <c r="J424" s="3"/>
      <c r="L424" s="3"/>
    </row>
    <row r="425" spans="1:12" x14ac:dyDescent="0.2">
      <c r="A425" s="3"/>
      <c r="B425" s="3"/>
      <c r="C425" s="3"/>
      <c r="D425" s="3"/>
      <c r="E425" s="3"/>
      <c r="F425" s="3"/>
      <c r="G425" s="3"/>
      <c r="J425" s="3"/>
      <c r="L425" s="3"/>
    </row>
    <row r="426" spans="1:12" x14ac:dyDescent="0.2">
      <c r="A426" s="3"/>
      <c r="B426" s="3"/>
      <c r="C426" s="3"/>
      <c r="D426" s="3"/>
      <c r="E426" s="3"/>
      <c r="F426" s="3"/>
      <c r="G426" s="3"/>
      <c r="J426" s="3"/>
      <c r="L426" s="3"/>
    </row>
    <row r="427" spans="1:12" x14ac:dyDescent="0.2">
      <c r="A427" s="3"/>
      <c r="B427" s="3"/>
      <c r="C427" s="3"/>
      <c r="D427" s="3"/>
      <c r="E427" s="3"/>
      <c r="F427" s="3"/>
      <c r="G427" s="3"/>
      <c r="J427" s="3"/>
      <c r="L427" s="3"/>
    </row>
    <row r="428" spans="1:12" x14ac:dyDescent="0.2">
      <c r="A428" s="3"/>
      <c r="B428" s="3"/>
      <c r="C428" s="3"/>
      <c r="D428" s="3"/>
      <c r="E428" s="3"/>
      <c r="F428" s="3"/>
      <c r="G428" s="3"/>
      <c r="J428" s="3"/>
      <c r="L428" s="3"/>
    </row>
    <row r="429" spans="1:12" x14ac:dyDescent="0.2">
      <c r="A429" s="3"/>
      <c r="B429" s="3"/>
      <c r="C429" s="3"/>
      <c r="D429" s="3"/>
      <c r="E429" s="3"/>
      <c r="F429" s="3"/>
      <c r="G429" s="3"/>
      <c r="J429" s="3"/>
      <c r="L429" s="3"/>
    </row>
    <row r="430" spans="1:12" x14ac:dyDescent="0.2">
      <c r="A430" s="3"/>
      <c r="B430" s="3"/>
      <c r="C430" s="3"/>
      <c r="D430" s="3"/>
      <c r="E430" s="3"/>
      <c r="F430" s="3"/>
      <c r="G430" s="3"/>
      <c r="J430" s="3"/>
      <c r="L430" s="3"/>
    </row>
    <row r="431" spans="1:12" x14ac:dyDescent="0.2">
      <c r="A431" s="3"/>
      <c r="B431" s="3"/>
      <c r="C431" s="3"/>
      <c r="D431" s="3"/>
      <c r="E431" s="3"/>
      <c r="F431" s="3"/>
      <c r="G431" s="3"/>
      <c r="J431" s="3"/>
      <c r="L431" s="3"/>
    </row>
    <row r="432" spans="1:12" x14ac:dyDescent="0.2">
      <c r="A432" s="3"/>
      <c r="B432" s="3"/>
      <c r="C432" s="3"/>
      <c r="D432" s="3"/>
      <c r="E432" s="3"/>
      <c r="F432" s="3"/>
      <c r="G432" s="3"/>
      <c r="J432" s="3"/>
      <c r="L432" s="3"/>
    </row>
    <row r="433" spans="1:12" x14ac:dyDescent="0.2">
      <c r="A433" s="3"/>
      <c r="B433" s="3"/>
      <c r="C433" s="3"/>
      <c r="D433" s="3"/>
      <c r="E433" s="3"/>
      <c r="F433" s="3"/>
      <c r="G433" s="3"/>
      <c r="J433" s="3"/>
      <c r="L433" s="3"/>
    </row>
    <row r="434" spans="1:12" x14ac:dyDescent="0.2">
      <c r="A434" s="3"/>
      <c r="B434" s="3"/>
      <c r="C434" s="3"/>
      <c r="D434" s="3"/>
      <c r="E434" s="3"/>
      <c r="F434" s="3"/>
      <c r="G434" s="3"/>
      <c r="J434" s="3"/>
      <c r="L434" s="3"/>
    </row>
    <row r="435" spans="1:12" x14ac:dyDescent="0.2">
      <c r="A435" s="3"/>
      <c r="B435" s="3"/>
      <c r="C435" s="3"/>
      <c r="D435" s="3"/>
      <c r="E435" s="3"/>
      <c r="F435" s="3"/>
      <c r="G435" s="3"/>
      <c r="J435" s="3"/>
      <c r="L435" s="3"/>
    </row>
    <row r="436" spans="1:12" x14ac:dyDescent="0.2">
      <c r="A436" s="3"/>
      <c r="B436" s="3"/>
      <c r="C436" s="3"/>
      <c r="D436" s="3"/>
      <c r="E436" s="3"/>
      <c r="F436" s="3"/>
      <c r="G436" s="3"/>
      <c r="J436" s="3"/>
      <c r="L436" s="3"/>
    </row>
    <row r="437" spans="1:12" x14ac:dyDescent="0.2">
      <c r="A437" s="3"/>
      <c r="B437" s="3"/>
      <c r="C437" s="3"/>
      <c r="D437" s="3"/>
      <c r="E437" s="3"/>
      <c r="F437" s="3"/>
      <c r="G437" s="3"/>
      <c r="J437" s="3"/>
      <c r="L437" s="3"/>
    </row>
    <row r="438" spans="1:12" x14ac:dyDescent="0.2">
      <c r="A438" s="3"/>
      <c r="B438" s="3"/>
      <c r="C438" s="3"/>
      <c r="D438" s="3"/>
      <c r="E438" s="3"/>
      <c r="F438" s="3"/>
      <c r="G438" s="3"/>
      <c r="J438" s="3"/>
      <c r="L438" s="3"/>
    </row>
    <row r="439" spans="1:12" x14ac:dyDescent="0.2">
      <c r="A439" s="3"/>
      <c r="B439" s="3"/>
      <c r="C439" s="3"/>
      <c r="D439" s="3"/>
      <c r="E439" s="3"/>
      <c r="F439" s="3"/>
      <c r="G439" s="3"/>
      <c r="J439" s="3"/>
      <c r="L439" s="3"/>
    </row>
    <row r="440" spans="1:12" x14ac:dyDescent="0.2">
      <c r="A440" s="3"/>
      <c r="B440" s="3"/>
      <c r="C440" s="3"/>
      <c r="D440" s="3"/>
      <c r="E440" s="3"/>
      <c r="F440" s="3"/>
      <c r="G440" s="3"/>
      <c r="J440" s="3"/>
      <c r="L440" s="3"/>
    </row>
    <row r="441" spans="1:12" x14ac:dyDescent="0.2">
      <c r="A441" s="3"/>
      <c r="B441" s="3"/>
      <c r="C441" s="3"/>
      <c r="D441" s="3"/>
      <c r="E441" s="3"/>
      <c r="F441" s="3"/>
      <c r="G441" s="3"/>
      <c r="J441" s="3"/>
      <c r="L441" s="3"/>
    </row>
    <row r="442" spans="1:12" x14ac:dyDescent="0.2">
      <c r="A442" s="3"/>
      <c r="B442" s="3"/>
      <c r="C442" s="3"/>
      <c r="D442" s="3"/>
      <c r="E442" s="3"/>
      <c r="F442" s="3"/>
      <c r="G442" s="3"/>
      <c r="J442" s="3"/>
      <c r="L442" s="3"/>
    </row>
    <row r="443" spans="1:12" x14ac:dyDescent="0.2">
      <c r="A443" s="3"/>
      <c r="B443" s="3"/>
      <c r="C443" s="3"/>
      <c r="D443" s="3"/>
      <c r="E443" s="3"/>
      <c r="F443" s="3"/>
      <c r="G443" s="3"/>
      <c r="J443" s="3"/>
      <c r="L443" s="3"/>
    </row>
    <row r="444" spans="1:12" x14ac:dyDescent="0.2">
      <c r="A444" s="3"/>
      <c r="B444" s="3"/>
      <c r="C444" s="3"/>
      <c r="D444" s="3"/>
      <c r="E444" s="3"/>
      <c r="F444" s="3"/>
      <c r="G444" s="3"/>
      <c r="J444" s="3"/>
      <c r="L444" s="3"/>
    </row>
    <row r="445" spans="1:12" x14ac:dyDescent="0.2">
      <c r="A445" s="3"/>
      <c r="B445" s="3"/>
      <c r="C445" s="3"/>
      <c r="D445" s="3"/>
      <c r="E445" s="3"/>
      <c r="F445" s="3"/>
      <c r="G445" s="3"/>
      <c r="J445" s="3"/>
      <c r="L445" s="3"/>
    </row>
    <row r="446" spans="1:12" x14ac:dyDescent="0.2">
      <c r="A446" s="3"/>
      <c r="B446" s="3"/>
      <c r="C446" s="3"/>
      <c r="D446" s="3"/>
      <c r="E446" s="3"/>
      <c r="F446" s="3"/>
      <c r="G446" s="3"/>
      <c r="J446" s="3"/>
      <c r="L446" s="3"/>
    </row>
    <row r="447" spans="1:12" x14ac:dyDescent="0.2">
      <c r="A447" s="3"/>
      <c r="B447" s="3"/>
      <c r="C447" s="3"/>
      <c r="D447" s="3"/>
      <c r="E447" s="3"/>
      <c r="F447" s="3"/>
      <c r="G447" s="3"/>
      <c r="J447" s="3"/>
      <c r="L447" s="3"/>
    </row>
    <row r="448" spans="1:12" x14ac:dyDescent="0.2">
      <c r="A448" s="3"/>
      <c r="B448" s="3"/>
      <c r="C448" s="3"/>
      <c r="D448" s="3"/>
      <c r="E448" s="3"/>
      <c r="F448" s="3"/>
      <c r="G448" s="3"/>
      <c r="J448" s="3"/>
      <c r="L448" s="3"/>
    </row>
    <row r="449" spans="1:12" x14ac:dyDescent="0.2">
      <c r="A449" s="3"/>
      <c r="B449" s="3"/>
      <c r="C449" s="3"/>
      <c r="D449" s="3"/>
      <c r="E449" s="3"/>
      <c r="F449" s="3"/>
      <c r="G449" s="3"/>
      <c r="J449" s="3"/>
      <c r="L449" s="3"/>
    </row>
    <row r="450" spans="1:12" x14ac:dyDescent="0.2">
      <c r="A450" s="3"/>
      <c r="B450" s="3"/>
      <c r="C450" s="3"/>
      <c r="D450" s="3"/>
      <c r="E450" s="3"/>
      <c r="F450" s="3"/>
      <c r="G450" s="3"/>
      <c r="J450" s="3"/>
      <c r="L450" s="3"/>
    </row>
    <row r="451" spans="1:12" x14ac:dyDescent="0.2">
      <c r="A451" s="3"/>
      <c r="B451" s="3"/>
      <c r="C451" s="3"/>
      <c r="D451" s="3"/>
      <c r="E451" s="3"/>
      <c r="F451" s="3"/>
      <c r="G451" s="3"/>
      <c r="J451" s="3"/>
      <c r="L451" s="3"/>
    </row>
    <row r="452" spans="1:12" x14ac:dyDescent="0.2">
      <c r="A452" s="3"/>
      <c r="B452" s="3"/>
      <c r="C452" s="3"/>
      <c r="D452" s="3"/>
      <c r="E452" s="3"/>
      <c r="F452" s="3"/>
      <c r="G452" s="3"/>
      <c r="J452" s="3"/>
      <c r="L452" s="3"/>
    </row>
    <row r="453" spans="1:12" x14ac:dyDescent="0.2">
      <c r="A453" s="3"/>
      <c r="B453" s="3"/>
      <c r="C453" s="3"/>
      <c r="D453" s="3"/>
      <c r="E453" s="3"/>
      <c r="F453" s="3"/>
      <c r="G453" s="3"/>
      <c r="J453" s="3"/>
      <c r="L453" s="3"/>
    </row>
    <row r="454" spans="1:12" x14ac:dyDescent="0.2">
      <c r="A454" s="3"/>
      <c r="B454" s="3"/>
      <c r="C454" s="3"/>
      <c r="D454" s="3"/>
      <c r="E454" s="3"/>
      <c r="F454" s="3"/>
      <c r="G454" s="3"/>
      <c r="J454" s="3"/>
      <c r="L454" s="3"/>
    </row>
    <row r="455" spans="1:12" x14ac:dyDescent="0.2">
      <c r="A455" s="3"/>
      <c r="B455" s="3"/>
      <c r="C455" s="3"/>
      <c r="D455" s="3"/>
      <c r="E455" s="3"/>
      <c r="F455" s="3"/>
      <c r="G455" s="3"/>
      <c r="J455" s="3"/>
      <c r="L455" s="3"/>
    </row>
    <row r="456" spans="1:12" x14ac:dyDescent="0.2">
      <c r="A456" s="3"/>
      <c r="B456" s="3"/>
      <c r="C456" s="3"/>
      <c r="D456" s="3"/>
      <c r="E456" s="3"/>
      <c r="F456" s="3"/>
      <c r="G456" s="3"/>
      <c r="J456" s="3"/>
      <c r="L456" s="3"/>
    </row>
    <row r="457" spans="1:12" x14ac:dyDescent="0.2">
      <c r="A457" s="3"/>
      <c r="B457" s="3"/>
      <c r="C457" s="3"/>
      <c r="D457" s="3"/>
      <c r="E457" s="3"/>
      <c r="F457" s="3"/>
      <c r="G457" s="3"/>
      <c r="J457" s="3"/>
      <c r="L457" s="3"/>
    </row>
    <row r="458" spans="1:12" x14ac:dyDescent="0.2">
      <c r="A458" s="3"/>
      <c r="B458" s="3"/>
      <c r="C458" s="3"/>
      <c r="D458" s="3"/>
      <c r="E458" s="3"/>
      <c r="F458" s="3"/>
      <c r="G458" s="3"/>
      <c r="J458" s="3"/>
      <c r="L458" s="3"/>
    </row>
    <row r="459" spans="1:12" x14ac:dyDescent="0.2">
      <c r="A459" s="3"/>
      <c r="B459" s="3"/>
      <c r="C459" s="3"/>
      <c r="D459" s="3"/>
      <c r="E459" s="3"/>
      <c r="F459" s="3"/>
      <c r="G459" s="3"/>
      <c r="J459" s="3"/>
      <c r="L459" s="3"/>
    </row>
    <row r="460" spans="1:12" x14ac:dyDescent="0.2">
      <c r="A460" s="3"/>
      <c r="B460" s="3"/>
      <c r="C460" s="3"/>
      <c r="D460" s="3"/>
      <c r="E460" s="3"/>
      <c r="F460" s="3"/>
      <c r="G460" s="3"/>
      <c r="J460" s="3"/>
      <c r="L460" s="3"/>
    </row>
    <row r="461" spans="1:12" x14ac:dyDescent="0.2">
      <c r="A461" s="3"/>
      <c r="B461" s="3"/>
      <c r="C461" s="3"/>
      <c r="D461" s="3"/>
      <c r="E461" s="3"/>
      <c r="F461" s="3"/>
      <c r="G461" s="3"/>
      <c r="J461" s="3"/>
      <c r="L461" s="3"/>
    </row>
    <row r="462" spans="1:12" x14ac:dyDescent="0.2">
      <c r="A462" s="3"/>
      <c r="B462" s="3"/>
      <c r="C462" s="3"/>
      <c r="D462" s="3"/>
      <c r="E462" s="3"/>
      <c r="F462" s="3"/>
      <c r="G462" s="3"/>
      <c r="J462" s="3"/>
      <c r="L462" s="3"/>
    </row>
    <row r="463" spans="1:12" x14ac:dyDescent="0.2">
      <c r="A463" s="3"/>
      <c r="B463" s="3"/>
      <c r="C463" s="3"/>
      <c r="D463" s="3"/>
      <c r="E463" s="3"/>
      <c r="F463" s="3"/>
      <c r="G463" s="3"/>
      <c r="J463" s="3"/>
      <c r="L463" s="3"/>
    </row>
    <row r="464" spans="1:12" x14ac:dyDescent="0.2">
      <c r="A464" s="3"/>
      <c r="B464" s="3"/>
      <c r="C464" s="3"/>
      <c r="D464" s="3"/>
      <c r="E464" s="3"/>
      <c r="F464" s="3"/>
      <c r="G464" s="3"/>
      <c r="J464" s="3"/>
      <c r="L464" s="3"/>
    </row>
    <row r="465" spans="1:12" x14ac:dyDescent="0.2">
      <c r="A465" s="3"/>
      <c r="B465" s="3"/>
      <c r="C465" s="3"/>
      <c r="D465" s="3"/>
      <c r="E465" s="3"/>
      <c r="F465" s="3"/>
      <c r="G465" s="3"/>
      <c r="J465" s="3"/>
      <c r="L465" s="3"/>
    </row>
    <row r="466" spans="1:12" x14ac:dyDescent="0.2">
      <c r="A466" s="3"/>
      <c r="B466" s="3"/>
      <c r="C466" s="3"/>
      <c r="D466" s="3"/>
      <c r="E466" s="3"/>
      <c r="F466" s="3"/>
      <c r="G466" s="3"/>
      <c r="J466" s="3"/>
      <c r="L466" s="3"/>
    </row>
    <row r="467" spans="1:12" x14ac:dyDescent="0.2">
      <c r="A467" s="3"/>
      <c r="B467" s="3"/>
      <c r="C467" s="3"/>
      <c r="D467" s="3"/>
      <c r="E467" s="3"/>
      <c r="F467" s="3"/>
      <c r="G467" s="3"/>
      <c r="J467" s="3"/>
      <c r="L467" s="3"/>
    </row>
    <row r="468" spans="1:12" x14ac:dyDescent="0.2">
      <c r="A468" s="3"/>
      <c r="B468" s="3"/>
      <c r="C468" s="3"/>
      <c r="D468" s="3"/>
      <c r="E468" s="3"/>
      <c r="F468" s="3"/>
      <c r="G468" s="3"/>
      <c r="J468" s="3"/>
      <c r="L468" s="3"/>
    </row>
    <row r="469" spans="1:12" x14ac:dyDescent="0.2">
      <c r="A469" s="3"/>
      <c r="B469" s="3"/>
      <c r="C469" s="3"/>
      <c r="D469" s="3"/>
      <c r="E469" s="3"/>
      <c r="F469" s="3"/>
      <c r="G469" s="3"/>
      <c r="J469" s="3"/>
      <c r="L469" s="3"/>
    </row>
    <row r="470" spans="1:12" x14ac:dyDescent="0.2">
      <c r="A470" s="3"/>
      <c r="B470" s="3"/>
      <c r="C470" s="3"/>
      <c r="D470" s="3"/>
      <c r="E470" s="3"/>
      <c r="F470" s="3"/>
      <c r="G470" s="3"/>
      <c r="J470" s="3"/>
      <c r="L470" s="3"/>
    </row>
    <row r="471" spans="1:12" x14ac:dyDescent="0.2">
      <c r="A471" s="3"/>
      <c r="B471" s="3"/>
      <c r="C471" s="3"/>
      <c r="D471" s="3"/>
      <c r="E471" s="3"/>
      <c r="F471" s="3"/>
      <c r="G471" s="3"/>
      <c r="J471" s="3"/>
      <c r="L471" s="3"/>
    </row>
    <row r="472" spans="1:12" x14ac:dyDescent="0.2">
      <c r="A472" s="3"/>
      <c r="B472" s="3"/>
      <c r="C472" s="3"/>
      <c r="D472" s="3"/>
      <c r="E472" s="3"/>
      <c r="F472" s="3"/>
      <c r="G472" s="3"/>
      <c r="J472" s="3"/>
      <c r="L472" s="3"/>
    </row>
    <row r="473" spans="1:12" x14ac:dyDescent="0.2">
      <c r="A473" s="3"/>
      <c r="B473" s="3"/>
      <c r="C473" s="3"/>
      <c r="D473" s="3"/>
      <c r="E473" s="3"/>
      <c r="F473" s="3"/>
      <c r="G473" s="3"/>
      <c r="J473" s="3"/>
      <c r="L473" s="3"/>
    </row>
    <row r="474" spans="1:12" x14ac:dyDescent="0.2">
      <c r="A474" s="3"/>
      <c r="B474" s="3"/>
      <c r="C474" s="3"/>
      <c r="D474" s="3"/>
      <c r="E474" s="3"/>
      <c r="F474" s="3"/>
      <c r="G474" s="3"/>
      <c r="J474" s="3"/>
      <c r="L474" s="3"/>
    </row>
    <row r="475" spans="1:12" x14ac:dyDescent="0.2">
      <c r="A475" s="3"/>
      <c r="B475" s="3"/>
      <c r="C475" s="3"/>
      <c r="D475" s="3"/>
      <c r="E475" s="3"/>
      <c r="F475" s="3"/>
      <c r="G475" s="3"/>
      <c r="J475" s="3"/>
      <c r="L475" s="3"/>
    </row>
    <row r="476" spans="1:12" x14ac:dyDescent="0.2">
      <c r="A476" s="3"/>
      <c r="B476" s="3"/>
      <c r="C476" s="3"/>
      <c r="D476" s="3"/>
      <c r="E476" s="3"/>
      <c r="F476" s="3"/>
      <c r="G476" s="3"/>
      <c r="J476" s="3"/>
      <c r="L476" s="3"/>
    </row>
    <row r="477" spans="1:12" x14ac:dyDescent="0.2">
      <c r="A477" s="3"/>
      <c r="B477" s="3"/>
      <c r="C477" s="3"/>
      <c r="D477" s="3"/>
      <c r="E477" s="3"/>
      <c r="F477" s="3"/>
      <c r="G477" s="3"/>
      <c r="J477" s="3"/>
      <c r="L477" s="3"/>
    </row>
    <row r="478" spans="1:12" x14ac:dyDescent="0.2">
      <c r="A478" s="3"/>
      <c r="B478" s="3"/>
      <c r="C478" s="3"/>
      <c r="D478" s="3"/>
      <c r="E478" s="3"/>
      <c r="F478" s="3"/>
      <c r="G478" s="3"/>
      <c r="J478" s="3"/>
      <c r="L478" s="3"/>
    </row>
    <row r="479" spans="1:12" x14ac:dyDescent="0.2">
      <c r="A479" s="3"/>
      <c r="B479" s="3"/>
      <c r="C479" s="3"/>
      <c r="D479" s="3"/>
      <c r="E479" s="3"/>
      <c r="F479" s="3"/>
      <c r="G479" s="3"/>
      <c r="J479" s="3"/>
      <c r="L479" s="3"/>
    </row>
    <row r="480" spans="1:12" x14ac:dyDescent="0.2">
      <c r="A480" s="3"/>
      <c r="B480" s="3"/>
      <c r="C480" s="3"/>
      <c r="D480" s="3"/>
      <c r="E480" s="3"/>
      <c r="F480" s="3"/>
      <c r="G480" s="3"/>
      <c r="J480" s="3"/>
      <c r="L480" s="3"/>
    </row>
    <row r="481" spans="1:12" x14ac:dyDescent="0.2">
      <c r="A481" s="3"/>
      <c r="B481" s="3"/>
      <c r="C481" s="3"/>
      <c r="D481" s="3"/>
      <c r="E481" s="3"/>
      <c r="F481" s="3"/>
      <c r="G481" s="3"/>
      <c r="J481" s="3"/>
      <c r="L481" s="3"/>
    </row>
    <row r="482" spans="1:12" x14ac:dyDescent="0.2">
      <c r="A482" s="3"/>
      <c r="B482" s="3"/>
      <c r="C482" s="3"/>
      <c r="D482" s="3"/>
      <c r="E482" s="3"/>
      <c r="F482" s="3"/>
      <c r="G482" s="3"/>
      <c r="J482" s="3"/>
      <c r="L482" s="3"/>
    </row>
    <row r="483" spans="1:12" x14ac:dyDescent="0.2">
      <c r="A483" s="3"/>
      <c r="B483" s="3"/>
      <c r="C483" s="3"/>
      <c r="D483" s="3"/>
      <c r="E483" s="3"/>
      <c r="F483" s="3"/>
      <c r="G483" s="3"/>
      <c r="J483" s="3"/>
      <c r="L483" s="3"/>
    </row>
    <row r="484" spans="1:12" x14ac:dyDescent="0.2">
      <c r="A484" s="3"/>
      <c r="B484" s="3"/>
      <c r="C484" s="3"/>
      <c r="D484" s="3"/>
      <c r="E484" s="3"/>
      <c r="F484" s="3"/>
      <c r="G484" s="3"/>
      <c r="J484" s="3"/>
      <c r="L484" s="3"/>
    </row>
    <row r="485" spans="1:12" x14ac:dyDescent="0.2">
      <c r="A485" s="3"/>
      <c r="B485" s="3"/>
      <c r="C485" s="3"/>
      <c r="D485" s="3"/>
      <c r="E485" s="3"/>
      <c r="F485" s="3"/>
      <c r="G485" s="3"/>
      <c r="J485" s="3"/>
      <c r="L485" s="3"/>
    </row>
    <row r="486" spans="1:12" x14ac:dyDescent="0.2">
      <c r="A486" s="3"/>
      <c r="B486" s="3"/>
      <c r="C486" s="3"/>
      <c r="D486" s="3"/>
      <c r="E486" s="3"/>
      <c r="F486" s="3"/>
      <c r="G486" s="3"/>
      <c r="J486" s="3"/>
      <c r="L486" s="3"/>
    </row>
    <row r="487" spans="1:12" x14ac:dyDescent="0.2">
      <c r="A487" s="3"/>
      <c r="B487" s="3"/>
      <c r="C487" s="3"/>
      <c r="D487" s="3"/>
      <c r="E487" s="3"/>
      <c r="F487" s="3"/>
      <c r="G487" s="3"/>
      <c r="J487" s="3"/>
      <c r="L487" s="3"/>
    </row>
    <row r="488" spans="1:12" x14ac:dyDescent="0.2">
      <c r="A488" s="3"/>
      <c r="B488" s="3"/>
      <c r="C488" s="3"/>
      <c r="D488" s="3"/>
      <c r="E488" s="3"/>
      <c r="F488" s="3"/>
      <c r="G488" s="3"/>
      <c r="J488" s="3"/>
      <c r="L488" s="3"/>
    </row>
    <row r="489" spans="1:12" x14ac:dyDescent="0.2">
      <c r="A489" s="3"/>
      <c r="B489" s="3"/>
      <c r="C489" s="3"/>
      <c r="D489" s="3"/>
      <c r="E489" s="3"/>
      <c r="F489" s="3"/>
      <c r="G489" s="3"/>
      <c r="J489" s="3"/>
      <c r="L489" s="3"/>
    </row>
    <row r="490" spans="1:12" x14ac:dyDescent="0.2">
      <c r="A490" s="3"/>
      <c r="B490" s="3"/>
      <c r="C490" s="3"/>
      <c r="D490" s="3"/>
      <c r="E490" s="3"/>
      <c r="F490" s="3"/>
      <c r="G490" s="3"/>
      <c r="J490" s="3"/>
      <c r="L490" s="3"/>
    </row>
    <row r="491" spans="1:12" x14ac:dyDescent="0.2">
      <c r="A491" s="3"/>
      <c r="B491" s="3"/>
      <c r="C491" s="3"/>
      <c r="D491" s="3"/>
      <c r="E491" s="3"/>
      <c r="F491" s="3"/>
      <c r="G491" s="3"/>
      <c r="J491" s="3"/>
      <c r="L491" s="3"/>
    </row>
    <row r="492" spans="1:12" x14ac:dyDescent="0.2">
      <c r="A492" s="3"/>
      <c r="B492" s="3"/>
      <c r="C492" s="3"/>
      <c r="D492" s="3"/>
      <c r="E492" s="3"/>
      <c r="F492" s="3"/>
      <c r="G492" s="3"/>
      <c r="J492" s="3"/>
      <c r="L492" s="3"/>
    </row>
    <row r="493" spans="1:12" x14ac:dyDescent="0.2">
      <c r="A493" s="3"/>
      <c r="B493" s="3"/>
      <c r="C493" s="3"/>
      <c r="D493" s="3"/>
      <c r="E493" s="3"/>
      <c r="F493" s="3"/>
      <c r="G493" s="3"/>
      <c r="J493" s="3"/>
      <c r="L493" s="3"/>
    </row>
  </sheetData>
  <mergeCells count="18">
    <mergeCell ref="A27:L27"/>
    <mergeCell ref="A21:L21"/>
    <mergeCell ref="A1:L2"/>
    <mergeCell ref="A15:L15"/>
    <mergeCell ref="A12:L12"/>
    <mergeCell ref="A8:L8"/>
    <mergeCell ref="A5:L5"/>
    <mergeCell ref="L3:L4"/>
    <mergeCell ref="A3:A4"/>
    <mergeCell ref="C3:C4"/>
    <mergeCell ref="D3:D4"/>
    <mergeCell ref="E3:E4"/>
    <mergeCell ref="F3:F4"/>
    <mergeCell ref="G3:G4"/>
    <mergeCell ref="H3:I3"/>
    <mergeCell ref="B3:B4"/>
    <mergeCell ref="J3:J4"/>
    <mergeCell ref="K3:K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topLeftCell="A10" zoomScale="80" zoomScaleNormal="80" workbookViewId="0">
      <selection activeCell="A32" sqref="A32:V32"/>
    </sheetView>
  </sheetViews>
  <sheetFormatPr defaultRowHeight="12.75" x14ac:dyDescent="0.2"/>
  <cols>
    <col min="1" max="1" width="26" style="4" bestFit="1" customWidth="1"/>
    <col min="2" max="2" width="12.57031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1.7109375" style="4" bestFit="1" customWidth="1"/>
    <col min="8" max="10" width="5.5703125" style="3" bestFit="1" customWidth="1"/>
    <col min="11" max="11" width="4.85546875" style="3" bestFit="1" customWidth="1"/>
    <col min="12" max="14" width="5.5703125" style="3" bestFit="1" customWidth="1"/>
    <col min="15" max="15" width="4.85546875" style="3" bestFit="1" customWidth="1"/>
    <col min="16" max="18" width="5.5703125" style="3" bestFit="1" customWidth="1"/>
    <col min="19" max="19" width="4.85546875" style="3" bestFit="1" customWidth="1"/>
    <col min="20" max="20" width="7.85546875" style="4" bestFit="1" customWidth="1"/>
    <col min="21" max="21" width="8.5703125" style="3" bestFit="1" customWidth="1"/>
    <col min="22" max="22" width="14.7109375" style="4" bestFit="1" customWidth="1"/>
    <col min="23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1.7109375" style="3" bestFit="1" customWidth="1"/>
    <col min="264" max="266" width="5.5703125" style="3" bestFit="1" customWidth="1"/>
    <col min="267" max="267" width="4.85546875" style="3" bestFit="1" customWidth="1"/>
    <col min="268" max="270" width="5.5703125" style="3" bestFit="1" customWidth="1"/>
    <col min="271" max="271" width="4.85546875" style="3" bestFit="1" customWidth="1"/>
    <col min="272" max="274" width="5.5703125" style="3" bestFit="1" customWidth="1"/>
    <col min="275" max="275" width="4.85546875" style="3" bestFit="1" customWidth="1"/>
    <col min="276" max="276" width="7.85546875" style="3" bestFit="1" customWidth="1"/>
    <col min="277" max="277" width="8.5703125" style="3" bestFit="1" customWidth="1"/>
    <col min="278" max="278" width="14.7109375" style="3" bestFit="1" customWidth="1"/>
    <col min="279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1.7109375" style="3" bestFit="1" customWidth="1"/>
    <col min="520" max="522" width="5.5703125" style="3" bestFit="1" customWidth="1"/>
    <col min="523" max="523" width="4.85546875" style="3" bestFit="1" customWidth="1"/>
    <col min="524" max="526" width="5.5703125" style="3" bestFit="1" customWidth="1"/>
    <col min="527" max="527" width="4.85546875" style="3" bestFit="1" customWidth="1"/>
    <col min="528" max="530" width="5.5703125" style="3" bestFit="1" customWidth="1"/>
    <col min="531" max="531" width="4.85546875" style="3" bestFit="1" customWidth="1"/>
    <col min="532" max="532" width="7.85546875" style="3" bestFit="1" customWidth="1"/>
    <col min="533" max="533" width="8.5703125" style="3" bestFit="1" customWidth="1"/>
    <col min="534" max="534" width="14.7109375" style="3" bestFit="1" customWidth="1"/>
    <col min="535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1.7109375" style="3" bestFit="1" customWidth="1"/>
    <col min="776" max="778" width="5.5703125" style="3" bestFit="1" customWidth="1"/>
    <col min="779" max="779" width="4.85546875" style="3" bestFit="1" customWidth="1"/>
    <col min="780" max="782" width="5.5703125" style="3" bestFit="1" customWidth="1"/>
    <col min="783" max="783" width="4.85546875" style="3" bestFit="1" customWidth="1"/>
    <col min="784" max="786" width="5.5703125" style="3" bestFit="1" customWidth="1"/>
    <col min="787" max="787" width="4.85546875" style="3" bestFit="1" customWidth="1"/>
    <col min="788" max="788" width="7.85546875" style="3" bestFit="1" customWidth="1"/>
    <col min="789" max="789" width="8.5703125" style="3" bestFit="1" customWidth="1"/>
    <col min="790" max="790" width="14.7109375" style="3" bestFit="1" customWidth="1"/>
    <col min="791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1.7109375" style="3" bestFit="1" customWidth="1"/>
    <col min="1032" max="1034" width="5.5703125" style="3" bestFit="1" customWidth="1"/>
    <col min="1035" max="1035" width="4.85546875" style="3" bestFit="1" customWidth="1"/>
    <col min="1036" max="1038" width="5.5703125" style="3" bestFit="1" customWidth="1"/>
    <col min="1039" max="1039" width="4.85546875" style="3" bestFit="1" customWidth="1"/>
    <col min="1040" max="1042" width="5.5703125" style="3" bestFit="1" customWidth="1"/>
    <col min="1043" max="1043" width="4.85546875" style="3" bestFit="1" customWidth="1"/>
    <col min="1044" max="1044" width="7.85546875" style="3" bestFit="1" customWidth="1"/>
    <col min="1045" max="1045" width="8.5703125" style="3" bestFit="1" customWidth="1"/>
    <col min="1046" max="1046" width="14.7109375" style="3" bestFit="1" customWidth="1"/>
    <col min="1047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1.7109375" style="3" bestFit="1" customWidth="1"/>
    <col min="1288" max="1290" width="5.5703125" style="3" bestFit="1" customWidth="1"/>
    <col min="1291" max="1291" width="4.85546875" style="3" bestFit="1" customWidth="1"/>
    <col min="1292" max="1294" width="5.5703125" style="3" bestFit="1" customWidth="1"/>
    <col min="1295" max="1295" width="4.85546875" style="3" bestFit="1" customWidth="1"/>
    <col min="1296" max="1298" width="5.5703125" style="3" bestFit="1" customWidth="1"/>
    <col min="1299" max="1299" width="4.85546875" style="3" bestFit="1" customWidth="1"/>
    <col min="1300" max="1300" width="7.85546875" style="3" bestFit="1" customWidth="1"/>
    <col min="1301" max="1301" width="8.5703125" style="3" bestFit="1" customWidth="1"/>
    <col min="1302" max="1302" width="14.7109375" style="3" bestFit="1" customWidth="1"/>
    <col min="1303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1.7109375" style="3" bestFit="1" customWidth="1"/>
    <col min="1544" max="1546" width="5.5703125" style="3" bestFit="1" customWidth="1"/>
    <col min="1547" max="1547" width="4.85546875" style="3" bestFit="1" customWidth="1"/>
    <col min="1548" max="1550" width="5.5703125" style="3" bestFit="1" customWidth="1"/>
    <col min="1551" max="1551" width="4.85546875" style="3" bestFit="1" customWidth="1"/>
    <col min="1552" max="1554" width="5.5703125" style="3" bestFit="1" customWidth="1"/>
    <col min="1555" max="1555" width="4.85546875" style="3" bestFit="1" customWidth="1"/>
    <col min="1556" max="1556" width="7.85546875" style="3" bestFit="1" customWidth="1"/>
    <col min="1557" max="1557" width="8.5703125" style="3" bestFit="1" customWidth="1"/>
    <col min="1558" max="1558" width="14.7109375" style="3" bestFit="1" customWidth="1"/>
    <col min="1559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1.7109375" style="3" bestFit="1" customWidth="1"/>
    <col min="1800" max="1802" width="5.5703125" style="3" bestFit="1" customWidth="1"/>
    <col min="1803" max="1803" width="4.85546875" style="3" bestFit="1" customWidth="1"/>
    <col min="1804" max="1806" width="5.5703125" style="3" bestFit="1" customWidth="1"/>
    <col min="1807" max="1807" width="4.85546875" style="3" bestFit="1" customWidth="1"/>
    <col min="1808" max="1810" width="5.5703125" style="3" bestFit="1" customWidth="1"/>
    <col min="1811" max="1811" width="4.85546875" style="3" bestFit="1" customWidth="1"/>
    <col min="1812" max="1812" width="7.85546875" style="3" bestFit="1" customWidth="1"/>
    <col min="1813" max="1813" width="8.5703125" style="3" bestFit="1" customWidth="1"/>
    <col min="1814" max="1814" width="14.7109375" style="3" bestFit="1" customWidth="1"/>
    <col min="1815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1.7109375" style="3" bestFit="1" customWidth="1"/>
    <col min="2056" max="2058" width="5.5703125" style="3" bestFit="1" customWidth="1"/>
    <col min="2059" max="2059" width="4.85546875" style="3" bestFit="1" customWidth="1"/>
    <col min="2060" max="2062" width="5.5703125" style="3" bestFit="1" customWidth="1"/>
    <col min="2063" max="2063" width="4.85546875" style="3" bestFit="1" customWidth="1"/>
    <col min="2064" max="2066" width="5.5703125" style="3" bestFit="1" customWidth="1"/>
    <col min="2067" max="2067" width="4.85546875" style="3" bestFit="1" customWidth="1"/>
    <col min="2068" max="2068" width="7.85546875" style="3" bestFit="1" customWidth="1"/>
    <col min="2069" max="2069" width="8.5703125" style="3" bestFit="1" customWidth="1"/>
    <col min="2070" max="2070" width="14.7109375" style="3" bestFit="1" customWidth="1"/>
    <col min="2071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1.7109375" style="3" bestFit="1" customWidth="1"/>
    <col min="2312" max="2314" width="5.5703125" style="3" bestFit="1" customWidth="1"/>
    <col min="2315" max="2315" width="4.85546875" style="3" bestFit="1" customWidth="1"/>
    <col min="2316" max="2318" width="5.5703125" style="3" bestFit="1" customWidth="1"/>
    <col min="2319" max="2319" width="4.85546875" style="3" bestFit="1" customWidth="1"/>
    <col min="2320" max="2322" width="5.5703125" style="3" bestFit="1" customWidth="1"/>
    <col min="2323" max="2323" width="4.85546875" style="3" bestFit="1" customWidth="1"/>
    <col min="2324" max="2324" width="7.85546875" style="3" bestFit="1" customWidth="1"/>
    <col min="2325" max="2325" width="8.5703125" style="3" bestFit="1" customWidth="1"/>
    <col min="2326" max="2326" width="14.7109375" style="3" bestFit="1" customWidth="1"/>
    <col min="2327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1.7109375" style="3" bestFit="1" customWidth="1"/>
    <col min="2568" max="2570" width="5.5703125" style="3" bestFit="1" customWidth="1"/>
    <col min="2571" max="2571" width="4.85546875" style="3" bestFit="1" customWidth="1"/>
    <col min="2572" max="2574" width="5.5703125" style="3" bestFit="1" customWidth="1"/>
    <col min="2575" max="2575" width="4.85546875" style="3" bestFit="1" customWidth="1"/>
    <col min="2576" max="2578" width="5.5703125" style="3" bestFit="1" customWidth="1"/>
    <col min="2579" max="2579" width="4.85546875" style="3" bestFit="1" customWidth="1"/>
    <col min="2580" max="2580" width="7.85546875" style="3" bestFit="1" customWidth="1"/>
    <col min="2581" max="2581" width="8.5703125" style="3" bestFit="1" customWidth="1"/>
    <col min="2582" max="2582" width="14.7109375" style="3" bestFit="1" customWidth="1"/>
    <col min="2583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1.7109375" style="3" bestFit="1" customWidth="1"/>
    <col min="2824" max="2826" width="5.5703125" style="3" bestFit="1" customWidth="1"/>
    <col min="2827" max="2827" width="4.85546875" style="3" bestFit="1" customWidth="1"/>
    <col min="2828" max="2830" width="5.5703125" style="3" bestFit="1" customWidth="1"/>
    <col min="2831" max="2831" width="4.85546875" style="3" bestFit="1" customWidth="1"/>
    <col min="2832" max="2834" width="5.5703125" style="3" bestFit="1" customWidth="1"/>
    <col min="2835" max="2835" width="4.85546875" style="3" bestFit="1" customWidth="1"/>
    <col min="2836" max="2836" width="7.85546875" style="3" bestFit="1" customWidth="1"/>
    <col min="2837" max="2837" width="8.5703125" style="3" bestFit="1" customWidth="1"/>
    <col min="2838" max="2838" width="14.7109375" style="3" bestFit="1" customWidth="1"/>
    <col min="2839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1.7109375" style="3" bestFit="1" customWidth="1"/>
    <col min="3080" max="3082" width="5.5703125" style="3" bestFit="1" customWidth="1"/>
    <col min="3083" max="3083" width="4.85546875" style="3" bestFit="1" customWidth="1"/>
    <col min="3084" max="3086" width="5.5703125" style="3" bestFit="1" customWidth="1"/>
    <col min="3087" max="3087" width="4.85546875" style="3" bestFit="1" customWidth="1"/>
    <col min="3088" max="3090" width="5.5703125" style="3" bestFit="1" customWidth="1"/>
    <col min="3091" max="3091" width="4.85546875" style="3" bestFit="1" customWidth="1"/>
    <col min="3092" max="3092" width="7.85546875" style="3" bestFit="1" customWidth="1"/>
    <col min="3093" max="3093" width="8.5703125" style="3" bestFit="1" customWidth="1"/>
    <col min="3094" max="3094" width="14.7109375" style="3" bestFit="1" customWidth="1"/>
    <col min="3095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1.7109375" style="3" bestFit="1" customWidth="1"/>
    <col min="3336" max="3338" width="5.5703125" style="3" bestFit="1" customWidth="1"/>
    <col min="3339" max="3339" width="4.85546875" style="3" bestFit="1" customWidth="1"/>
    <col min="3340" max="3342" width="5.5703125" style="3" bestFit="1" customWidth="1"/>
    <col min="3343" max="3343" width="4.85546875" style="3" bestFit="1" customWidth="1"/>
    <col min="3344" max="3346" width="5.5703125" style="3" bestFit="1" customWidth="1"/>
    <col min="3347" max="3347" width="4.85546875" style="3" bestFit="1" customWidth="1"/>
    <col min="3348" max="3348" width="7.85546875" style="3" bestFit="1" customWidth="1"/>
    <col min="3349" max="3349" width="8.5703125" style="3" bestFit="1" customWidth="1"/>
    <col min="3350" max="3350" width="14.7109375" style="3" bestFit="1" customWidth="1"/>
    <col min="3351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1.7109375" style="3" bestFit="1" customWidth="1"/>
    <col min="3592" max="3594" width="5.5703125" style="3" bestFit="1" customWidth="1"/>
    <col min="3595" max="3595" width="4.85546875" style="3" bestFit="1" customWidth="1"/>
    <col min="3596" max="3598" width="5.5703125" style="3" bestFit="1" customWidth="1"/>
    <col min="3599" max="3599" width="4.85546875" style="3" bestFit="1" customWidth="1"/>
    <col min="3600" max="3602" width="5.5703125" style="3" bestFit="1" customWidth="1"/>
    <col min="3603" max="3603" width="4.85546875" style="3" bestFit="1" customWidth="1"/>
    <col min="3604" max="3604" width="7.85546875" style="3" bestFit="1" customWidth="1"/>
    <col min="3605" max="3605" width="8.5703125" style="3" bestFit="1" customWidth="1"/>
    <col min="3606" max="3606" width="14.7109375" style="3" bestFit="1" customWidth="1"/>
    <col min="3607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1.7109375" style="3" bestFit="1" customWidth="1"/>
    <col min="3848" max="3850" width="5.5703125" style="3" bestFit="1" customWidth="1"/>
    <col min="3851" max="3851" width="4.85546875" style="3" bestFit="1" customWidth="1"/>
    <col min="3852" max="3854" width="5.5703125" style="3" bestFit="1" customWidth="1"/>
    <col min="3855" max="3855" width="4.85546875" style="3" bestFit="1" customWidth="1"/>
    <col min="3856" max="3858" width="5.5703125" style="3" bestFit="1" customWidth="1"/>
    <col min="3859" max="3859" width="4.85546875" style="3" bestFit="1" customWidth="1"/>
    <col min="3860" max="3860" width="7.85546875" style="3" bestFit="1" customWidth="1"/>
    <col min="3861" max="3861" width="8.5703125" style="3" bestFit="1" customWidth="1"/>
    <col min="3862" max="3862" width="14.7109375" style="3" bestFit="1" customWidth="1"/>
    <col min="3863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1.7109375" style="3" bestFit="1" customWidth="1"/>
    <col min="4104" max="4106" width="5.5703125" style="3" bestFit="1" customWidth="1"/>
    <col min="4107" max="4107" width="4.85546875" style="3" bestFit="1" customWidth="1"/>
    <col min="4108" max="4110" width="5.5703125" style="3" bestFit="1" customWidth="1"/>
    <col min="4111" max="4111" width="4.85546875" style="3" bestFit="1" customWidth="1"/>
    <col min="4112" max="4114" width="5.5703125" style="3" bestFit="1" customWidth="1"/>
    <col min="4115" max="4115" width="4.85546875" style="3" bestFit="1" customWidth="1"/>
    <col min="4116" max="4116" width="7.85546875" style="3" bestFit="1" customWidth="1"/>
    <col min="4117" max="4117" width="8.5703125" style="3" bestFit="1" customWidth="1"/>
    <col min="4118" max="4118" width="14.7109375" style="3" bestFit="1" customWidth="1"/>
    <col min="4119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1.7109375" style="3" bestFit="1" customWidth="1"/>
    <col min="4360" max="4362" width="5.5703125" style="3" bestFit="1" customWidth="1"/>
    <col min="4363" max="4363" width="4.85546875" style="3" bestFit="1" customWidth="1"/>
    <col min="4364" max="4366" width="5.5703125" style="3" bestFit="1" customWidth="1"/>
    <col min="4367" max="4367" width="4.85546875" style="3" bestFit="1" customWidth="1"/>
    <col min="4368" max="4370" width="5.5703125" style="3" bestFit="1" customWidth="1"/>
    <col min="4371" max="4371" width="4.85546875" style="3" bestFit="1" customWidth="1"/>
    <col min="4372" max="4372" width="7.85546875" style="3" bestFit="1" customWidth="1"/>
    <col min="4373" max="4373" width="8.5703125" style="3" bestFit="1" customWidth="1"/>
    <col min="4374" max="4374" width="14.7109375" style="3" bestFit="1" customWidth="1"/>
    <col min="4375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1.7109375" style="3" bestFit="1" customWidth="1"/>
    <col min="4616" max="4618" width="5.5703125" style="3" bestFit="1" customWidth="1"/>
    <col min="4619" max="4619" width="4.85546875" style="3" bestFit="1" customWidth="1"/>
    <col min="4620" max="4622" width="5.5703125" style="3" bestFit="1" customWidth="1"/>
    <col min="4623" max="4623" width="4.85546875" style="3" bestFit="1" customWidth="1"/>
    <col min="4624" max="4626" width="5.5703125" style="3" bestFit="1" customWidth="1"/>
    <col min="4627" max="4627" width="4.85546875" style="3" bestFit="1" customWidth="1"/>
    <col min="4628" max="4628" width="7.85546875" style="3" bestFit="1" customWidth="1"/>
    <col min="4629" max="4629" width="8.5703125" style="3" bestFit="1" customWidth="1"/>
    <col min="4630" max="4630" width="14.7109375" style="3" bestFit="1" customWidth="1"/>
    <col min="4631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1.7109375" style="3" bestFit="1" customWidth="1"/>
    <col min="4872" max="4874" width="5.5703125" style="3" bestFit="1" customWidth="1"/>
    <col min="4875" max="4875" width="4.85546875" style="3" bestFit="1" customWidth="1"/>
    <col min="4876" max="4878" width="5.5703125" style="3" bestFit="1" customWidth="1"/>
    <col min="4879" max="4879" width="4.85546875" style="3" bestFit="1" customWidth="1"/>
    <col min="4880" max="4882" width="5.5703125" style="3" bestFit="1" customWidth="1"/>
    <col min="4883" max="4883" width="4.85546875" style="3" bestFit="1" customWidth="1"/>
    <col min="4884" max="4884" width="7.85546875" style="3" bestFit="1" customWidth="1"/>
    <col min="4885" max="4885" width="8.5703125" style="3" bestFit="1" customWidth="1"/>
    <col min="4886" max="4886" width="14.7109375" style="3" bestFit="1" customWidth="1"/>
    <col min="4887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1.7109375" style="3" bestFit="1" customWidth="1"/>
    <col min="5128" max="5130" width="5.5703125" style="3" bestFit="1" customWidth="1"/>
    <col min="5131" max="5131" width="4.85546875" style="3" bestFit="1" customWidth="1"/>
    <col min="5132" max="5134" width="5.5703125" style="3" bestFit="1" customWidth="1"/>
    <col min="5135" max="5135" width="4.85546875" style="3" bestFit="1" customWidth="1"/>
    <col min="5136" max="5138" width="5.5703125" style="3" bestFit="1" customWidth="1"/>
    <col min="5139" max="5139" width="4.85546875" style="3" bestFit="1" customWidth="1"/>
    <col min="5140" max="5140" width="7.85546875" style="3" bestFit="1" customWidth="1"/>
    <col min="5141" max="5141" width="8.5703125" style="3" bestFit="1" customWidth="1"/>
    <col min="5142" max="5142" width="14.7109375" style="3" bestFit="1" customWidth="1"/>
    <col min="5143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1.7109375" style="3" bestFit="1" customWidth="1"/>
    <col min="5384" max="5386" width="5.5703125" style="3" bestFit="1" customWidth="1"/>
    <col min="5387" max="5387" width="4.85546875" style="3" bestFit="1" customWidth="1"/>
    <col min="5388" max="5390" width="5.5703125" style="3" bestFit="1" customWidth="1"/>
    <col min="5391" max="5391" width="4.85546875" style="3" bestFit="1" customWidth="1"/>
    <col min="5392" max="5394" width="5.5703125" style="3" bestFit="1" customWidth="1"/>
    <col min="5395" max="5395" width="4.85546875" style="3" bestFit="1" customWidth="1"/>
    <col min="5396" max="5396" width="7.85546875" style="3" bestFit="1" customWidth="1"/>
    <col min="5397" max="5397" width="8.5703125" style="3" bestFit="1" customWidth="1"/>
    <col min="5398" max="5398" width="14.7109375" style="3" bestFit="1" customWidth="1"/>
    <col min="5399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1.7109375" style="3" bestFit="1" customWidth="1"/>
    <col min="5640" max="5642" width="5.5703125" style="3" bestFit="1" customWidth="1"/>
    <col min="5643" max="5643" width="4.85546875" style="3" bestFit="1" customWidth="1"/>
    <col min="5644" max="5646" width="5.5703125" style="3" bestFit="1" customWidth="1"/>
    <col min="5647" max="5647" width="4.85546875" style="3" bestFit="1" customWidth="1"/>
    <col min="5648" max="5650" width="5.5703125" style="3" bestFit="1" customWidth="1"/>
    <col min="5651" max="5651" width="4.85546875" style="3" bestFit="1" customWidth="1"/>
    <col min="5652" max="5652" width="7.85546875" style="3" bestFit="1" customWidth="1"/>
    <col min="5653" max="5653" width="8.5703125" style="3" bestFit="1" customWidth="1"/>
    <col min="5654" max="5654" width="14.7109375" style="3" bestFit="1" customWidth="1"/>
    <col min="5655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1.7109375" style="3" bestFit="1" customWidth="1"/>
    <col min="5896" max="5898" width="5.5703125" style="3" bestFit="1" customWidth="1"/>
    <col min="5899" max="5899" width="4.85546875" style="3" bestFit="1" customWidth="1"/>
    <col min="5900" max="5902" width="5.5703125" style="3" bestFit="1" customWidth="1"/>
    <col min="5903" max="5903" width="4.85546875" style="3" bestFit="1" customWidth="1"/>
    <col min="5904" max="5906" width="5.5703125" style="3" bestFit="1" customWidth="1"/>
    <col min="5907" max="5907" width="4.85546875" style="3" bestFit="1" customWidth="1"/>
    <col min="5908" max="5908" width="7.85546875" style="3" bestFit="1" customWidth="1"/>
    <col min="5909" max="5909" width="8.5703125" style="3" bestFit="1" customWidth="1"/>
    <col min="5910" max="5910" width="14.7109375" style="3" bestFit="1" customWidth="1"/>
    <col min="5911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1.7109375" style="3" bestFit="1" customWidth="1"/>
    <col min="6152" max="6154" width="5.5703125" style="3" bestFit="1" customWidth="1"/>
    <col min="6155" max="6155" width="4.85546875" style="3" bestFit="1" customWidth="1"/>
    <col min="6156" max="6158" width="5.5703125" style="3" bestFit="1" customWidth="1"/>
    <col min="6159" max="6159" width="4.85546875" style="3" bestFit="1" customWidth="1"/>
    <col min="6160" max="6162" width="5.5703125" style="3" bestFit="1" customWidth="1"/>
    <col min="6163" max="6163" width="4.85546875" style="3" bestFit="1" customWidth="1"/>
    <col min="6164" max="6164" width="7.85546875" style="3" bestFit="1" customWidth="1"/>
    <col min="6165" max="6165" width="8.5703125" style="3" bestFit="1" customWidth="1"/>
    <col min="6166" max="6166" width="14.7109375" style="3" bestFit="1" customWidth="1"/>
    <col min="6167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1.7109375" style="3" bestFit="1" customWidth="1"/>
    <col min="6408" max="6410" width="5.5703125" style="3" bestFit="1" customWidth="1"/>
    <col min="6411" max="6411" width="4.85546875" style="3" bestFit="1" customWidth="1"/>
    <col min="6412" max="6414" width="5.5703125" style="3" bestFit="1" customWidth="1"/>
    <col min="6415" max="6415" width="4.85546875" style="3" bestFit="1" customWidth="1"/>
    <col min="6416" max="6418" width="5.5703125" style="3" bestFit="1" customWidth="1"/>
    <col min="6419" max="6419" width="4.85546875" style="3" bestFit="1" customWidth="1"/>
    <col min="6420" max="6420" width="7.85546875" style="3" bestFit="1" customWidth="1"/>
    <col min="6421" max="6421" width="8.5703125" style="3" bestFit="1" customWidth="1"/>
    <col min="6422" max="6422" width="14.7109375" style="3" bestFit="1" customWidth="1"/>
    <col min="6423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1.7109375" style="3" bestFit="1" customWidth="1"/>
    <col min="6664" max="6666" width="5.5703125" style="3" bestFit="1" customWidth="1"/>
    <col min="6667" max="6667" width="4.85546875" style="3" bestFit="1" customWidth="1"/>
    <col min="6668" max="6670" width="5.5703125" style="3" bestFit="1" customWidth="1"/>
    <col min="6671" max="6671" width="4.85546875" style="3" bestFit="1" customWidth="1"/>
    <col min="6672" max="6674" width="5.5703125" style="3" bestFit="1" customWidth="1"/>
    <col min="6675" max="6675" width="4.85546875" style="3" bestFit="1" customWidth="1"/>
    <col min="6676" max="6676" width="7.85546875" style="3" bestFit="1" customWidth="1"/>
    <col min="6677" max="6677" width="8.5703125" style="3" bestFit="1" customWidth="1"/>
    <col min="6678" max="6678" width="14.7109375" style="3" bestFit="1" customWidth="1"/>
    <col min="6679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1.7109375" style="3" bestFit="1" customWidth="1"/>
    <col min="6920" max="6922" width="5.5703125" style="3" bestFit="1" customWidth="1"/>
    <col min="6923" max="6923" width="4.85546875" style="3" bestFit="1" customWidth="1"/>
    <col min="6924" max="6926" width="5.5703125" style="3" bestFit="1" customWidth="1"/>
    <col min="6927" max="6927" width="4.85546875" style="3" bestFit="1" customWidth="1"/>
    <col min="6928" max="6930" width="5.5703125" style="3" bestFit="1" customWidth="1"/>
    <col min="6931" max="6931" width="4.85546875" style="3" bestFit="1" customWidth="1"/>
    <col min="6932" max="6932" width="7.85546875" style="3" bestFit="1" customWidth="1"/>
    <col min="6933" max="6933" width="8.5703125" style="3" bestFit="1" customWidth="1"/>
    <col min="6934" max="6934" width="14.7109375" style="3" bestFit="1" customWidth="1"/>
    <col min="6935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1.7109375" style="3" bestFit="1" customWidth="1"/>
    <col min="7176" max="7178" width="5.5703125" style="3" bestFit="1" customWidth="1"/>
    <col min="7179" max="7179" width="4.85546875" style="3" bestFit="1" customWidth="1"/>
    <col min="7180" max="7182" width="5.5703125" style="3" bestFit="1" customWidth="1"/>
    <col min="7183" max="7183" width="4.85546875" style="3" bestFit="1" customWidth="1"/>
    <col min="7184" max="7186" width="5.5703125" style="3" bestFit="1" customWidth="1"/>
    <col min="7187" max="7187" width="4.85546875" style="3" bestFit="1" customWidth="1"/>
    <col min="7188" max="7188" width="7.85546875" style="3" bestFit="1" customWidth="1"/>
    <col min="7189" max="7189" width="8.5703125" style="3" bestFit="1" customWidth="1"/>
    <col min="7190" max="7190" width="14.7109375" style="3" bestFit="1" customWidth="1"/>
    <col min="7191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1.7109375" style="3" bestFit="1" customWidth="1"/>
    <col min="7432" max="7434" width="5.5703125" style="3" bestFit="1" customWidth="1"/>
    <col min="7435" max="7435" width="4.85546875" style="3" bestFit="1" customWidth="1"/>
    <col min="7436" max="7438" width="5.5703125" style="3" bestFit="1" customWidth="1"/>
    <col min="7439" max="7439" width="4.85546875" style="3" bestFit="1" customWidth="1"/>
    <col min="7440" max="7442" width="5.5703125" style="3" bestFit="1" customWidth="1"/>
    <col min="7443" max="7443" width="4.85546875" style="3" bestFit="1" customWidth="1"/>
    <col min="7444" max="7444" width="7.85546875" style="3" bestFit="1" customWidth="1"/>
    <col min="7445" max="7445" width="8.5703125" style="3" bestFit="1" customWidth="1"/>
    <col min="7446" max="7446" width="14.7109375" style="3" bestFit="1" customWidth="1"/>
    <col min="7447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1.7109375" style="3" bestFit="1" customWidth="1"/>
    <col min="7688" max="7690" width="5.5703125" style="3" bestFit="1" customWidth="1"/>
    <col min="7691" max="7691" width="4.85546875" style="3" bestFit="1" customWidth="1"/>
    <col min="7692" max="7694" width="5.5703125" style="3" bestFit="1" customWidth="1"/>
    <col min="7695" max="7695" width="4.85546875" style="3" bestFit="1" customWidth="1"/>
    <col min="7696" max="7698" width="5.5703125" style="3" bestFit="1" customWidth="1"/>
    <col min="7699" max="7699" width="4.85546875" style="3" bestFit="1" customWidth="1"/>
    <col min="7700" max="7700" width="7.85546875" style="3" bestFit="1" customWidth="1"/>
    <col min="7701" max="7701" width="8.5703125" style="3" bestFit="1" customWidth="1"/>
    <col min="7702" max="7702" width="14.7109375" style="3" bestFit="1" customWidth="1"/>
    <col min="7703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1.7109375" style="3" bestFit="1" customWidth="1"/>
    <col min="7944" max="7946" width="5.5703125" style="3" bestFit="1" customWidth="1"/>
    <col min="7947" max="7947" width="4.85546875" style="3" bestFit="1" customWidth="1"/>
    <col min="7948" max="7950" width="5.5703125" style="3" bestFit="1" customWidth="1"/>
    <col min="7951" max="7951" width="4.85546875" style="3" bestFit="1" customWidth="1"/>
    <col min="7952" max="7954" width="5.5703125" style="3" bestFit="1" customWidth="1"/>
    <col min="7955" max="7955" width="4.85546875" style="3" bestFit="1" customWidth="1"/>
    <col min="7956" max="7956" width="7.85546875" style="3" bestFit="1" customWidth="1"/>
    <col min="7957" max="7957" width="8.5703125" style="3" bestFit="1" customWidth="1"/>
    <col min="7958" max="7958" width="14.7109375" style="3" bestFit="1" customWidth="1"/>
    <col min="7959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1.7109375" style="3" bestFit="1" customWidth="1"/>
    <col min="8200" max="8202" width="5.5703125" style="3" bestFit="1" customWidth="1"/>
    <col min="8203" max="8203" width="4.85546875" style="3" bestFit="1" customWidth="1"/>
    <col min="8204" max="8206" width="5.5703125" style="3" bestFit="1" customWidth="1"/>
    <col min="8207" max="8207" width="4.85546875" style="3" bestFit="1" customWidth="1"/>
    <col min="8208" max="8210" width="5.5703125" style="3" bestFit="1" customWidth="1"/>
    <col min="8211" max="8211" width="4.85546875" style="3" bestFit="1" customWidth="1"/>
    <col min="8212" max="8212" width="7.85546875" style="3" bestFit="1" customWidth="1"/>
    <col min="8213" max="8213" width="8.5703125" style="3" bestFit="1" customWidth="1"/>
    <col min="8214" max="8214" width="14.7109375" style="3" bestFit="1" customWidth="1"/>
    <col min="8215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1.7109375" style="3" bestFit="1" customWidth="1"/>
    <col min="8456" max="8458" width="5.5703125" style="3" bestFit="1" customWidth="1"/>
    <col min="8459" max="8459" width="4.85546875" style="3" bestFit="1" customWidth="1"/>
    <col min="8460" max="8462" width="5.5703125" style="3" bestFit="1" customWidth="1"/>
    <col min="8463" max="8463" width="4.85546875" style="3" bestFit="1" customWidth="1"/>
    <col min="8464" max="8466" width="5.5703125" style="3" bestFit="1" customWidth="1"/>
    <col min="8467" max="8467" width="4.85546875" style="3" bestFit="1" customWidth="1"/>
    <col min="8468" max="8468" width="7.85546875" style="3" bestFit="1" customWidth="1"/>
    <col min="8469" max="8469" width="8.5703125" style="3" bestFit="1" customWidth="1"/>
    <col min="8470" max="8470" width="14.7109375" style="3" bestFit="1" customWidth="1"/>
    <col min="8471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1.7109375" style="3" bestFit="1" customWidth="1"/>
    <col min="8712" max="8714" width="5.5703125" style="3" bestFit="1" customWidth="1"/>
    <col min="8715" max="8715" width="4.85546875" style="3" bestFit="1" customWidth="1"/>
    <col min="8716" max="8718" width="5.5703125" style="3" bestFit="1" customWidth="1"/>
    <col min="8719" max="8719" width="4.85546875" style="3" bestFit="1" customWidth="1"/>
    <col min="8720" max="8722" width="5.5703125" style="3" bestFit="1" customWidth="1"/>
    <col min="8723" max="8723" width="4.85546875" style="3" bestFit="1" customWidth="1"/>
    <col min="8724" max="8724" width="7.85546875" style="3" bestFit="1" customWidth="1"/>
    <col min="8725" max="8725" width="8.5703125" style="3" bestFit="1" customWidth="1"/>
    <col min="8726" max="8726" width="14.7109375" style="3" bestFit="1" customWidth="1"/>
    <col min="8727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1.7109375" style="3" bestFit="1" customWidth="1"/>
    <col min="8968" max="8970" width="5.5703125" style="3" bestFit="1" customWidth="1"/>
    <col min="8971" max="8971" width="4.85546875" style="3" bestFit="1" customWidth="1"/>
    <col min="8972" max="8974" width="5.5703125" style="3" bestFit="1" customWidth="1"/>
    <col min="8975" max="8975" width="4.85546875" style="3" bestFit="1" customWidth="1"/>
    <col min="8976" max="8978" width="5.5703125" style="3" bestFit="1" customWidth="1"/>
    <col min="8979" max="8979" width="4.85546875" style="3" bestFit="1" customWidth="1"/>
    <col min="8980" max="8980" width="7.85546875" style="3" bestFit="1" customWidth="1"/>
    <col min="8981" max="8981" width="8.5703125" style="3" bestFit="1" customWidth="1"/>
    <col min="8982" max="8982" width="14.7109375" style="3" bestFit="1" customWidth="1"/>
    <col min="8983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1.7109375" style="3" bestFit="1" customWidth="1"/>
    <col min="9224" max="9226" width="5.5703125" style="3" bestFit="1" customWidth="1"/>
    <col min="9227" max="9227" width="4.85546875" style="3" bestFit="1" customWidth="1"/>
    <col min="9228" max="9230" width="5.5703125" style="3" bestFit="1" customWidth="1"/>
    <col min="9231" max="9231" width="4.85546875" style="3" bestFit="1" customWidth="1"/>
    <col min="9232" max="9234" width="5.5703125" style="3" bestFit="1" customWidth="1"/>
    <col min="9235" max="9235" width="4.85546875" style="3" bestFit="1" customWidth="1"/>
    <col min="9236" max="9236" width="7.85546875" style="3" bestFit="1" customWidth="1"/>
    <col min="9237" max="9237" width="8.5703125" style="3" bestFit="1" customWidth="1"/>
    <col min="9238" max="9238" width="14.7109375" style="3" bestFit="1" customWidth="1"/>
    <col min="9239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1.7109375" style="3" bestFit="1" customWidth="1"/>
    <col min="9480" max="9482" width="5.5703125" style="3" bestFit="1" customWidth="1"/>
    <col min="9483" max="9483" width="4.85546875" style="3" bestFit="1" customWidth="1"/>
    <col min="9484" max="9486" width="5.5703125" style="3" bestFit="1" customWidth="1"/>
    <col min="9487" max="9487" width="4.85546875" style="3" bestFit="1" customWidth="1"/>
    <col min="9488" max="9490" width="5.5703125" style="3" bestFit="1" customWidth="1"/>
    <col min="9491" max="9491" width="4.85546875" style="3" bestFit="1" customWidth="1"/>
    <col min="9492" max="9492" width="7.85546875" style="3" bestFit="1" customWidth="1"/>
    <col min="9493" max="9493" width="8.5703125" style="3" bestFit="1" customWidth="1"/>
    <col min="9494" max="9494" width="14.7109375" style="3" bestFit="1" customWidth="1"/>
    <col min="9495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1.7109375" style="3" bestFit="1" customWidth="1"/>
    <col min="9736" max="9738" width="5.5703125" style="3" bestFit="1" customWidth="1"/>
    <col min="9739" max="9739" width="4.85546875" style="3" bestFit="1" customWidth="1"/>
    <col min="9740" max="9742" width="5.5703125" style="3" bestFit="1" customWidth="1"/>
    <col min="9743" max="9743" width="4.85546875" style="3" bestFit="1" customWidth="1"/>
    <col min="9744" max="9746" width="5.5703125" style="3" bestFit="1" customWidth="1"/>
    <col min="9747" max="9747" width="4.85546875" style="3" bestFit="1" customWidth="1"/>
    <col min="9748" max="9748" width="7.85546875" style="3" bestFit="1" customWidth="1"/>
    <col min="9749" max="9749" width="8.5703125" style="3" bestFit="1" customWidth="1"/>
    <col min="9750" max="9750" width="14.7109375" style="3" bestFit="1" customWidth="1"/>
    <col min="9751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1.7109375" style="3" bestFit="1" customWidth="1"/>
    <col min="9992" max="9994" width="5.5703125" style="3" bestFit="1" customWidth="1"/>
    <col min="9995" max="9995" width="4.85546875" style="3" bestFit="1" customWidth="1"/>
    <col min="9996" max="9998" width="5.5703125" style="3" bestFit="1" customWidth="1"/>
    <col min="9999" max="9999" width="4.85546875" style="3" bestFit="1" customWidth="1"/>
    <col min="10000" max="10002" width="5.5703125" style="3" bestFit="1" customWidth="1"/>
    <col min="10003" max="10003" width="4.85546875" style="3" bestFit="1" customWidth="1"/>
    <col min="10004" max="10004" width="7.85546875" style="3" bestFit="1" customWidth="1"/>
    <col min="10005" max="10005" width="8.5703125" style="3" bestFit="1" customWidth="1"/>
    <col min="10006" max="10006" width="14.7109375" style="3" bestFit="1" customWidth="1"/>
    <col min="10007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1.7109375" style="3" bestFit="1" customWidth="1"/>
    <col min="10248" max="10250" width="5.5703125" style="3" bestFit="1" customWidth="1"/>
    <col min="10251" max="10251" width="4.85546875" style="3" bestFit="1" customWidth="1"/>
    <col min="10252" max="10254" width="5.5703125" style="3" bestFit="1" customWidth="1"/>
    <col min="10255" max="10255" width="4.85546875" style="3" bestFit="1" customWidth="1"/>
    <col min="10256" max="10258" width="5.5703125" style="3" bestFit="1" customWidth="1"/>
    <col min="10259" max="10259" width="4.85546875" style="3" bestFit="1" customWidth="1"/>
    <col min="10260" max="10260" width="7.85546875" style="3" bestFit="1" customWidth="1"/>
    <col min="10261" max="10261" width="8.5703125" style="3" bestFit="1" customWidth="1"/>
    <col min="10262" max="10262" width="14.7109375" style="3" bestFit="1" customWidth="1"/>
    <col min="10263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1.7109375" style="3" bestFit="1" customWidth="1"/>
    <col min="10504" max="10506" width="5.5703125" style="3" bestFit="1" customWidth="1"/>
    <col min="10507" max="10507" width="4.85546875" style="3" bestFit="1" customWidth="1"/>
    <col min="10508" max="10510" width="5.5703125" style="3" bestFit="1" customWidth="1"/>
    <col min="10511" max="10511" width="4.85546875" style="3" bestFit="1" customWidth="1"/>
    <col min="10512" max="10514" width="5.5703125" style="3" bestFit="1" customWidth="1"/>
    <col min="10515" max="10515" width="4.85546875" style="3" bestFit="1" customWidth="1"/>
    <col min="10516" max="10516" width="7.85546875" style="3" bestFit="1" customWidth="1"/>
    <col min="10517" max="10517" width="8.5703125" style="3" bestFit="1" customWidth="1"/>
    <col min="10518" max="10518" width="14.7109375" style="3" bestFit="1" customWidth="1"/>
    <col min="10519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1.7109375" style="3" bestFit="1" customWidth="1"/>
    <col min="10760" max="10762" width="5.5703125" style="3" bestFit="1" customWidth="1"/>
    <col min="10763" max="10763" width="4.85546875" style="3" bestFit="1" customWidth="1"/>
    <col min="10764" max="10766" width="5.5703125" style="3" bestFit="1" customWidth="1"/>
    <col min="10767" max="10767" width="4.85546875" style="3" bestFit="1" customWidth="1"/>
    <col min="10768" max="10770" width="5.5703125" style="3" bestFit="1" customWidth="1"/>
    <col min="10771" max="10771" width="4.85546875" style="3" bestFit="1" customWidth="1"/>
    <col min="10772" max="10772" width="7.85546875" style="3" bestFit="1" customWidth="1"/>
    <col min="10773" max="10773" width="8.5703125" style="3" bestFit="1" customWidth="1"/>
    <col min="10774" max="10774" width="14.7109375" style="3" bestFit="1" customWidth="1"/>
    <col min="10775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1.7109375" style="3" bestFit="1" customWidth="1"/>
    <col min="11016" max="11018" width="5.5703125" style="3" bestFit="1" customWidth="1"/>
    <col min="11019" max="11019" width="4.85546875" style="3" bestFit="1" customWidth="1"/>
    <col min="11020" max="11022" width="5.5703125" style="3" bestFit="1" customWidth="1"/>
    <col min="11023" max="11023" width="4.85546875" style="3" bestFit="1" customWidth="1"/>
    <col min="11024" max="11026" width="5.5703125" style="3" bestFit="1" customWidth="1"/>
    <col min="11027" max="11027" width="4.85546875" style="3" bestFit="1" customWidth="1"/>
    <col min="11028" max="11028" width="7.85546875" style="3" bestFit="1" customWidth="1"/>
    <col min="11029" max="11029" width="8.5703125" style="3" bestFit="1" customWidth="1"/>
    <col min="11030" max="11030" width="14.7109375" style="3" bestFit="1" customWidth="1"/>
    <col min="11031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1.7109375" style="3" bestFit="1" customWidth="1"/>
    <col min="11272" max="11274" width="5.5703125" style="3" bestFit="1" customWidth="1"/>
    <col min="11275" max="11275" width="4.85546875" style="3" bestFit="1" customWidth="1"/>
    <col min="11276" max="11278" width="5.5703125" style="3" bestFit="1" customWidth="1"/>
    <col min="11279" max="11279" width="4.85546875" style="3" bestFit="1" customWidth="1"/>
    <col min="11280" max="11282" width="5.5703125" style="3" bestFit="1" customWidth="1"/>
    <col min="11283" max="11283" width="4.85546875" style="3" bestFit="1" customWidth="1"/>
    <col min="11284" max="11284" width="7.85546875" style="3" bestFit="1" customWidth="1"/>
    <col min="11285" max="11285" width="8.5703125" style="3" bestFit="1" customWidth="1"/>
    <col min="11286" max="11286" width="14.7109375" style="3" bestFit="1" customWidth="1"/>
    <col min="11287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1.7109375" style="3" bestFit="1" customWidth="1"/>
    <col min="11528" max="11530" width="5.5703125" style="3" bestFit="1" customWidth="1"/>
    <col min="11531" max="11531" width="4.85546875" style="3" bestFit="1" customWidth="1"/>
    <col min="11532" max="11534" width="5.5703125" style="3" bestFit="1" customWidth="1"/>
    <col min="11535" max="11535" width="4.85546875" style="3" bestFit="1" customWidth="1"/>
    <col min="11536" max="11538" width="5.5703125" style="3" bestFit="1" customWidth="1"/>
    <col min="11539" max="11539" width="4.85546875" style="3" bestFit="1" customWidth="1"/>
    <col min="11540" max="11540" width="7.85546875" style="3" bestFit="1" customWidth="1"/>
    <col min="11541" max="11541" width="8.5703125" style="3" bestFit="1" customWidth="1"/>
    <col min="11542" max="11542" width="14.7109375" style="3" bestFit="1" customWidth="1"/>
    <col min="11543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1.7109375" style="3" bestFit="1" customWidth="1"/>
    <col min="11784" max="11786" width="5.5703125" style="3" bestFit="1" customWidth="1"/>
    <col min="11787" max="11787" width="4.85546875" style="3" bestFit="1" customWidth="1"/>
    <col min="11788" max="11790" width="5.5703125" style="3" bestFit="1" customWidth="1"/>
    <col min="11791" max="11791" width="4.85546875" style="3" bestFit="1" customWidth="1"/>
    <col min="11792" max="11794" width="5.5703125" style="3" bestFit="1" customWidth="1"/>
    <col min="11795" max="11795" width="4.85546875" style="3" bestFit="1" customWidth="1"/>
    <col min="11796" max="11796" width="7.85546875" style="3" bestFit="1" customWidth="1"/>
    <col min="11797" max="11797" width="8.5703125" style="3" bestFit="1" customWidth="1"/>
    <col min="11798" max="11798" width="14.7109375" style="3" bestFit="1" customWidth="1"/>
    <col min="11799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1.7109375" style="3" bestFit="1" customWidth="1"/>
    <col min="12040" max="12042" width="5.5703125" style="3" bestFit="1" customWidth="1"/>
    <col min="12043" max="12043" width="4.85546875" style="3" bestFit="1" customWidth="1"/>
    <col min="12044" max="12046" width="5.5703125" style="3" bestFit="1" customWidth="1"/>
    <col min="12047" max="12047" width="4.85546875" style="3" bestFit="1" customWidth="1"/>
    <col min="12048" max="12050" width="5.5703125" style="3" bestFit="1" customWidth="1"/>
    <col min="12051" max="12051" width="4.85546875" style="3" bestFit="1" customWidth="1"/>
    <col min="12052" max="12052" width="7.85546875" style="3" bestFit="1" customWidth="1"/>
    <col min="12053" max="12053" width="8.5703125" style="3" bestFit="1" customWidth="1"/>
    <col min="12054" max="12054" width="14.7109375" style="3" bestFit="1" customWidth="1"/>
    <col min="12055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1.7109375" style="3" bestFit="1" customWidth="1"/>
    <col min="12296" max="12298" width="5.5703125" style="3" bestFit="1" customWidth="1"/>
    <col min="12299" max="12299" width="4.85546875" style="3" bestFit="1" customWidth="1"/>
    <col min="12300" max="12302" width="5.5703125" style="3" bestFit="1" customWidth="1"/>
    <col min="12303" max="12303" width="4.85546875" style="3" bestFit="1" customWidth="1"/>
    <col min="12304" max="12306" width="5.5703125" style="3" bestFit="1" customWidth="1"/>
    <col min="12307" max="12307" width="4.85546875" style="3" bestFit="1" customWidth="1"/>
    <col min="12308" max="12308" width="7.85546875" style="3" bestFit="1" customWidth="1"/>
    <col min="12309" max="12309" width="8.5703125" style="3" bestFit="1" customWidth="1"/>
    <col min="12310" max="12310" width="14.7109375" style="3" bestFit="1" customWidth="1"/>
    <col min="12311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1.7109375" style="3" bestFit="1" customWidth="1"/>
    <col min="12552" max="12554" width="5.5703125" style="3" bestFit="1" customWidth="1"/>
    <col min="12555" max="12555" width="4.85546875" style="3" bestFit="1" customWidth="1"/>
    <col min="12556" max="12558" width="5.5703125" style="3" bestFit="1" customWidth="1"/>
    <col min="12559" max="12559" width="4.85546875" style="3" bestFit="1" customWidth="1"/>
    <col min="12560" max="12562" width="5.5703125" style="3" bestFit="1" customWidth="1"/>
    <col min="12563" max="12563" width="4.85546875" style="3" bestFit="1" customWidth="1"/>
    <col min="12564" max="12564" width="7.85546875" style="3" bestFit="1" customWidth="1"/>
    <col min="12565" max="12565" width="8.5703125" style="3" bestFit="1" customWidth="1"/>
    <col min="12566" max="12566" width="14.7109375" style="3" bestFit="1" customWidth="1"/>
    <col min="12567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1.7109375" style="3" bestFit="1" customWidth="1"/>
    <col min="12808" max="12810" width="5.5703125" style="3" bestFit="1" customWidth="1"/>
    <col min="12811" max="12811" width="4.85546875" style="3" bestFit="1" customWidth="1"/>
    <col min="12812" max="12814" width="5.5703125" style="3" bestFit="1" customWidth="1"/>
    <col min="12815" max="12815" width="4.85546875" style="3" bestFit="1" customWidth="1"/>
    <col min="12816" max="12818" width="5.5703125" style="3" bestFit="1" customWidth="1"/>
    <col min="12819" max="12819" width="4.85546875" style="3" bestFit="1" customWidth="1"/>
    <col min="12820" max="12820" width="7.85546875" style="3" bestFit="1" customWidth="1"/>
    <col min="12821" max="12821" width="8.5703125" style="3" bestFit="1" customWidth="1"/>
    <col min="12822" max="12822" width="14.7109375" style="3" bestFit="1" customWidth="1"/>
    <col min="12823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1.7109375" style="3" bestFit="1" customWidth="1"/>
    <col min="13064" max="13066" width="5.5703125" style="3" bestFit="1" customWidth="1"/>
    <col min="13067" max="13067" width="4.85546875" style="3" bestFit="1" customWidth="1"/>
    <col min="13068" max="13070" width="5.5703125" style="3" bestFit="1" customWidth="1"/>
    <col min="13071" max="13071" width="4.85546875" style="3" bestFit="1" customWidth="1"/>
    <col min="13072" max="13074" width="5.5703125" style="3" bestFit="1" customWidth="1"/>
    <col min="13075" max="13075" width="4.85546875" style="3" bestFit="1" customWidth="1"/>
    <col min="13076" max="13076" width="7.85546875" style="3" bestFit="1" customWidth="1"/>
    <col min="13077" max="13077" width="8.5703125" style="3" bestFit="1" customWidth="1"/>
    <col min="13078" max="13078" width="14.7109375" style="3" bestFit="1" customWidth="1"/>
    <col min="13079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1.7109375" style="3" bestFit="1" customWidth="1"/>
    <col min="13320" max="13322" width="5.5703125" style="3" bestFit="1" customWidth="1"/>
    <col min="13323" max="13323" width="4.85546875" style="3" bestFit="1" customWidth="1"/>
    <col min="13324" max="13326" width="5.5703125" style="3" bestFit="1" customWidth="1"/>
    <col min="13327" max="13327" width="4.85546875" style="3" bestFit="1" customWidth="1"/>
    <col min="13328" max="13330" width="5.5703125" style="3" bestFit="1" customWidth="1"/>
    <col min="13331" max="13331" width="4.85546875" style="3" bestFit="1" customWidth="1"/>
    <col min="13332" max="13332" width="7.85546875" style="3" bestFit="1" customWidth="1"/>
    <col min="13333" max="13333" width="8.5703125" style="3" bestFit="1" customWidth="1"/>
    <col min="13334" max="13334" width="14.7109375" style="3" bestFit="1" customWidth="1"/>
    <col min="13335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1.7109375" style="3" bestFit="1" customWidth="1"/>
    <col min="13576" max="13578" width="5.5703125" style="3" bestFit="1" customWidth="1"/>
    <col min="13579" max="13579" width="4.85546875" style="3" bestFit="1" customWidth="1"/>
    <col min="13580" max="13582" width="5.5703125" style="3" bestFit="1" customWidth="1"/>
    <col min="13583" max="13583" width="4.85546875" style="3" bestFit="1" customWidth="1"/>
    <col min="13584" max="13586" width="5.5703125" style="3" bestFit="1" customWidth="1"/>
    <col min="13587" max="13587" width="4.85546875" style="3" bestFit="1" customWidth="1"/>
    <col min="13588" max="13588" width="7.85546875" style="3" bestFit="1" customWidth="1"/>
    <col min="13589" max="13589" width="8.5703125" style="3" bestFit="1" customWidth="1"/>
    <col min="13590" max="13590" width="14.7109375" style="3" bestFit="1" customWidth="1"/>
    <col min="13591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1.7109375" style="3" bestFit="1" customWidth="1"/>
    <col min="13832" max="13834" width="5.5703125" style="3" bestFit="1" customWidth="1"/>
    <col min="13835" max="13835" width="4.85546875" style="3" bestFit="1" customWidth="1"/>
    <col min="13836" max="13838" width="5.5703125" style="3" bestFit="1" customWidth="1"/>
    <col min="13839" max="13839" width="4.85546875" style="3" bestFit="1" customWidth="1"/>
    <col min="13840" max="13842" width="5.5703125" style="3" bestFit="1" customWidth="1"/>
    <col min="13843" max="13843" width="4.85546875" style="3" bestFit="1" customWidth="1"/>
    <col min="13844" max="13844" width="7.85546875" style="3" bestFit="1" customWidth="1"/>
    <col min="13845" max="13845" width="8.5703125" style="3" bestFit="1" customWidth="1"/>
    <col min="13846" max="13846" width="14.7109375" style="3" bestFit="1" customWidth="1"/>
    <col min="13847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1.7109375" style="3" bestFit="1" customWidth="1"/>
    <col min="14088" max="14090" width="5.5703125" style="3" bestFit="1" customWidth="1"/>
    <col min="14091" max="14091" width="4.85546875" style="3" bestFit="1" customWidth="1"/>
    <col min="14092" max="14094" width="5.5703125" style="3" bestFit="1" customWidth="1"/>
    <col min="14095" max="14095" width="4.85546875" style="3" bestFit="1" customWidth="1"/>
    <col min="14096" max="14098" width="5.5703125" style="3" bestFit="1" customWidth="1"/>
    <col min="14099" max="14099" width="4.85546875" style="3" bestFit="1" customWidth="1"/>
    <col min="14100" max="14100" width="7.85546875" style="3" bestFit="1" customWidth="1"/>
    <col min="14101" max="14101" width="8.5703125" style="3" bestFit="1" customWidth="1"/>
    <col min="14102" max="14102" width="14.7109375" style="3" bestFit="1" customWidth="1"/>
    <col min="14103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1.7109375" style="3" bestFit="1" customWidth="1"/>
    <col min="14344" max="14346" width="5.5703125" style="3" bestFit="1" customWidth="1"/>
    <col min="14347" max="14347" width="4.85546875" style="3" bestFit="1" customWidth="1"/>
    <col min="14348" max="14350" width="5.5703125" style="3" bestFit="1" customWidth="1"/>
    <col min="14351" max="14351" width="4.85546875" style="3" bestFit="1" customWidth="1"/>
    <col min="14352" max="14354" width="5.5703125" style="3" bestFit="1" customWidth="1"/>
    <col min="14355" max="14355" width="4.85546875" style="3" bestFit="1" customWidth="1"/>
    <col min="14356" max="14356" width="7.85546875" style="3" bestFit="1" customWidth="1"/>
    <col min="14357" max="14357" width="8.5703125" style="3" bestFit="1" customWidth="1"/>
    <col min="14358" max="14358" width="14.7109375" style="3" bestFit="1" customWidth="1"/>
    <col min="14359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1.7109375" style="3" bestFit="1" customWidth="1"/>
    <col min="14600" max="14602" width="5.5703125" style="3" bestFit="1" customWidth="1"/>
    <col min="14603" max="14603" width="4.85546875" style="3" bestFit="1" customWidth="1"/>
    <col min="14604" max="14606" width="5.5703125" style="3" bestFit="1" customWidth="1"/>
    <col min="14607" max="14607" width="4.85546875" style="3" bestFit="1" customWidth="1"/>
    <col min="14608" max="14610" width="5.5703125" style="3" bestFit="1" customWidth="1"/>
    <col min="14611" max="14611" width="4.85546875" style="3" bestFit="1" customWidth="1"/>
    <col min="14612" max="14612" width="7.85546875" style="3" bestFit="1" customWidth="1"/>
    <col min="14613" max="14613" width="8.5703125" style="3" bestFit="1" customWidth="1"/>
    <col min="14614" max="14614" width="14.7109375" style="3" bestFit="1" customWidth="1"/>
    <col min="14615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1.7109375" style="3" bestFit="1" customWidth="1"/>
    <col min="14856" max="14858" width="5.5703125" style="3" bestFit="1" customWidth="1"/>
    <col min="14859" max="14859" width="4.85546875" style="3" bestFit="1" customWidth="1"/>
    <col min="14860" max="14862" width="5.5703125" style="3" bestFit="1" customWidth="1"/>
    <col min="14863" max="14863" width="4.85546875" style="3" bestFit="1" customWidth="1"/>
    <col min="14864" max="14866" width="5.5703125" style="3" bestFit="1" customWidth="1"/>
    <col min="14867" max="14867" width="4.85546875" style="3" bestFit="1" customWidth="1"/>
    <col min="14868" max="14868" width="7.85546875" style="3" bestFit="1" customWidth="1"/>
    <col min="14869" max="14869" width="8.5703125" style="3" bestFit="1" customWidth="1"/>
    <col min="14870" max="14870" width="14.7109375" style="3" bestFit="1" customWidth="1"/>
    <col min="14871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1.7109375" style="3" bestFit="1" customWidth="1"/>
    <col min="15112" max="15114" width="5.5703125" style="3" bestFit="1" customWidth="1"/>
    <col min="15115" max="15115" width="4.85546875" style="3" bestFit="1" customWidth="1"/>
    <col min="15116" max="15118" width="5.5703125" style="3" bestFit="1" customWidth="1"/>
    <col min="15119" max="15119" width="4.85546875" style="3" bestFit="1" customWidth="1"/>
    <col min="15120" max="15122" width="5.5703125" style="3" bestFit="1" customWidth="1"/>
    <col min="15123" max="15123" width="4.85546875" style="3" bestFit="1" customWidth="1"/>
    <col min="15124" max="15124" width="7.85546875" style="3" bestFit="1" customWidth="1"/>
    <col min="15125" max="15125" width="8.5703125" style="3" bestFit="1" customWidth="1"/>
    <col min="15126" max="15126" width="14.7109375" style="3" bestFit="1" customWidth="1"/>
    <col min="15127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1.7109375" style="3" bestFit="1" customWidth="1"/>
    <col min="15368" max="15370" width="5.5703125" style="3" bestFit="1" customWidth="1"/>
    <col min="15371" max="15371" width="4.85546875" style="3" bestFit="1" customWidth="1"/>
    <col min="15372" max="15374" width="5.5703125" style="3" bestFit="1" customWidth="1"/>
    <col min="15375" max="15375" width="4.85546875" style="3" bestFit="1" customWidth="1"/>
    <col min="15376" max="15378" width="5.5703125" style="3" bestFit="1" customWidth="1"/>
    <col min="15379" max="15379" width="4.85546875" style="3" bestFit="1" customWidth="1"/>
    <col min="15380" max="15380" width="7.85546875" style="3" bestFit="1" customWidth="1"/>
    <col min="15381" max="15381" width="8.5703125" style="3" bestFit="1" customWidth="1"/>
    <col min="15382" max="15382" width="14.7109375" style="3" bestFit="1" customWidth="1"/>
    <col min="15383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1.7109375" style="3" bestFit="1" customWidth="1"/>
    <col min="15624" max="15626" width="5.5703125" style="3" bestFit="1" customWidth="1"/>
    <col min="15627" max="15627" width="4.85546875" style="3" bestFit="1" customWidth="1"/>
    <col min="15628" max="15630" width="5.5703125" style="3" bestFit="1" customWidth="1"/>
    <col min="15631" max="15631" width="4.85546875" style="3" bestFit="1" customWidth="1"/>
    <col min="15632" max="15634" width="5.5703125" style="3" bestFit="1" customWidth="1"/>
    <col min="15635" max="15635" width="4.85546875" style="3" bestFit="1" customWidth="1"/>
    <col min="15636" max="15636" width="7.85546875" style="3" bestFit="1" customWidth="1"/>
    <col min="15637" max="15637" width="8.5703125" style="3" bestFit="1" customWidth="1"/>
    <col min="15638" max="15638" width="14.7109375" style="3" bestFit="1" customWidth="1"/>
    <col min="15639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1.7109375" style="3" bestFit="1" customWidth="1"/>
    <col min="15880" max="15882" width="5.5703125" style="3" bestFit="1" customWidth="1"/>
    <col min="15883" max="15883" width="4.85546875" style="3" bestFit="1" customWidth="1"/>
    <col min="15884" max="15886" width="5.5703125" style="3" bestFit="1" customWidth="1"/>
    <col min="15887" max="15887" width="4.85546875" style="3" bestFit="1" customWidth="1"/>
    <col min="15888" max="15890" width="5.5703125" style="3" bestFit="1" customWidth="1"/>
    <col min="15891" max="15891" width="4.85546875" style="3" bestFit="1" customWidth="1"/>
    <col min="15892" max="15892" width="7.85546875" style="3" bestFit="1" customWidth="1"/>
    <col min="15893" max="15893" width="8.5703125" style="3" bestFit="1" customWidth="1"/>
    <col min="15894" max="15894" width="14.7109375" style="3" bestFit="1" customWidth="1"/>
    <col min="15895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1.7109375" style="3" bestFit="1" customWidth="1"/>
    <col min="16136" max="16138" width="5.5703125" style="3" bestFit="1" customWidth="1"/>
    <col min="16139" max="16139" width="4.85546875" style="3" bestFit="1" customWidth="1"/>
    <col min="16140" max="16142" width="5.5703125" style="3" bestFit="1" customWidth="1"/>
    <col min="16143" max="16143" width="4.85546875" style="3" bestFit="1" customWidth="1"/>
    <col min="16144" max="16146" width="5.5703125" style="3" bestFit="1" customWidth="1"/>
    <col min="16147" max="16147" width="4.85546875" style="3" bestFit="1" customWidth="1"/>
    <col min="16148" max="16148" width="7.85546875" style="3" bestFit="1" customWidth="1"/>
    <col min="16149" max="16149" width="8.5703125" style="3" bestFit="1" customWidth="1"/>
    <col min="16150" max="16150" width="14.7109375" style="3" bestFit="1" customWidth="1"/>
    <col min="16151" max="16384" width="9.140625" style="3"/>
  </cols>
  <sheetData>
    <row r="1" spans="1:22" s="2" customFormat="1" ht="29.1" customHeight="1" x14ac:dyDescent="0.2">
      <c r="A1" s="40" t="s">
        <v>1355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2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1000</v>
      </c>
      <c r="I3" s="37"/>
      <c r="J3" s="37"/>
      <c r="K3" s="37"/>
      <c r="L3" s="37" t="s">
        <v>1</v>
      </c>
      <c r="M3" s="37"/>
      <c r="N3" s="37"/>
      <c r="O3" s="37"/>
      <c r="P3" s="37" t="s">
        <v>295</v>
      </c>
      <c r="Q3" s="37"/>
      <c r="R3" s="37"/>
      <c r="S3" s="37"/>
      <c r="T3" s="37" t="s">
        <v>1001</v>
      </c>
      <c r="U3" s="37" t="s">
        <v>3</v>
      </c>
      <c r="V3" s="38" t="s">
        <v>2</v>
      </c>
    </row>
    <row r="4" spans="1:22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5">
        <v>1</v>
      </c>
      <c r="M4" s="5">
        <v>2</v>
      </c>
      <c r="N4" s="5">
        <v>3</v>
      </c>
      <c r="O4" s="5" t="s">
        <v>224</v>
      </c>
      <c r="P4" s="5">
        <v>1</v>
      </c>
      <c r="Q4" s="5">
        <v>2</v>
      </c>
      <c r="R4" s="5">
        <v>3</v>
      </c>
      <c r="S4" s="5" t="s">
        <v>224</v>
      </c>
      <c r="T4" s="36"/>
      <c r="U4" s="36"/>
      <c r="V4" s="39"/>
    </row>
    <row r="5" spans="1:22" ht="15" x14ac:dyDescent="0.2">
      <c r="A5" s="61" t="s">
        <v>196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x14ac:dyDescent="0.2">
      <c r="A6" s="6" t="s">
        <v>1356</v>
      </c>
      <c r="B6" s="6" t="s">
        <v>1443</v>
      </c>
      <c r="C6" s="6" t="s">
        <v>1357</v>
      </c>
      <c r="D6" s="6" t="s">
        <v>1358</v>
      </c>
      <c r="E6" s="6" t="str">
        <f>"1,1355"</f>
        <v>1,1355</v>
      </c>
      <c r="F6" s="6" t="s">
        <v>65</v>
      </c>
      <c r="G6" s="6" t="s">
        <v>66</v>
      </c>
      <c r="H6" s="7" t="s">
        <v>183</v>
      </c>
      <c r="I6" s="8" t="s">
        <v>183</v>
      </c>
      <c r="J6" s="8" t="s">
        <v>356</v>
      </c>
      <c r="K6" s="7"/>
      <c r="L6" s="8" t="s">
        <v>237</v>
      </c>
      <c r="M6" s="8" t="s">
        <v>248</v>
      </c>
      <c r="N6" s="7" t="s">
        <v>106</v>
      </c>
      <c r="O6" s="7"/>
      <c r="P6" s="7" t="s">
        <v>400</v>
      </c>
      <c r="Q6" s="8" t="s">
        <v>400</v>
      </c>
      <c r="R6" s="7" t="s">
        <v>290</v>
      </c>
      <c r="S6" s="7"/>
      <c r="T6" s="6" t="str">
        <f>"370,0"</f>
        <v>370,0</v>
      </c>
      <c r="U6" s="8" t="str">
        <f>"420,1350"</f>
        <v>420,1350</v>
      </c>
      <c r="V6" s="6" t="s">
        <v>1359</v>
      </c>
    </row>
    <row r="8" spans="1:22" ht="15" x14ac:dyDescent="0.2">
      <c r="A8" s="32" t="s">
        <v>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x14ac:dyDescent="0.2">
      <c r="A9" s="6" t="s">
        <v>1360</v>
      </c>
      <c r="B9" s="6" t="s">
        <v>1437</v>
      </c>
      <c r="C9" s="6" t="s">
        <v>1139</v>
      </c>
      <c r="D9" s="6" t="s">
        <v>1361</v>
      </c>
      <c r="E9" s="6" t="str">
        <f>"1,0306"</f>
        <v>1,0306</v>
      </c>
      <c r="F9" s="6" t="s">
        <v>65</v>
      </c>
      <c r="G9" s="6" t="s">
        <v>66</v>
      </c>
      <c r="H9" s="8" t="s">
        <v>83</v>
      </c>
      <c r="I9" s="8" t="s">
        <v>323</v>
      </c>
      <c r="J9" s="7" t="s">
        <v>183</v>
      </c>
      <c r="K9" s="7"/>
      <c r="L9" s="8" t="s">
        <v>598</v>
      </c>
      <c r="M9" s="8" t="s">
        <v>236</v>
      </c>
      <c r="N9" s="7" t="s">
        <v>237</v>
      </c>
      <c r="O9" s="7"/>
      <c r="P9" s="8" t="s">
        <v>183</v>
      </c>
      <c r="Q9" s="8" t="s">
        <v>356</v>
      </c>
      <c r="R9" s="8" t="s">
        <v>664</v>
      </c>
      <c r="S9" s="7"/>
      <c r="T9" s="6" t="str">
        <f>"325,0"</f>
        <v>325,0</v>
      </c>
      <c r="U9" s="8" t="str">
        <f>"334,9450"</f>
        <v>334,9450</v>
      </c>
      <c r="V9" s="6"/>
    </row>
    <row r="11" spans="1:22" ht="15" x14ac:dyDescent="0.2">
      <c r="A11" s="32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x14ac:dyDescent="0.2">
      <c r="A12" s="6" t="s">
        <v>1362</v>
      </c>
      <c r="B12" s="6" t="s">
        <v>1437</v>
      </c>
      <c r="C12" s="6" t="s">
        <v>1363</v>
      </c>
      <c r="D12" s="6" t="s">
        <v>1364</v>
      </c>
      <c r="E12" s="6" t="str">
        <f>"0,9663"</f>
        <v>0,9663</v>
      </c>
      <c r="F12" s="6" t="s">
        <v>65</v>
      </c>
      <c r="G12" s="6" t="s">
        <v>66</v>
      </c>
      <c r="H12" s="8" t="s">
        <v>323</v>
      </c>
      <c r="I12" s="8" t="s">
        <v>183</v>
      </c>
      <c r="J12" s="7" t="s">
        <v>356</v>
      </c>
      <c r="K12" s="7"/>
      <c r="L12" s="8" t="s">
        <v>106</v>
      </c>
      <c r="M12" s="8" t="s">
        <v>32</v>
      </c>
      <c r="N12" s="8" t="s">
        <v>659</v>
      </c>
      <c r="O12" s="7"/>
      <c r="P12" s="8" t="s">
        <v>355</v>
      </c>
      <c r="Q12" s="8" t="s">
        <v>264</v>
      </c>
      <c r="R12" s="7" t="s">
        <v>467</v>
      </c>
      <c r="S12" s="7"/>
      <c r="T12" s="6" t="str">
        <f>"365,0"</f>
        <v>365,0</v>
      </c>
      <c r="U12" s="8" t="str">
        <f>"352,6995"</f>
        <v>352,6995</v>
      </c>
      <c r="V12" s="6" t="s">
        <v>1359</v>
      </c>
    </row>
    <row r="14" spans="1:22" ht="15" x14ac:dyDescent="0.2">
      <c r="A14" s="32" t="s">
        <v>26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x14ac:dyDescent="0.2">
      <c r="A15" s="6" t="s">
        <v>1237</v>
      </c>
      <c r="B15" s="6" t="s">
        <v>1437</v>
      </c>
      <c r="C15" s="6" t="s">
        <v>1238</v>
      </c>
      <c r="D15" s="6" t="s">
        <v>1239</v>
      </c>
      <c r="E15" s="6" t="str">
        <f>"0,6749"</f>
        <v>0,6749</v>
      </c>
      <c r="F15" s="6" t="s">
        <v>14</v>
      </c>
      <c r="G15" s="6" t="s">
        <v>495</v>
      </c>
      <c r="H15" s="8" t="s">
        <v>264</v>
      </c>
      <c r="I15" s="8" t="s">
        <v>400</v>
      </c>
      <c r="J15" s="8" t="s">
        <v>269</v>
      </c>
      <c r="K15" s="7"/>
      <c r="L15" s="8" t="s">
        <v>83</v>
      </c>
      <c r="M15" s="7" t="s">
        <v>94</v>
      </c>
      <c r="N15" s="8" t="s">
        <v>94</v>
      </c>
      <c r="O15" s="7"/>
      <c r="P15" s="8" t="s">
        <v>242</v>
      </c>
      <c r="Q15" s="8" t="s">
        <v>279</v>
      </c>
      <c r="R15" s="8" t="s">
        <v>388</v>
      </c>
      <c r="S15" s="7"/>
      <c r="T15" s="6" t="str">
        <f>"490,0"</f>
        <v>490,0</v>
      </c>
      <c r="U15" s="8" t="str">
        <f>"330,7010"</f>
        <v>330,7010</v>
      </c>
      <c r="V15" s="6" t="s">
        <v>799</v>
      </c>
    </row>
    <row r="17" spans="1:22" ht="15" x14ac:dyDescent="0.2">
      <c r="A17" s="32" t="s">
        <v>50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x14ac:dyDescent="0.2">
      <c r="A18" s="9" t="s">
        <v>1365</v>
      </c>
      <c r="B18" s="9" t="s">
        <v>1444</v>
      </c>
      <c r="C18" s="9" t="s">
        <v>1366</v>
      </c>
      <c r="D18" s="9" t="s">
        <v>1367</v>
      </c>
      <c r="E18" s="9" t="str">
        <f>"0,6545"</f>
        <v>0,6545</v>
      </c>
      <c r="F18" s="9" t="s">
        <v>375</v>
      </c>
      <c r="G18" s="9" t="s">
        <v>376</v>
      </c>
      <c r="H18" s="10" t="s">
        <v>395</v>
      </c>
      <c r="I18" s="10" t="s">
        <v>405</v>
      </c>
      <c r="J18" s="25" t="s">
        <v>1246</v>
      </c>
      <c r="K18" s="25"/>
      <c r="L18" s="10" t="s">
        <v>400</v>
      </c>
      <c r="M18" s="10" t="s">
        <v>290</v>
      </c>
      <c r="N18" s="10" t="s">
        <v>382</v>
      </c>
      <c r="O18" s="25"/>
      <c r="P18" s="10" t="s">
        <v>404</v>
      </c>
      <c r="Q18" s="10" t="s">
        <v>1250</v>
      </c>
      <c r="R18" s="25" t="s">
        <v>1097</v>
      </c>
      <c r="S18" s="25"/>
      <c r="T18" s="9" t="str">
        <f>"742,5"</f>
        <v>742,5</v>
      </c>
      <c r="U18" s="10" t="str">
        <f>"485,9663"</f>
        <v>485,9663</v>
      </c>
      <c r="V18" s="9" t="s">
        <v>1368</v>
      </c>
    </row>
    <row r="19" spans="1:22" x14ac:dyDescent="0.2">
      <c r="A19" s="14" t="s">
        <v>1369</v>
      </c>
      <c r="B19" s="14" t="s">
        <v>1441</v>
      </c>
      <c r="C19" s="14" t="s">
        <v>1370</v>
      </c>
      <c r="D19" s="14" t="s">
        <v>1180</v>
      </c>
      <c r="E19" s="14" t="str">
        <f>"0,6487"</f>
        <v>0,6487</v>
      </c>
      <c r="F19" s="14" t="s">
        <v>14</v>
      </c>
      <c r="G19" s="14" t="s">
        <v>1371</v>
      </c>
      <c r="H19" s="16" t="s">
        <v>323</v>
      </c>
      <c r="I19" s="16" t="s">
        <v>304</v>
      </c>
      <c r="J19" s="16" t="s">
        <v>183</v>
      </c>
      <c r="K19" s="15"/>
      <c r="L19" s="16" t="s">
        <v>79</v>
      </c>
      <c r="M19" s="16" t="s">
        <v>114</v>
      </c>
      <c r="N19" s="16" t="s">
        <v>175</v>
      </c>
      <c r="O19" s="15"/>
      <c r="P19" s="16" t="s">
        <v>304</v>
      </c>
      <c r="Q19" s="16" t="s">
        <v>355</v>
      </c>
      <c r="R19" s="16" t="s">
        <v>664</v>
      </c>
      <c r="S19" s="15"/>
      <c r="T19" s="14" t="str">
        <f>"377,5"</f>
        <v>377,5</v>
      </c>
      <c r="U19" s="16" t="str">
        <f>"347,9805"</f>
        <v>347,9805</v>
      </c>
      <c r="V19" s="14" t="s">
        <v>62</v>
      </c>
    </row>
    <row r="21" spans="1:22" ht="15" x14ac:dyDescent="0.2">
      <c r="A21" s="32" t="s">
        <v>70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x14ac:dyDescent="0.2">
      <c r="A22" s="9" t="s">
        <v>1372</v>
      </c>
      <c r="B22" s="9" t="s">
        <v>1443</v>
      </c>
      <c r="C22" s="9" t="s">
        <v>1373</v>
      </c>
      <c r="D22" s="9" t="s">
        <v>728</v>
      </c>
      <c r="E22" s="9" t="str">
        <f>"0,6129"</f>
        <v>0,6129</v>
      </c>
      <c r="F22" s="9" t="s">
        <v>14</v>
      </c>
      <c r="G22" s="9" t="s">
        <v>495</v>
      </c>
      <c r="H22" s="10" t="s">
        <v>535</v>
      </c>
      <c r="I22" s="10" t="s">
        <v>576</v>
      </c>
      <c r="J22" s="10" t="s">
        <v>519</v>
      </c>
      <c r="K22" s="25"/>
      <c r="L22" s="10" t="s">
        <v>241</v>
      </c>
      <c r="M22" s="10" t="s">
        <v>774</v>
      </c>
      <c r="N22" s="25" t="s">
        <v>382</v>
      </c>
      <c r="O22" s="25"/>
      <c r="P22" s="10" t="s">
        <v>536</v>
      </c>
      <c r="Q22" s="10" t="s">
        <v>508</v>
      </c>
      <c r="R22" s="10" t="s">
        <v>577</v>
      </c>
      <c r="S22" s="25"/>
      <c r="T22" s="9" t="str">
        <f>"700,0"</f>
        <v>700,0</v>
      </c>
      <c r="U22" s="10" t="str">
        <f>"429,0300"</f>
        <v>429,0300</v>
      </c>
      <c r="V22" s="9" t="s">
        <v>799</v>
      </c>
    </row>
    <row r="23" spans="1:22" x14ac:dyDescent="0.2">
      <c r="A23" s="11" t="s">
        <v>1374</v>
      </c>
      <c r="B23" s="11" t="s">
        <v>1442</v>
      </c>
      <c r="C23" s="11" t="s">
        <v>1375</v>
      </c>
      <c r="D23" s="11" t="s">
        <v>1376</v>
      </c>
      <c r="E23" s="11" t="str">
        <f>"0,6169"</f>
        <v>0,6169</v>
      </c>
      <c r="F23" s="11" t="s">
        <v>65</v>
      </c>
      <c r="G23" s="11" t="s">
        <v>66</v>
      </c>
      <c r="H23" s="13" t="s">
        <v>502</v>
      </c>
      <c r="I23" s="13" t="s">
        <v>405</v>
      </c>
      <c r="J23" s="12" t="s">
        <v>1246</v>
      </c>
      <c r="K23" s="12"/>
      <c r="L23" s="13" t="s">
        <v>357</v>
      </c>
      <c r="M23" s="13" t="s">
        <v>264</v>
      </c>
      <c r="N23" s="13" t="s">
        <v>466</v>
      </c>
      <c r="O23" s="12"/>
      <c r="P23" s="13" t="s">
        <v>388</v>
      </c>
      <c r="Q23" s="13" t="s">
        <v>536</v>
      </c>
      <c r="R23" s="13" t="s">
        <v>1377</v>
      </c>
      <c r="S23" s="12"/>
      <c r="T23" s="11" t="str">
        <f>"670,0"</f>
        <v>670,0</v>
      </c>
      <c r="U23" s="13" t="str">
        <f>"413,3230"</f>
        <v>413,3230</v>
      </c>
      <c r="V23" s="11" t="s">
        <v>595</v>
      </c>
    </row>
    <row r="24" spans="1:22" x14ac:dyDescent="0.2">
      <c r="A24" s="11" t="s">
        <v>1378</v>
      </c>
      <c r="B24" s="11" t="s">
        <v>1442</v>
      </c>
      <c r="C24" s="11" t="s">
        <v>1379</v>
      </c>
      <c r="D24" s="11" t="s">
        <v>1380</v>
      </c>
      <c r="E24" s="11" t="str">
        <f>"0,6226"</f>
        <v>0,6226</v>
      </c>
      <c r="F24" s="11" t="s">
        <v>14</v>
      </c>
      <c r="G24" s="11" t="s">
        <v>718</v>
      </c>
      <c r="H24" s="12" t="s">
        <v>394</v>
      </c>
      <c r="I24" s="13" t="s">
        <v>394</v>
      </c>
      <c r="J24" s="12" t="s">
        <v>543</v>
      </c>
      <c r="K24" s="12"/>
      <c r="L24" s="13" t="s">
        <v>646</v>
      </c>
      <c r="M24" s="13" t="s">
        <v>357</v>
      </c>
      <c r="N24" s="13" t="s">
        <v>665</v>
      </c>
      <c r="O24" s="12"/>
      <c r="P24" s="13" t="s">
        <v>1377</v>
      </c>
      <c r="Q24" s="13" t="s">
        <v>519</v>
      </c>
      <c r="R24" s="13" t="s">
        <v>405</v>
      </c>
      <c r="S24" s="12"/>
      <c r="T24" s="11" t="str">
        <f>"662,5"</f>
        <v>662,5</v>
      </c>
      <c r="U24" s="13" t="str">
        <f>"412,4725"</f>
        <v>412,4725</v>
      </c>
      <c r="V24" s="11" t="s">
        <v>1381</v>
      </c>
    </row>
    <row r="25" spans="1:22" x14ac:dyDescent="0.2">
      <c r="A25" s="14" t="s">
        <v>1382</v>
      </c>
      <c r="B25" s="14" t="s">
        <v>1437</v>
      </c>
      <c r="C25" s="14" t="s">
        <v>1383</v>
      </c>
      <c r="D25" s="14" t="s">
        <v>1345</v>
      </c>
      <c r="E25" s="14" t="str">
        <f>"0,6183"</f>
        <v>0,6183</v>
      </c>
      <c r="F25" s="14" t="s">
        <v>14</v>
      </c>
      <c r="G25" s="14" t="s">
        <v>718</v>
      </c>
      <c r="H25" s="16" t="s">
        <v>442</v>
      </c>
      <c r="I25" s="15" t="s">
        <v>507</v>
      </c>
      <c r="J25" s="15" t="s">
        <v>507</v>
      </c>
      <c r="K25" s="15"/>
      <c r="L25" s="16" t="s">
        <v>356</v>
      </c>
      <c r="M25" s="16" t="s">
        <v>264</v>
      </c>
      <c r="N25" s="15" t="s">
        <v>426</v>
      </c>
      <c r="O25" s="15"/>
      <c r="P25" s="16" t="s">
        <v>535</v>
      </c>
      <c r="Q25" s="16" t="s">
        <v>507</v>
      </c>
      <c r="R25" s="16" t="s">
        <v>536</v>
      </c>
      <c r="S25" s="15"/>
      <c r="T25" s="14" t="str">
        <f>"605,0"</f>
        <v>605,0</v>
      </c>
      <c r="U25" s="16" t="str">
        <f>"374,0715"</f>
        <v>374,0715</v>
      </c>
      <c r="V25" s="14" t="s">
        <v>1384</v>
      </c>
    </row>
    <row r="27" spans="1:22" ht="15" x14ac:dyDescent="0.2">
      <c r="A27" s="32" t="s">
        <v>81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2">
      <c r="A28" s="9" t="s">
        <v>1385</v>
      </c>
      <c r="B28" s="9" t="s">
        <v>1444</v>
      </c>
      <c r="C28" s="9" t="s">
        <v>1386</v>
      </c>
      <c r="D28" s="9" t="s">
        <v>1387</v>
      </c>
      <c r="E28" s="9" t="str">
        <f>"0,5935"</f>
        <v>0,5935</v>
      </c>
      <c r="F28" s="9" t="s">
        <v>14</v>
      </c>
      <c r="G28" s="9" t="s">
        <v>718</v>
      </c>
      <c r="H28" s="25" t="s">
        <v>1388</v>
      </c>
      <c r="I28" s="10" t="s">
        <v>1388</v>
      </c>
      <c r="J28" s="25" t="s">
        <v>1389</v>
      </c>
      <c r="K28" s="25"/>
      <c r="L28" s="10" t="s">
        <v>255</v>
      </c>
      <c r="M28" s="10" t="s">
        <v>279</v>
      </c>
      <c r="N28" s="10" t="s">
        <v>280</v>
      </c>
      <c r="O28" s="25"/>
      <c r="P28" s="10" t="s">
        <v>1270</v>
      </c>
      <c r="Q28" s="25"/>
      <c r="R28" s="25"/>
      <c r="S28" s="25"/>
      <c r="T28" s="9" t="str">
        <f>"840,0"</f>
        <v>840,0</v>
      </c>
      <c r="U28" s="10" t="str">
        <f>"498,5400"</f>
        <v>498,5400</v>
      </c>
      <c r="V28" s="9" t="s">
        <v>62</v>
      </c>
    </row>
    <row r="29" spans="1:22" x14ac:dyDescent="0.2">
      <c r="A29" s="11" t="s">
        <v>1390</v>
      </c>
      <c r="B29" s="11" t="s">
        <v>1443</v>
      </c>
      <c r="C29" s="11" t="s">
        <v>1391</v>
      </c>
      <c r="D29" s="11" t="s">
        <v>1310</v>
      </c>
      <c r="E29" s="11" t="str">
        <f>"0,5905"</f>
        <v>0,5905</v>
      </c>
      <c r="F29" s="11" t="s">
        <v>1392</v>
      </c>
      <c r="G29" s="11" t="s">
        <v>1393</v>
      </c>
      <c r="H29" s="13" t="s">
        <v>395</v>
      </c>
      <c r="I29" s="13" t="s">
        <v>994</v>
      </c>
      <c r="J29" s="13" t="s">
        <v>496</v>
      </c>
      <c r="K29" s="12"/>
      <c r="L29" s="13" t="s">
        <v>269</v>
      </c>
      <c r="M29" s="13" t="s">
        <v>242</v>
      </c>
      <c r="N29" s="13" t="s">
        <v>382</v>
      </c>
      <c r="O29" s="12"/>
      <c r="P29" s="13" t="s">
        <v>404</v>
      </c>
      <c r="Q29" s="13" t="s">
        <v>994</v>
      </c>
      <c r="R29" s="12" t="s">
        <v>995</v>
      </c>
      <c r="S29" s="12"/>
      <c r="T29" s="11" t="str">
        <f>"760,0"</f>
        <v>760,0</v>
      </c>
      <c r="U29" s="13" t="str">
        <f>"448,7800"</f>
        <v>448,7800</v>
      </c>
      <c r="V29" s="11"/>
    </row>
    <row r="30" spans="1:22" x14ac:dyDescent="0.2">
      <c r="A30" s="14" t="s">
        <v>1320</v>
      </c>
      <c r="B30" s="14" t="s">
        <v>1436</v>
      </c>
      <c r="C30" s="14" t="s">
        <v>1321</v>
      </c>
      <c r="D30" s="14" t="s">
        <v>743</v>
      </c>
      <c r="E30" s="14" t="str">
        <f>"0,5941"</f>
        <v>0,5941</v>
      </c>
      <c r="F30" s="14" t="s">
        <v>65</v>
      </c>
      <c r="G30" s="14" t="s">
        <v>66</v>
      </c>
      <c r="H30" s="16" t="s">
        <v>442</v>
      </c>
      <c r="I30" s="16" t="s">
        <v>507</v>
      </c>
      <c r="J30" s="15"/>
      <c r="K30" s="15"/>
      <c r="L30" s="16" t="s">
        <v>255</v>
      </c>
      <c r="M30" s="16" t="s">
        <v>449</v>
      </c>
      <c r="N30" s="15"/>
      <c r="O30" s="15"/>
      <c r="P30" s="15" t="s">
        <v>1246</v>
      </c>
      <c r="Q30" s="15"/>
      <c r="R30" s="15"/>
      <c r="S30" s="15"/>
      <c r="T30" s="14" t="str">
        <f>"0,0"</f>
        <v>0,0</v>
      </c>
      <c r="U30" s="16" t="str">
        <f>"0,0000"</f>
        <v>0,0000</v>
      </c>
      <c r="V30" s="14"/>
    </row>
    <row r="32" spans="1:22" ht="15" x14ac:dyDescent="0.2">
      <c r="A32" s="32" t="s">
        <v>84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x14ac:dyDescent="0.2">
      <c r="A33" s="9" t="s">
        <v>1394</v>
      </c>
      <c r="B33" s="9" t="s">
        <v>1442</v>
      </c>
      <c r="C33" s="9" t="s">
        <v>1395</v>
      </c>
      <c r="D33" s="9" t="s">
        <v>1396</v>
      </c>
      <c r="E33" s="9" t="str">
        <f>"0,5705"</f>
        <v>0,5705</v>
      </c>
      <c r="F33" s="9" t="s">
        <v>14</v>
      </c>
      <c r="G33" s="9" t="s">
        <v>1397</v>
      </c>
      <c r="H33" s="10" t="s">
        <v>442</v>
      </c>
      <c r="I33" s="10" t="s">
        <v>507</v>
      </c>
      <c r="J33" s="10" t="s">
        <v>1398</v>
      </c>
      <c r="K33" s="25"/>
      <c r="L33" s="10" t="s">
        <v>264</v>
      </c>
      <c r="M33" s="10" t="s">
        <v>400</v>
      </c>
      <c r="N33" s="10" t="s">
        <v>269</v>
      </c>
      <c r="O33" s="25"/>
      <c r="P33" s="25" t="s">
        <v>508</v>
      </c>
      <c r="Q33" s="10" t="s">
        <v>508</v>
      </c>
      <c r="R33" s="10" t="s">
        <v>543</v>
      </c>
      <c r="S33" s="25"/>
      <c r="T33" s="9" t="str">
        <f>"665,0"</f>
        <v>665,0</v>
      </c>
      <c r="U33" s="10" t="str">
        <f>"379,3825"</f>
        <v>379,3825</v>
      </c>
      <c r="V33" s="9" t="s">
        <v>62</v>
      </c>
    </row>
    <row r="34" spans="1:22" x14ac:dyDescent="0.2">
      <c r="A34" s="14" t="s">
        <v>1399</v>
      </c>
      <c r="B34" s="14" t="s">
        <v>1444</v>
      </c>
      <c r="C34" s="14" t="s">
        <v>1400</v>
      </c>
      <c r="D34" s="14" t="s">
        <v>1401</v>
      </c>
      <c r="E34" s="14" t="str">
        <f>"0,5765"</f>
        <v>0,5765</v>
      </c>
      <c r="F34" s="14" t="s">
        <v>14</v>
      </c>
      <c r="G34" s="14" t="s">
        <v>1143</v>
      </c>
      <c r="H34" s="16" t="s">
        <v>496</v>
      </c>
      <c r="I34" s="16" t="s">
        <v>1402</v>
      </c>
      <c r="J34" s="16" t="s">
        <v>1403</v>
      </c>
      <c r="K34" s="15"/>
      <c r="L34" s="16" t="s">
        <v>255</v>
      </c>
      <c r="M34" s="16" t="s">
        <v>279</v>
      </c>
      <c r="N34" s="16" t="s">
        <v>412</v>
      </c>
      <c r="O34" s="15"/>
      <c r="P34" s="16" t="s">
        <v>405</v>
      </c>
      <c r="Q34" s="16" t="s">
        <v>1246</v>
      </c>
      <c r="R34" s="16" t="s">
        <v>1247</v>
      </c>
      <c r="S34" s="15"/>
      <c r="T34" s="14" t="str">
        <f>"840,0"</f>
        <v>840,0</v>
      </c>
      <c r="U34" s="16" t="str">
        <f>"484,2600"</f>
        <v>484,2600</v>
      </c>
      <c r="V34" s="14" t="s">
        <v>1404</v>
      </c>
    </row>
    <row r="36" spans="1:22" ht="15" x14ac:dyDescent="0.2">
      <c r="F36" s="17" t="s">
        <v>96</v>
      </c>
    </row>
    <row r="37" spans="1:22" ht="15" x14ac:dyDescent="0.2">
      <c r="F37" s="17" t="s">
        <v>97</v>
      </c>
    </row>
    <row r="38" spans="1:22" ht="15" x14ac:dyDescent="0.2">
      <c r="F38" s="17" t="s">
        <v>98</v>
      </c>
    </row>
    <row r="39" spans="1:22" ht="15" x14ac:dyDescent="0.2">
      <c r="F39" s="17" t="s">
        <v>1094</v>
      </c>
    </row>
    <row r="40" spans="1:22" ht="15" x14ac:dyDescent="0.2">
      <c r="F40" s="17" t="s">
        <v>1094</v>
      </c>
    </row>
    <row r="41" spans="1:22" ht="15" x14ac:dyDescent="0.2">
      <c r="F41" s="17" t="s">
        <v>1095</v>
      </c>
    </row>
    <row r="42" spans="1:22" ht="15" x14ac:dyDescent="0.2">
      <c r="F42" s="17"/>
    </row>
    <row r="44" spans="1:22" ht="18" x14ac:dyDescent="0.25">
      <c r="A44" s="18" t="s">
        <v>99</v>
      </c>
      <c r="B44" s="18"/>
      <c r="C44" s="18"/>
    </row>
    <row r="45" spans="1:22" ht="15" x14ac:dyDescent="0.2">
      <c r="A45" s="19" t="s">
        <v>100</v>
      </c>
      <c r="B45" s="19"/>
      <c r="C45" s="19"/>
    </row>
    <row r="46" spans="1:22" ht="14.25" x14ac:dyDescent="0.2">
      <c r="A46" s="21"/>
      <c r="B46" s="21"/>
      <c r="C46" s="22" t="s">
        <v>107</v>
      </c>
    </row>
    <row r="47" spans="1:22" ht="15" x14ac:dyDescent="0.2">
      <c r="A47" s="23" t="s">
        <v>101</v>
      </c>
      <c r="B47" s="23"/>
      <c r="C47" s="23" t="s">
        <v>102</v>
      </c>
      <c r="D47" s="23" t="s">
        <v>103</v>
      </c>
      <c r="E47" s="23" t="s">
        <v>104</v>
      </c>
      <c r="F47" s="23" t="s">
        <v>291</v>
      </c>
    </row>
    <row r="48" spans="1:22" x14ac:dyDescent="0.2">
      <c r="A48" s="20" t="s">
        <v>1405</v>
      </c>
      <c r="B48" s="20"/>
      <c r="C48" s="4" t="s">
        <v>107</v>
      </c>
      <c r="D48" s="4" t="s">
        <v>83</v>
      </c>
      <c r="E48" s="4" t="s">
        <v>1406</v>
      </c>
      <c r="F48" s="24" t="s">
        <v>1407</v>
      </c>
    </row>
    <row r="49" spans="1:22" x14ac:dyDescent="0.2">
      <c r="A49" s="20" t="s">
        <v>1408</v>
      </c>
      <c r="B49" s="20"/>
      <c r="C49" s="4" t="s">
        <v>107</v>
      </c>
      <c r="D49" s="4" t="s">
        <v>68</v>
      </c>
      <c r="E49" s="4" t="s">
        <v>1409</v>
      </c>
      <c r="F49" s="24" t="s">
        <v>1410</v>
      </c>
      <c r="G49" s="3"/>
      <c r="T49" s="3"/>
      <c r="V49" s="3"/>
    </row>
    <row r="50" spans="1:22" x14ac:dyDescent="0.2">
      <c r="A50" s="20" t="s">
        <v>1411</v>
      </c>
      <c r="B50" s="20"/>
      <c r="C50" s="4" t="s">
        <v>107</v>
      </c>
      <c r="D50" s="4" t="s">
        <v>304</v>
      </c>
      <c r="E50" s="4" t="s">
        <v>1406</v>
      </c>
      <c r="F50" s="24" t="s">
        <v>1412</v>
      </c>
      <c r="G50" s="3"/>
      <c r="T50" s="3"/>
      <c r="V50" s="3"/>
    </row>
    <row r="51" spans="1:22" x14ac:dyDescent="0.2">
      <c r="G51" s="3"/>
      <c r="T51" s="3"/>
      <c r="V51" s="3"/>
    </row>
    <row r="52" spans="1:22" x14ac:dyDescent="0.2">
      <c r="G52" s="3"/>
      <c r="T52" s="3"/>
      <c r="V52" s="3"/>
    </row>
    <row r="53" spans="1:22" x14ac:dyDescent="0.2">
      <c r="G53" s="3"/>
      <c r="T53" s="3"/>
      <c r="V53" s="3"/>
    </row>
    <row r="54" spans="1:22" x14ac:dyDescent="0.2">
      <c r="G54" s="3"/>
      <c r="T54" s="3"/>
      <c r="V54" s="3"/>
    </row>
    <row r="55" spans="1:22" x14ac:dyDescent="0.2">
      <c r="G55" s="3"/>
      <c r="T55" s="3"/>
      <c r="V55" s="3"/>
    </row>
    <row r="56" spans="1:22" x14ac:dyDescent="0.2">
      <c r="G56" s="3"/>
      <c r="T56" s="3"/>
      <c r="V56" s="3"/>
    </row>
    <row r="57" spans="1:22" x14ac:dyDescent="0.2">
      <c r="G57" s="3"/>
      <c r="T57" s="3"/>
      <c r="V57" s="3"/>
    </row>
    <row r="58" spans="1:22" x14ac:dyDescent="0.2">
      <c r="G58" s="3"/>
      <c r="T58" s="3"/>
      <c r="V58" s="3"/>
    </row>
    <row r="59" spans="1:22" x14ac:dyDescent="0.2">
      <c r="G59" s="3"/>
      <c r="T59" s="3"/>
      <c r="V59" s="3"/>
    </row>
    <row r="60" spans="1:22" x14ac:dyDescent="0.2">
      <c r="G60" s="3"/>
      <c r="T60" s="3"/>
      <c r="V60" s="3"/>
    </row>
    <row r="61" spans="1:22" x14ac:dyDescent="0.2">
      <c r="G61" s="3"/>
      <c r="T61" s="3"/>
      <c r="V61" s="3"/>
    </row>
    <row r="62" spans="1:22" x14ac:dyDescent="0.2">
      <c r="G62" s="3"/>
      <c r="T62" s="3"/>
      <c r="V62" s="3"/>
    </row>
    <row r="63" spans="1:22" x14ac:dyDescent="0.2">
      <c r="G63" s="3"/>
      <c r="T63" s="3"/>
      <c r="V63" s="3"/>
    </row>
    <row r="64" spans="1:22" x14ac:dyDescent="0.2">
      <c r="G64" s="3"/>
      <c r="T64" s="3"/>
      <c r="V64" s="3"/>
    </row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22">
    <mergeCell ref="A32:V32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5:U5"/>
    <mergeCell ref="B3:B4"/>
    <mergeCell ref="A27:V27"/>
    <mergeCell ref="A21:V21"/>
    <mergeCell ref="A17:V17"/>
    <mergeCell ref="A14:V14"/>
    <mergeCell ref="A11:V11"/>
    <mergeCell ref="A8:V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tabSelected="1" zoomScale="90" zoomScaleNormal="90" workbookViewId="0">
      <selection activeCell="A5" sqref="A5:U5"/>
    </sheetView>
  </sheetViews>
  <sheetFormatPr defaultRowHeight="12.75" x14ac:dyDescent="0.2"/>
  <cols>
    <col min="1" max="1" width="26" style="4" bestFit="1" customWidth="1"/>
    <col min="2" max="2" width="11.425781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0.42578125" style="4" bestFit="1" customWidth="1"/>
    <col min="8" max="10" width="5.5703125" style="3" bestFit="1" customWidth="1"/>
    <col min="11" max="11" width="4.85546875" style="3" bestFit="1" customWidth="1"/>
    <col min="12" max="14" width="5.5703125" style="3" bestFit="1" customWidth="1"/>
    <col min="15" max="15" width="4.85546875" style="3" bestFit="1" customWidth="1"/>
    <col min="16" max="18" width="5.5703125" style="3" bestFit="1" customWidth="1"/>
    <col min="19" max="19" width="4.85546875" style="3" bestFit="1" customWidth="1"/>
    <col min="20" max="20" width="7.85546875" style="4" bestFit="1" customWidth="1"/>
    <col min="21" max="21" width="8.5703125" style="3" bestFit="1" customWidth="1"/>
    <col min="22" max="22" width="14.7109375" style="4" bestFit="1" customWidth="1"/>
    <col min="23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0.42578125" style="3" bestFit="1" customWidth="1"/>
    <col min="264" max="266" width="5.5703125" style="3" bestFit="1" customWidth="1"/>
    <col min="267" max="267" width="4.85546875" style="3" bestFit="1" customWidth="1"/>
    <col min="268" max="270" width="5.5703125" style="3" bestFit="1" customWidth="1"/>
    <col min="271" max="271" width="4.85546875" style="3" bestFit="1" customWidth="1"/>
    <col min="272" max="274" width="5.5703125" style="3" bestFit="1" customWidth="1"/>
    <col min="275" max="275" width="4.85546875" style="3" bestFit="1" customWidth="1"/>
    <col min="276" max="276" width="7.85546875" style="3" bestFit="1" customWidth="1"/>
    <col min="277" max="277" width="8.5703125" style="3" bestFit="1" customWidth="1"/>
    <col min="278" max="278" width="14.7109375" style="3" bestFit="1" customWidth="1"/>
    <col min="279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0.42578125" style="3" bestFit="1" customWidth="1"/>
    <col min="520" max="522" width="5.5703125" style="3" bestFit="1" customWidth="1"/>
    <col min="523" max="523" width="4.85546875" style="3" bestFit="1" customWidth="1"/>
    <col min="524" max="526" width="5.5703125" style="3" bestFit="1" customWidth="1"/>
    <col min="527" max="527" width="4.85546875" style="3" bestFit="1" customWidth="1"/>
    <col min="528" max="530" width="5.5703125" style="3" bestFit="1" customWidth="1"/>
    <col min="531" max="531" width="4.85546875" style="3" bestFit="1" customWidth="1"/>
    <col min="532" max="532" width="7.85546875" style="3" bestFit="1" customWidth="1"/>
    <col min="533" max="533" width="8.5703125" style="3" bestFit="1" customWidth="1"/>
    <col min="534" max="534" width="14.7109375" style="3" bestFit="1" customWidth="1"/>
    <col min="535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0.42578125" style="3" bestFit="1" customWidth="1"/>
    <col min="776" max="778" width="5.5703125" style="3" bestFit="1" customWidth="1"/>
    <col min="779" max="779" width="4.85546875" style="3" bestFit="1" customWidth="1"/>
    <col min="780" max="782" width="5.5703125" style="3" bestFit="1" customWidth="1"/>
    <col min="783" max="783" width="4.85546875" style="3" bestFit="1" customWidth="1"/>
    <col min="784" max="786" width="5.5703125" style="3" bestFit="1" customWidth="1"/>
    <col min="787" max="787" width="4.85546875" style="3" bestFit="1" customWidth="1"/>
    <col min="788" max="788" width="7.85546875" style="3" bestFit="1" customWidth="1"/>
    <col min="789" max="789" width="8.5703125" style="3" bestFit="1" customWidth="1"/>
    <col min="790" max="790" width="14.7109375" style="3" bestFit="1" customWidth="1"/>
    <col min="791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0.42578125" style="3" bestFit="1" customWidth="1"/>
    <col min="1032" max="1034" width="5.5703125" style="3" bestFit="1" customWidth="1"/>
    <col min="1035" max="1035" width="4.85546875" style="3" bestFit="1" customWidth="1"/>
    <col min="1036" max="1038" width="5.5703125" style="3" bestFit="1" customWidth="1"/>
    <col min="1039" max="1039" width="4.85546875" style="3" bestFit="1" customWidth="1"/>
    <col min="1040" max="1042" width="5.5703125" style="3" bestFit="1" customWidth="1"/>
    <col min="1043" max="1043" width="4.85546875" style="3" bestFit="1" customWidth="1"/>
    <col min="1044" max="1044" width="7.85546875" style="3" bestFit="1" customWidth="1"/>
    <col min="1045" max="1045" width="8.5703125" style="3" bestFit="1" customWidth="1"/>
    <col min="1046" max="1046" width="14.7109375" style="3" bestFit="1" customWidth="1"/>
    <col min="1047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0.42578125" style="3" bestFit="1" customWidth="1"/>
    <col min="1288" max="1290" width="5.5703125" style="3" bestFit="1" customWidth="1"/>
    <col min="1291" max="1291" width="4.85546875" style="3" bestFit="1" customWidth="1"/>
    <col min="1292" max="1294" width="5.5703125" style="3" bestFit="1" customWidth="1"/>
    <col min="1295" max="1295" width="4.85546875" style="3" bestFit="1" customWidth="1"/>
    <col min="1296" max="1298" width="5.5703125" style="3" bestFit="1" customWidth="1"/>
    <col min="1299" max="1299" width="4.85546875" style="3" bestFit="1" customWidth="1"/>
    <col min="1300" max="1300" width="7.85546875" style="3" bestFit="1" customWidth="1"/>
    <col min="1301" max="1301" width="8.5703125" style="3" bestFit="1" customWidth="1"/>
    <col min="1302" max="1302" width="14.7109375" style="3" bestFit="1" customWidth="1"/>
    <col min="1303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0.42578125" style="3" bestFit="1" customWidth="1"/>
    <col min="1544" max="1546" width="5.5703125" style="3" bestFit="1" customWidth="1"/>
    <col min="1547" max="1547" width="4.85546875" style="3" bestFit="1" customWidth="1"/>
    <col min="1548" max="1550" width="5.5703125" style="3" bestFit="1" customWidth="1"/>
    <col min="1551" max="1551" width="4.85546875" style="3" bestFit="1" customWidth="1"/>
    <col min="1552" max="1554" width="5.5703125" style="3" bestFit="1" customWidth="1"/>
    <col min="1555" max="1555" width="4.85546875" style="3" bestFit="1" customWidth="1"/>
    <col min="1556" max="1556" width="7.85546875" style="3" bestFit="1" customWidth="1"/>
    <col min="1557" max="1557" width="8.5703125" style="3" bestFit="1" customWidth="1"/>
    <col min="1558" max="1558" width="14.7109375" style="3" bestFit="1" customWidth="1"/>
    <col min="1559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0.42578125" style="3" bestFit="1" customWidth="1"/>
    <col min="1800" max="1802" width="5.5703125" style="3" bestFit="1" customWidth="1"/>
    <col min="1803" max="1803" width="4.85546875" style="3" bestFit="1" customWidth="1"/>
    <col min="1804" max="1806" width="5.5703125" style="3" bestFit="1" customWidth="1"/>
    <col min="1807" max="1807" width="4.85546875" style="3" bestFit="1" customWidth="1"/>
    <col min="1808" max="1810" width="5.5703125" style="3" bestFit="1" customWidth="1"/>
    <col min="1811" max="1811" width="4.85546875" style="3" bestFit="1" customWidth="1"/>
    <col min="1812" max="1812" width="7.85546875" style="3" bestFit="1" customWidth="1"/>
    <col min="1813" max="1813" width="8.5703125" style="3" bestFit="1" customWidth="1"/>
    <col min="1814" max="1814" width="14.7109375" style="3" bestFit="1" customWidth="1"/>
    <col min="1815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0.42578125" style="3" bestFit="1" customWidth="1"/>
    <col min="2056" max="2058" width="5.5703125" style="3" bestFit="1" customWidth="1"/>
    <col min="2059" max="2059" width="4.85546875" style="3" bestFit="1" customWidth="1"/>
    <col min="2060" max="2062" width="5.5703125" style="3" bestFit="1" customWidth="1"/>
    <col min="2063" max="2063" width="4.85546875" style="3" bestFit="1" customWidth="1"/>
    <col min="2064" max="2066" width="5.5703125" style="3" bestFit="1" customWidth="1"/>
    <col min="2067" max="2067" width="4.85546875" style="3" bestFit="1" customWidth="1"/>
    <col min="2068" max="2068" width="7.85546875" style="3" bestFit="1" customWidth="1"/>
    <col min="2069" max="2069" width="8.5703125" style="3" bestFit="1" customWidth="1"/>
    <col min="2070" max="2070" width="14.7109375" style="3" bestFit="1" customWidth="1"/>
    <col min="2071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0.42578125" style="3" bestFit="1" customWidth="1"/>
    <col min="2312" max="2314" width="5.5703125" style="3" bestFit="1" customWidth="1"/>
    <col min="2315" max="2315" width="4.85546875" style="3" bestFit="1" customWidth="1"/>
    <col min="2316" max="2318" width="5.5703125" style="3" bestFit="1" customWidth="1"/>
    <col min="2319" max="2319" width="4.85546875" style="3" bestFit="1" customWidth="1"/>
    <col min="2320" max="2322" width="5.5703125" style="3" bestFit="1" customWidth="1"/>
    <col min="2323" max="2323" width="4.85546875" style="3" bestFit="1" customWidth="1"/>
    <col min="2324" max="2324" width="7.85546875" style="3" bestFit="1" customWidth="1"/>
    <col min="2325" max="2325" width="8.5703125" style="3" bestFit="1" customWidth="1"/>
    <col min="2326" max="2326" width="14.7109375" style="3" bestFit="1" customWidth="1"/>
    <col min="2327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0.42578125" style="3" bestFit="1" customWidth="1"/>
    <col min="2568" max="2570" width="5.5703125" style="3" bestFit="1" customWidth="1"/>
    <col min="2571" max="2571" width="4.85546875" style="3" bestFit="1" customWidth="1"/>
    <col min="2572" max="2574" width="5.5703125" style="3" bestFit="1" customWidth="1"/>
    <col min="2575" max="2575" width="4.85546875" style="3" bestFit="1" customWidth="1"/>
    <col min="2576" max="2578" width="5.5703125" style="3" bestFit="1" customWidth="1"/>
    <col min="2579" max="2579" width="4.85546875" style="3" bestFit="1" customWidth="1"/>
    <col min="2580" max="2580" width="7.85546875" style="3" bestFit="1" customWidth="1"/>
    <col min="2581" max="2581" width="8.5703125" style="3" bestFit="1" customWidth="1"/>
    <col min="2582" max="2582" width="14.7109375" style="3" bestFit="1" customWidth="1"/>
    <col min="2583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0.42578125" style="3" bestFit="1" customWidth="1"/>
    <col min="2824" max="2826" width="5.5703125" style="3" bestFit="1" customWidth="1"/>
    <col min="2827" max="2827" width="4.85546875" style="3" bestFit="1" customWidth="1"/>
    <col min="2828" max="2830" width="5.5703125" style="3" bestFit="1" customWidth="1"/>
    <col min="2831" max="2831" width="4.85546875" style="3" bestFit="1" customWidth="1"/>
    <col min="2832" max="2834" width="5.5703125" style="3" bestFit="1" customWidth="1"/>
    <col min="2835" max="2835" width="4.85546875" style="3" bestFit="1" customWidth="1"/>
    <col min="2836" max="2836" width="7.85546875" style="3" bestFit="1" customWidth="1"/>
    <col min="2837" max="2837" width="8.5703125" style="3" bestFit="1" customWidth="1"/>
    <col min="2838" max="2838" width="14.7109375" style="3" bestFit="1" customWidth="1"/>
    <col min="2839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0.42578125" style="3" bestFit="1" customWidth="1"/>
    <col min="3080" max="3082" width="5.5703125" style="3" bestFit="1" customWidth="1"/>
    <col min="3083" max="3083" width="4.85546875" style="3" bestFit="1" customWidth="1"/>
    <col min="3084" max="3086" width="5.5703125" style="3" bestFit="1" customWidth="1"/>
    <col min="3087" max="3087" width="4.85546875" style="3" bestFit="1" customWidth="1"/>
    <col min="3088" max="3090" width="5.5703125" style="3" bestFit="1" customWidth="1"/>
    <col min="3091" max="3091" width="4.85546875" style="3" bestFit="1" customWidth="1"/>
    <col min="3092" max="3092" width="7.85546875" style="3" bestFit="1" customWidth="1"/>
    <col min="3093" max="3093" width="8.5703125" style="3" bestFit="1" customWidth="1"/>
    <col min="3094" max="3094" width="14.7109375" style="3" bestFit="1" customWidth="1"/>
    <col min="3095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0.42578125" style="3" bestFit="1" customWidth="1"/>
    <col min="3336" max="3338" width="5.5703125" style="3" bestFit="1" customWidth="1"/>
    <col min="3339" max="3339" width="4.85546875" style="3" bestFit="1" customWidth="1"/>
    <col min="3340" max="3342" width="5.5703125" style="3" bestFit="1" customWidth="1"/>
    <col min="3343" max="3343" width="4.85546875" style="3" bestFit="1" customWidth="1"/>
    <col min="3344" max="3346" width="5.5703125" style="3" bestFit="1" customWidth="1"/>
    <col min="3347" max="3347" width="4.85546875" style="3" bestFit="1" customWidth="1"/>
    <col min="3348" max="3348" width="7.85546875" style="3" bestFit="1" customWidth="1"/>
    <col min="3349" max="3349" width="8.5703125" style="3" bestFit="1" customWidth="1"/>
    <col min="3350" max="3350" width="14.7109375" style="3" bestFit="1" customWidth="1"/>
    <col min="3351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0.42578125" style="3" bestFit="1" customWidth="1"/>
    <col min="3592" max="3594" width="5.5703125" style="3" bestFit="1" customWidth="1"/>
    <col min="3595" max="3595" width="4.85546875" style="3" bestFit="1" customWidth="1"/>
    <col min="3596" max="3598" width="5.5703125" style="3" bestFit="1" customWidth="1"/>
    <col min="3599" max="3599" width="4.85546875" style="3" bestFit="1" customWidth="1"/>
    <col min="3600" max="3602" width="5.5703125" style="3" bestFit="1" customWidth="1"/>
    <col min="3603" max="3603" width="4.85546875" style="3" bestFit="1" customWidth="1"/>
    <col min="3604" max="3604" width="7.85546875" style="3" bestFit="1" customWidth="1"/>
    <col min="3605" max="3605" width="8.5703125" style="3" bestFit="1" customWidth="1"/>
    <col min="3606" max="3606" width="14.7109375" style="3" bestFit="1" customWidth="1"/>
    <col min="3607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0.42578125" style="3" bestFit="1" customWidth="1"/>
    <col min="3848" max="3850" width="5.5703125" style="3" bestFit="1" customWidth="1"/>
    <col min="3851" max="3851" width="4.85546875" style="3" bestFit="1" customWidth="1"/>
    <col min="3852" max="3854" width="5.5703125" style="3" bestFit="1" customWidth="1"/>
    <col min="3855" max="3855" width="4.85546875" style="3" bestFit="1" customWidth="1"/>
    <col min="3856" max="3858" width="5.5703125" style="3" bestFit="1" customWidth="1"/>
    <col min="3859" max="3859" width="4.85546875" style="3" bestFit="1" customWidth="1"/>
    <col min="3860" max="3860" width="7.85546875" style="3" bestFit="1" customWidth="1"/>
    <col min="3861" max="3861" width="8.5703125" style="3" bestFit="1" customWidth="1"/>
    <col min="3862" max="3862" width="14.7109375" style="3" bestFit="1" customWidth="1"/>
    <col min="3863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0.42578125" style="3" bestFit="1" customWidth="1"/>
    <col min="4104" max="4106" width="5.5703125" style="3" bestFit="1" customWidth="1"/>
    <col min="4107" max="4107" width="4.85546875" style="3" bestFit="1" customWidth="1"/>
    <col min="4108" max="4110" width="5.5703125" style="3" bestFit="1" customWidth="1"/>
    <col min="4111" max="4111" width="4.85546875" style="3" bestFit="1" customWidth="1"/>
    <col min="4112" max="4114" width="5.5703125" style="3" bestFit="1" customWidth="1"/>
    <col min="4115" max="4115" width="4.85546875" style="3" bestFit="1" customWidth="1"/>
    <col min="4116" max="4116" width="7.85546875" style="3" bestFit="1" customWidth="1"/>
    <col min="4117" max="4117" width="8.5703125" style="3" bestFit="1" customWidth="1"/>
    <col min="4118" max="4118" width="14.7109375" style="3" bestFit="1" customWidth="1"/>
    <col min="4119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0.42578125" style="3" bestFit="1" customWidth="1"/>
    <col min="4360" max="4362" width="5.5703125" style="3" bestFit="1" customWidth="1"/>
    <col min="4363" max="4363" width="4.85546875" style="3" bestFit="1" customWidth="1"/>
    <col min="4364" max="4366" width="5.5703125" style="3" bestFit="1" customWidth="1"/>
    <col min="4367" max="4367" width="4.85546875" style="3" bestFit="1" customWidth="1"/>
    <col min="4368" max="4370" width="5.5703125" style="3" bestFit="1" customWidth="1"/>
    <col min="4371" max="4371" width="4.85546875" style="3" bestFit="1" customWidth="1"/>
    <col min="4372" max="4372" width="7.85546875" style="3" bestFit="1" customWidth="1"/>
    <col min="4373" max="4373" width="8.5703125" style="3" bestFit="1" customWidth="1"/>
    <col min="4374" max="4374" width="14.7109375" style="3" bestFit="1" customWidth="1"/>
    <col min="4375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0.42578125" style="3" bestFit="1" customWidth="1"/>
    <col min="4616" max="4618" width="5.5703125" style="3" bestFit="1" customWidth="1"/>
    <col min="4619" max="4619" width="4.85546875" style="3" bestFit="1" customWidth="1"/>
    <col min="4620" max="4622" width="5.5703125" style="3" bestFit="1" customWidth="1"/>
    <col min="4623" max="4623" width="4.85546875" style="3" bestFit="1" customWidth="1"/>
    <col min="4624" max="4626" width="5.5703125" style="3" bestFit="1" customWidth="1"/>
    <col min="4627" max="4627" width="4.85546875" style="3" bestFit="1" customWidth="1"/>
    <col min="4628" max="4628" width="7.85546875" style="3" bestFit="1" customWidth="1"/>
    <col min="4629" max="4629" width="8.5703125" style="3" bestFit="1" customWidth="1"/>
    <col min="4630" max="4630" width="14.7109375" style="3" bestFit="1" customWidth="1"/>
    <col min="4631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0.42578125" style="3" bestFit="1" customWidth="1"/>
    <col min="4872" max="4874" width="5.5703125" style="3" bestFit="1" customWidth="1"/>
    <col min="4875" max="4875" width="4.85546875" style="3" bestFit="1" customWidth="1"/>
    <col min="4876" max="4878" width="5.5703125" style="3" bestFit="1" customWidth="1"/>
    <col min="4879" max="4879" width="4.85546875" style="3" bestFit="1" customWidth="1"/>
    <col min="4880" max="4882" width="5.5703125" style="3" bestFit="1" customWidth="1"/>
    <col min="4883" max="4883" width="4.85546875" style="3" bestFit="1" customWidth="1"/>
    <col min="4884" max="4884" width="7.85546875" style="3" bestFit="1" customWidth="1"/>
    <col min="4885" max="4885" width="8.5703125" style="3" bestFit="1" customWidth="1"/>
    <col min="4886" max="4886" width="14.7109375" style="3" bestFit="1" customWidth="1"/>
    <col min="4887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0.42578125" style="3" bestFit="1" customWidth="1"/>
    <col min="5128" max="5130" width="5.5703125" style="3" bestFit="1" customWidth="1"/>
    <col min="5131" max="5131" width="4.85546875" style="3" bestFit="1" customWidth="1"/>
    <col min="5132" max="5134" width="5.5703125" style="3" bestFit="1" customWidth="1"/>
    <col min="5135" max="5135" width="4.85546875" style="3" bestFit="1" customWidth="1"/>
    <col min="5136" max="5138" width="5.5703125" style="3" bestFit="1" customWidth="1"/>
    <col min="5139" max="5139" width="4.85546875" style="3" bestFit="1" customWidth="1"/>
    <col min="5140" max="5140" width="7.85546875" style="3" bestFit="1" customWidth="1"/>
    <col min="5141" max="5141" width="8.5703125" style="3" bestFit="1" customWidth="1"/>
    <col min="5142" max="5142" width="14.7109375" style="3" bestFit="1" customWidth="1"/>
    <col min="5143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0.42578125" style="3" bestFit="1" customWidth="1"/>
    <col min="5384" max="5386" width="5.5703125" style="3" bestFit="1" customWidth="1"/>
    <col min="5387" max="5387" width="4.85546875" style="3" bestFit="1" customWidth="1"/>
    <col min="5388" max="5390" width="5.5703125" style="3" bestFit="1" customWidth="1"/>
    <col min="5391" max="5391" width="4.85546875" style="3" bestFit="1" customWidth="1"/>
    <col min="5392" max="5394" width="5.5703125" style="3" bestFit="1" customWidth="1"/>
    <col min="5395" max="5395" width="4.85546875" style="3" bestFit="1" customWidth="1"/>
    <col min="5396" max="5396" width="7.85546875" style="3" bestFit="1" customWidth="1"/>
    <col min="5397" max="5397" width="8.5703125" style="3" bestFit="1" customWidth="1"/>
    <col min="5398" max="5398" width="14.7109375" style="3" bestFit="1" customWidth="1"/>
    <col min="5399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0.42578125" style="3" bestFit="1" customWidth="1"/>
    <col min="5640" max="5642" width="5.5703125" style="3" bestFit="1" customWidth="1"/>
    <col min="5643" max="5643" width="4.85546875" style="3" bestFit="1" customWidth="1"/>
    <col min="5644" max="5646" width="5.5703125" style="3" bestFit="1" customWidth="1"/>
    <col min="5647" max="5647" width="4.85546875" style="3" bestFit="1" customWidth="1"/>
    <col min="5648" max="5650" width="5.5703125" style="3" bestFit="1" customWidth="1"/>
    <col min="5651" max="5651" width="4.85546875" style="3" bestFit="1" customWidth="1"/>
    <col min="5652" max="5652" width="7.85546875" style="3" bestFit="1" customWidth="1"/>
    <col min="5653" max="5653" width="8.5703125" style="3" bestFit="1" customWidth="1"/>
    <col min="5654" max="5654" width="14.7109375" style="3" bestFit="1" customWidth="1"/>
    <col min="5655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0.42578125" style="3" bestFit="1" customWidth="1"/>
    <col min="5896" max="5898" width="5.5703125" style="3" bestFit="1" customWidth="1"/>
    <col min="5899" max="5899" width="4.85546875" style="3" bestFit="1" customWidth="1"/>
    <col min="5900" max="5902" width="5.5703125" style="3" bestFit="1" customWidth="1"/>
    <col min="5903" max="5903" width="4.85546875" style="3" bestFit="1" customWidth="1"/>
    <col min="5904" max="5906" width="5.5703125" style="3" bestFit="1" customWidth="1"/>
    <col min="5907" max="5907" width="4.85546875" style="3" bestFit="1" customWidth="1"/>
    <col min="5908" max="5908" width="7.85546875" style="3" bestFit="1" customWidth="1"/>
    <col min="5909" max="5909" width="8.5703125" style="3" bestFit="1" customWidth="1"/>
    <col min="5910" max="5910" width="14.7109375" style="3" bestFit="1" customWidth="1"/>
    <col min="5911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0.42578125" style="3" bestFit="1" customWidth="1"/>
    <col min="6152" max="6154" width="5.5703125" style="3" bestFit="1" customWidth="1"/>
    <col min="6155" max="6155" width="4.85546875" style="3" bestFit="1" customWidth="1"/>
    <col min="6156" max="6158" width="5.5703125" style="3" bestFit="1" customWidth="1"/>
    <col min="6159" max="6159" width="4.85546875" style="3" bestFit="1" customWidth="1"/>
    <col min="6160" max="6162" width="5.5703125" style="3" bestFit="1" customWidth="1"/>
    <col min="6163" max="6163" width="4.85546875" style="3" bestFit="1" customWidth="1"/>
    <col min="6164" max="6164" width="7.85546875" style="3" bestFit="1" customWidth="1"/>
    <col min="6165" max="6165" width="8.5703125" style="3" bestFit="1" customWidth="1"/>
    <col min="6166" max="6166" width="14.7109375" style="3" bestFit="1" customWidth="1"/>
    <col min="6167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0.42578125" style="3" bestFit="1" customWidth="1"/>
    <col min="6408" max="6410" width="5.5703125" style="3" bestFit="1" customWidth="1"/>
    <col min="6411" max="6411" width="4.85546875" style="3" bestFit="1" customWidth="1"/>
    <col min="6412" max="6414" width="5.5703125" style="3" bestFit="1" customWidth="1"/>
    <col min="6415" max="6415" width="4.85546875" style="3" bestFit="1" customWidth="1"/>
    <col min="6416" max="6418" width="5.5703125" style="3" bestFit="1" customWidth="1"/>
    <col min="6419" max="6419" width="4.85546875" style="3" bestFit="1" customWidth="1"/>
    <col min="6420" max="6420" width="7.85546875" style="3" bestFit="1" customWidth="1"/>
    <col min="6421" max="6421" width="8.5703125" style="3" bestFit="1" customWidth="1"/>
    <col min="6422" max="6422" width="14.7109375" style="3" bestFit="1" customWidth="1"/>
    <col min="6423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0.42578125" style="3" bestFit="1" customWidth="1"/>
    <col min="6664" max="6666" width="5.5703125" style="3" bestFit="1" customWidth="1"/>
    <col min="6667" max="6667" width="4.85546875" style="3" bestFit="1" customWidth="1"/>
    <col min="6668" max="6670" width="5.5703125" style="3" bestFit="1" customWidth="1"/>
    <col min="6671" max="6671" width="4.85546875" style="3" bestFit="1" customWidth="1"/>
    <col min="6672" max="6674" width="5.5703125" style="3" bestFit="1" customWidth="1"/>
    <col min="6675" max="6675" width="4.85546875" style="3" bestFit="1" customWidth="1"/>
    <col min="6676" max="6676" width="7.85546875" style="3" bestFit="1" customWidth="1"/>
    <col min="6677" max="6677" width="8.5703125" style="3" bestFit="1" customWidth="1"/>
    <col min="6678" max="6678" width="14.7109375" style="3" bestFit="1" customWidth="1"/>
    <col min="6679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0.42578125" style="3" bestFit="1" customWidth="1"/>
    <col min="6920" max="6922" width="5.5703125" style="3" bestFit="1" customWidth="1"/>
    <col min="6923" max="6923" width="4.85546875" style="3" bestFit="1" customWidth="1"/>
    <col min="6924" max="6926" width="5.5703125" style="3" bestFit="1" customWidth="1"/>
    <col min="6927" max="6927" width="4.85546875" style="3" bestFit="1" customWidth="1"/>
    <col min="6928" max="6930" width="5.5703125" style="3" bestFit="1" customWidth="1"/>
    <col min="6931" max="6931" width="4.85546875" style="3" bestFit="1" customWidth="1"/>
    <col min="6932" max="6932" width="7.85546875" style="3" bestFit="1" customWidth="1"/>
    <col min="6933" max="6933" width="8.5703125" style="3" bestFit="1" customWidth="1"/>
    <col min="6934" max="6934" width="14.7109375" style="3" bestFit="1" customWidth="1"/>
    <col min="6935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0.42578125" style="3" bestFit="1" customWidth="1"/>
    <col min="7176" max="7178" width="5.5703125" style="3" bestFit="1" customWidth="1"/>
    <col min="7179" max="7179" width="4.85546875" style="3" bestFit="1" customWidth="1"/>
    <col min="7180" max="7182" width="5.5703125" style="3" bestFit="1" customWidth="1"/>
    <col min="7183" max="7183" width="4.85546875" style="3" bestFit="1" customWidth="1"/>
    <col min="7184" max="7186" width="5.5703125" style="3" bestFit="1" customWidth="1"/>
    <col min="7187" max="7187" width="4.85546875" style="3" bestFit="1" customWidth="1"/>
    <col min="7188" max="7188" width="7.85546875" style="3" bestFit="1" customWidth="1"/>
    <col min="7189" max="7189" width="8.5703125" style="3" bestFit="1" customWidth="1"/>
    <col min="7190" max="7190" width="14.7109375" style="3" bestFit="1" customWidth="1"/>
    <col min="7191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0.42578125" style="3" bestFit="1" customWidth="1"/>
    <col min="7432" max="7434" width="5.5703125" style="3" bestFit="1" customWidth="1"/>
    <col min="7435" max="7435" width="4.85546875" style="3" bestFit="1" customWidth="1"/>
    <col min="7436" max="7438" width="5.5703125" style="3" bestFit="1" customWidth="1"/>
    <col min="7439" max="7439" width="4.85546875" style="3" bestFit="1" customWidth="1"/>
    <col min="7440" max="7442" width="5.5703125" style="3" bestFit="1" customWidth="1"/>
    <col min="7443" max="7443" width="4.85546875" style="3" bestFit="1" customWidth="1"/>
    <col min="7444" max="7444" width="7.85546875" style="3" bestFit="1" customWidth="1"/>
    <col min="7445" max="7445" width="8.5703125" style="3" bestFit="1" customWidth="1"/>
    <col min="7446" max="7446" width="14.7109375" style="3" bestFit="1" customWidth="1"/>
    <col min="7447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0.42578125" style="3" bestFit="1" customWidth="1"/>
    <col min="7688" max="7690" width="5.5703125" style="3" bestFit="1" customWidth="1"/>
    <col min="7691" max="7691" width="4.85546875" style="3" bestFit="1" customWidth="1"/>
    <col min="7692" max="7694" width="5.5703125" style="3" bestFit="1" customWidth="1"/>
    <col min="7695" max="7695" width="4.85546875" style="3" bestFit="1" customWidth="1"/>
    <col min="7696" max="7698" width="5.5703125" style="3" bestFit="1" customWidth="1"/>
    <col min="7699" max="7699" width="4.85546875" style="3" bestFit="1" customWidth="1"/>
    <col min="7700" max="7700" width="7.85546875" style="3" bestFit="1" customWidth="1"/>
    <col min="7701" max="7701" width="8.5703125" style="3" bestFit="1" customWidth="1"/>
    <col min="7702" max="7702" width="14.7109375" style="3" bestFit="1" customWidth="1"/>
    <col min="7703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0.42578125" style="3" bestFit="1" customWidth="1"/>
    <col min="7944" max="7946" width="5.5703125" style="3" bestFit="1" customWidth="1"/>
    <col min="7947" max="7947" width="4.85546875" style="3" bestFit="1" customWidth="1"/>
    <col min="7948" max="7950" width="5.5703125" style="3" bestFit="1" customWidth="1"/>
    <col min="7951" max="7951" width="4.85546875" style="3" bestFit="1" customWidth="1"/>
    <col min="7952" max="7954" width="5.5703125" style="3" bestFit="1" customWidth="1"/>
    <col min="7955" max="7955" width="4.85546875" style="3" bestFit="1" customWidth="1"/>
    <col min="7956" max="7956" width="7.85546875" style="3" bestFit="1" customWidth="1"/>
    <col min="7957" max="7957" width="8.5703125" style="3" bestFit="1" customWidth="1"/>
    <col min="7958" max="7958" width="14.7109375" style="3" bestFit="1" customWidth="1"/>
    <col min="7959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0.42578125" style="3" bestFit="1" customWidth="1"/>
    <col min="8200" max="8202" width="5.5703125" style="3" bestFit="1" customWidth="1"/>
    <col min="8203" max="8203" width="4.85546875" style="3" bestFit="1" customWidth="1"/>
    <col min="8204" max="8206" width="5.5703125" style="3" bestFit="1" customWidth="1"/>
    <col min="8207" max="8207" width="4.85546875" style="3" bestFit="1" customWidth="1"/>
    <col min="8208" max="8210" width="5.5703125" style="3" bestFit="1" customWidth="1"/>
    <col min="8211" max="8211" width="4.85546875" style="3" bestFit="1" customWidth="1"/>
    <col min="8212" max="8212" width="7.85546875" style="3" bestFit="1" customWidth="1"/>
    <col min="8213" max="8213" width="8.5703125" style="3" bestFit="1" customWidth="1"/>
    <col min="8214" max="8214" width="14.7109375" style="3" bestFit="1" customWidth="1"/>
    <col min="8215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0.42578125" style="3" bestFit="1" customWidth="1"/>
    <col min="8456" max="8458" width="5.5703125" style="3" bestFit="1" customWidth="1"/>
    <col min="8459" max="8459" width="4.85546875" style="3" bestFit="1" customWidth="1"/>
    <col min="8460" max="8462" width="5.5703125" style="3" bestFit="1" customWidth="1"/>
    <col min="8463" max="8463" width="4.85546875" style="3" bestFit="1" customWidth="1"/>
    <col min="8464" max="8466" width="5.5703125" style="3" bestFit="1" customWidth="1"/>
    <col min="8467" max="8467" width="4.85546875" style="3" bestFit="1" customWidth="1"/>
    <col min="8468" max="8468" width="7.85546875" style="3" bestFit="1" customWidth="1"/>
    <col min="8469" max="8469" width="8.5703125" style="3" bestFit="1" customWidth="1"/>
    <col min="8470" max="8470" width="14.7109375" style="3" bestFit="1" customWidth="1"/>
    <col min="8471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0.42578125" style="3" bestFit="1" customWidth="1"/>
    <col min="8712" max="8714" width="5.5703125" style="3" bestFit="1" customWidth="1"/>
    <col min="8715" max="8715" width="4.85546875" style="3" bestFit="1" customWidth="1"/>
    <col min="8716" max="8718" width="5.5703125" style="3" bestFit="1" customWidth="1"/>
    <col min="8719" max="8719" width="4.85546875" style="3" bestFit="1" customWidth="1"/>
    <col min="8720" max="8722" width="5.5703125" style="3" bestFit="1" customWidth="1"/>
    <col min="8723" max="8723" width="4.85546875" style="3" bestFit="1" customWidth="1"/>
    <col min="8724" max="8724" width="7.85546875" style="3" bestFit="1" customWidth="1"/>
    <col min="8725" max="8725" width="8.5703125" style="3" bestFit="1" customWidth="1"/>
    <col min="8726" max="8726" width="14.7109375" style="3" bestFit="1" customWidth="1"/>
    <col min="8727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0.42578125" style="3" bestFit="1" customWidth="1"/>
    <col min="8968" max="8970" width="5.5703125" style="3" bestFit="1" customWidth="1"/>
    <col min="8971" max="8971" width="4.85546875" style="3" bestFit="1" customWidth="1"/>
    <col min="8972" max="8974" width="5.5703125" style="3" bestFit="1" customWidth="1"/>
    <col min="8975" max="8975" width="4.85546875" style="3" bestFit="1" customWidth="1"/>
    <col min="8976" max="8978" width="5.5703125" style="3" bestFit="1" customWidth="1"/>
    <col min="8979" max="8979" width="4.85546875" style="3" bestFit="1" customWidth="1"/>
    <col min="8980" max="8980" width="7.85546875" style="3" bestFit="1" customWidth="1"/>
    <col min="8981" max="8981" width="8.5703125" style="3" bestFit="1" customWidth="1"/>
    <col min="8982" max="8982" width="14.7109375" style="3" bestFit="1" customWidth="1"/>
    <col min="8983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0.42578125" style="3" bestFit="1" customWidth="1"/>
    <col min="9224" max="9226" width="5.5703125" style="3" bestFit="1" customWidth="1"/>
    <col min="9227" max="9227" width="4.85546875" style="3" bestFit="1" customWidth="1"/>
    <col min="9228" max="9230" width="5.5703125" style="3" bestFit="1" customWidth="1"/>
    <col min="9231" max="9231" width="4.85546875" style="3" bestFit="1" customWidth="1"/>
    <col min="9232" max="9234" width="5.5703125" style="3" bestFit="1" customWidth="1"/>
    <col min="9235" max="9235" width="4.85546875" style="3" bestFit="1" customWidth="1"/>
    <col min="9236" max="9236" width="7.85546875" style="3" bestFit="1" customWidth="1"/>
    <col min="9237" max="9237" width="8.5703125" style="3" bestFit="1" customWidth="1"/>
    <col min="9238" max="9238" width="14.7109375" style="3" bestFit="1" customWidth="1"/>
    <col min="9239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0.42578125" style="3" bestFit="1" customWidth="1"/>
    <col min="9480" max="9482" width="5.5703125" style="3" bestFit="1" customWidth="1"/>
    <col min="9483" max="9483" width="4.85546875" style="3" bestFit="1" customWidth="1"/>
    <col min="9484" max="9486" width="5.5703125" style="3" bestFit="1" customWidth="1"/>
    <col min="9487" max="9487" width="4.85546875" style="3" bestFit="1" customWidth="1"/>
    <col min="9488" max="9490" width="5.5703125" style="3" bestFit="1" customWidth="1"/>
    <col min="9491" max="9491" width="4.85546875" style="3" bestFit="1" customWidth="1"/>
    <col min="9492" max="9492" width="7.85546875" style="3" bestFit="1" customWidth="1"/>
    <col min="9493" max="9493" width="8.5703125" style="3" bestFit="1" customWidth="1"/>
    <col min="9494" max="9494" width="14.7109375" style="3" bestFit="1" customWidth="1"/>
    <col min="9495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0.42578125" style="3" bestFit="1" customWidth="1"/>
    <col min="9736" max="9738" width="5.5703125" style="3" bestFit="1" customWidth="1"/>
    <col min="9739" max="9739" width="4.85546875" style="3" bestFit="1" customWidth="1"/>
    <col min="9740" max="9742" width="5.5703125" style="3" bestFit="1" customWidth="1"/>
    <col min="9743" max="9743" width="4.85546875" style="3" bestFit="1" customWidth="1"/>
    <col min="9744" max="9746" width="5.5703125" style="3" bestFit="1" customWidth="1"/>
    <col min="9747" max="9747" width="4.85546875" style="3" bestFit="1" customWidth="1"/>
    <col min="9748" max="9748" width="7.85546875" style="3" bestFit="1" customWidth="1"/>
    <col min="9749" max="9749" width="8.5703125" style="3" bestFit="1" customWidth="1"/>
    <col min="9750" max="9750" width="14.7109375" style="3" bestFit="1" customWidth="1"/>
    <col min="9751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0.42578125" style="3" bestFit="1" customWidth="1"/>
    <col min="9992" max="9994" width="5.5703125" style="3" bestFit="1" customWidth="1"/>
    <col min="9995" max="9995" width="4.85546875" style="3" bestFit="1" customWidth="1"/>
    <col min="9996" max="9998" width="5.5703125" style="3" bestFit="1" customWidth="1"/>
    <col min="9999" max="9999" width="4.85546875" style="3" bestFit="1" customWidth="1"/>
    <col min="10000" max="10002" width="5.5703125" style="3" bestFit="1" customWidth="1"/>
    <col min="10003" max="10003" width="4.85546875" style="3" bestFit="1" customWidth="1"/>
    <col min="10004" max="10004" width="7.85546875" style="3" bestFit="1" customWidth="1"/>
    <col min="10005" max="10005" width="8.5703125" style="3" bestFit="1" customWidth="1"/>
    <col min="10006" max="10006" width="14.7109375" style="3" bestFit="1" customWidth="1"/>
    <col min="10007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0.42578125" style="3" bestFit="1" customWidth="1"/>
    <col min="10248" max="10250" width="5.5703125" style="3" bestFit="1" customWidth="1"/>
    <col min="10251" max="10251" width="4.85546875" style="3" bestFit="1" customWidth="1"/>
    <col min="10252" max="10254" width="5.5703125" style="3" bestFit="1" customWidth="1"/>
    <col min="10255" max="10255" width="4.85546875" style="3" bestFit="1" customWidth="1"/>
    <col min="10256" max="10258" width="5.5703125" style="3" bestFit="1" customWidth="1"/>
    <col min="10259" max="10259" width="4.85546875" style="3" bestFit="1" customWidth="1"/>
    <col min="10260" max="10260" width="7.85546875" style="3" bestFit="1" customWidth="1"/>
    <col min="10261" max="10261" width="8.5703125" style="3" bestFit="1" customWidth="1"/>
    <col min="10262" max="10262" width="14.7109375" style="3" bestFit="1" customWidth="1"/>
    <col min="10263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0.42578125" style="3" bestFit="1" customWidth="1"/>
    <col min="10504" max="10506" width="5.5703125" style="3" bestFit="1" customWidth="1"/>
    <col min="10507" max="10507" width="4.85546875" style="3" bestFit="1" customWidth="1"/>
    <col min="10508" max="10510" width="5.5703125" style="3" bestFit="1" customWidth="1"/>
    <col min="10511" max="10511" width="4.85546875" style="3" bestFit="1" customWidth="1"/>
    <col min="10512" max="10514" width="5.5703125" style="3" bestFit="1" customWidth="1"/>
    <col min="10515" max="10515" width="4.85546875" style="3" bestFit="1" customWidth="1"/>
    <col min="10516" max="10516" width="7.85546875" style="3" bestFit="1" customWidth="1"/>
    <col min="10517" max="10517" width="8.5703125" style="3" bestFit="1" customWidth="1"/>
    <col min="10518" max="10518" width="14.7109375" style="3" bestFit="1" customWidth="1"/>
    <col min="10519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0.42578125" style="3" bestFit="1" customWidth="1"/>
    <col min="10760" max="10762" width="5.5703125" style="3" bestFit="1" customWidth="1"/>
    <col min="10763" max="10763" width="4.85546875" style="3" bestFit="1" customWidth="1"/>
    <col min="10764" max="10766" width="5.5703125" style="3" bestFit="1" customWidth="1"/>
    <col min="10767" max="10767" width="4.85546875" style="3" bestFit="1" customWidth="1"/>
    <col min="10768" max="10770" width="5.5703125" style="3" bestFit="1" customWidth="1"/>
    <col min="10771" max="10771" width="4.85546875" style="3" bestFit="1" customWidth="1"/>
    <col min="10772" max="10772" width="7.85546875" style="3" bestFit="1" customWidth="1"/>
    <col min="10773" max="10773" width="8.5703125" style="3" bestFit="1" customWidth="1"/>
    <col min="10774" max="10774" width="14.7109375" style="3" bestFit="1" customWidth="1"/>
    <col min="10775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0.42578125" style="3" bestFit="1" customWidth="1"/>
    <col min="11016" max="11018" width="5.5703125" style="3" bestFit="1" customWidth="1"/>
    <col min="11019" max="11019" width="4.85546875" style="3" bestFit="1" customWidth="1"/>
    <col min="11020" max="11022" width="5.5703125" style="3" bestFit="1" customWidth="1"/>
    <col min="11023" max="11023" width="4.85546875" style="3" bestFit="1" customWidth="1"/>
    <col min="11024" max="11026" width="5.5703125" style="3" bestFit="1" customWidth="1"/>
    <col min="11027" max="11027" width="4.85546875" style="3" bestFit="1" customWidth="1"/>
    <col min="11028" max="11028" width="7.85546875" style="3" bestFit="1" customWidth="1"/>
    <col min="11029" max="11029" width="8.5703125" style="3" bestFit="1" customWidth="1"/>
    <col min="11030" max="11030" width="14.7109375" style="3" bestFit="1" customWidth="1"/>
    <col min="11031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0.42578125" style="3" bestFit="1" customWidth="1"/>
    <col min="11272" max="11274" width="5.5703125" style="3" bestFit="1" customWidth="1"/>
    <col min="11275" max="11275" width="4.85546875" style="3" bestFit="1" customWidth="1"/>
    <col min="11276" max="11278" width="5.5703125" style="3" bestFit="1" customWidth="1"/>
    <col min="11279" max="11279" width="4.85546875" style="3" bestFit="1" customWidth="1"/>
    <col min="11280" max="11282" width="5.5703125" style="3" bestFit="1" customWidth="1"/>
    <col min="11283" max="11283" width="4.85546875" style="3" bestFit="1" customWidth="1"/>
    <col min="11284" max="11284" width="7.85546875" style="3" bestFit="1" customWidth="1"/>
    <col min="11285" max="11285" width="8.5703125" style="3" bestFit="1" customWidth="1"/>
    <col min="11286" max="11286" width="14.7109375" style="3" bestFit="1" customWidth="1"/>
    <col min="11287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0.42578125" style="3" bestFit="1" customWidth="1"/>
    <col min="11528" max="11530" width="5.5703125" style="3" bestFit="1" customWidth="1"/>
    <col min="11531" max="11531" width="4.85546875" style="3" bestFit="1" customWidth="1"/>
    <col min="11532" max="11534" width="5.5703125" style="3" bestFit="1" customWidth="1"/>
    <col min="11535" max="11535" width="4.85546875" style="3" bestFit="1" customWidth="1"/>
    <col min="11536" max="11538" width="5.5703125" style="3" bestFit="1" customWidth="1"/>
    <col min="11539" max="11539" width="4.85546875" style="3" bestFit="1" customWidth="1"/>
    <col min="11540" max="11540" width="7.85546875" style="3" bestFit="1" customWidth="1"/>
    <col min="11541" max="11541" width="8.5703125" style="3" bestFit="1" customWidth="1"/>
    <col min="11542" max="11542" width="14.7109375" style="3" bestFit="1" customWidth="1"/>
    <col min="11543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0.42578125" style="3" bestFit="1" customWidth="1"/>
    <col min="11784" max="11786" width="5.5703125" style="3" bestFit="1" customWidth="1"/>
    <col min="11787" max="11787" width="4.85546875" style="3" bestFit="1" customWidth="1"/>
    <col min="11788" max="11790" width="5.5703125" style="3" bestFit="1" customWidth="1"/>
    <col min="11791" max="11791" width="4.85546875" style="3" bestFit="1" customWidth="1"/>
    <col min="11792" max="11794" width="5.5703125" style="3" bestFit="1" customWidth="1"/>
    <col min="11795" max="11795" width="4.85546875" style="3" bestFit="1" customWidth="1"/>
    <col min="11796" max="11796" width="7.85546875" style="3" bestFit="1" customWidth="1"/>
    <col min="11797" max="11797" width="8.5703125" style="3" bestFit="1" customWidth="1"/>
    <col min="11798" max="11798" width="14.7109375" style="3" bestFit="1" customWidth="1"/>
    <col min="11799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0.42578125" style="3" bestFit="1" customWidth="1"/>
    <col min="12040" max="12042" width="5.5703125" style="3" bestFit="1" customWidth="1"/>
    <col min="12043" max="12043" width="4.85546875" style="3" bestFit="1" customWidth="1"/>
    <col min="12044" max="12046" width="5.5703125" style="3" bestFit="1" customWidth="1"/>
    <col min="12047" max="12047" width="4.85546875" style="3" bestFit="1" customWidth="1"/>
    <col min="12048" max="12050" width="5.5703125" style="3" bestFit="1" customWidth="1"/>
    <col min="12051" max="12051" width="4.85546875" style="3" bestFit="1" customWidth="1"/>
    <col min="12052" max="12052" width="7.85546875" style="3" bestFit="1" customWidth="1"/>
    <col min="12053" max="12053" width="8.5703125" style="3" bestFit="1" customWidth="1"/>
    <col min="12054" max="12054" width="14.7109375" style="3" bestFit="1" customWidth="1"/>
    <col min="12055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0.42578125" style="3" bestFit="1" customWidth="1"/>
    <col min="12296" max="12298" width="5.5703125" style="3" bestFit="1" customWidth="1"/>
    <col min="12299" max="12299" width="4.85546875" style="3" bestFit="1" customWidth="1"/>
    <col min="12300" max="12302" width="5.5703125" style="3" bestFit="1" customWidth="1"/>
    <col min="12303" max="12303" width="4.85546875" style="3" bestFit="1" customWidth="1"/>
    <col min="12304" max="12306" width="5.5703125" style="3" bestFit="1" customWidth="1"/>
    <col min="12307" max="12307" width="4.85546875" style="3" bestFit="1" customWidth="1"/>
    <col min="12308" max="12308" width="7.85546875" style="3" bestFit="1" customWidth="1"/>
    <col min="12309" max="12309" width="8.5703125" style="3" bestFit="1" customWidth="1"/>
    <col min="12310" max="12310" width="14.7109375" style="3" bestFit="1" customWidth="1"/>
    <col min="12311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0.42578125" style="3" bestFit="1" customWidth="1"/>
    <col min="12552" max="12554" width="5.5703125" style="3" bestFit="1" customWidth="1"/>
    <col min="12555" max="12555" width="4.85546875" style="3" bestFit="1" customWidth="1"/>
    <col min="12556" max="12558" width="5.5703125" style="3" bestFit="1" customWidth="1"/>
    <col min="12559" max="12559" width="4.85546875" style="3" bestFit="1" customWidth="1"/>
    <col min="12560" max="12562" width="5.5703125" style="3" bestFit="1" customWidth="1"/>
    <col min="12563" max="12563" width="4.85546875" style="3" bestFit="1" customWidth="1"/>
    <col min="12564" max="12564" width="7.85546875" style="3" bestFit="1" customWidth="1"/>
    <col min="12565" max="12565" width="8.5703125" style="3" bestFit="1" customWidth="1"/>
    <col min="12566" max="12566" width="14.7109375" style="3" bestFit="1" customWidth="1"/>
    <col min="12567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0.42578125" style="3" bestFit="1" customWidth="1"/>
    <col min="12808" max="12810" width="5.5703125" style="3" bestFit="1" customWidth="1"/>
    <col min="12811" max="12811" width="4.85546875" style="3" bestFit="1" customWidth="1"/>
    <col min="12812" max="12814" width="5.5703125" style="3" bestFit="1" customWidth="1"/>
    <col min="12815" max="12815" width="4.85546875" style="3" bestFit="1" customWidth="1"/>
    <col min="12816" max="12818" width="5.5703125" style="3" bestFit="1" customWidth="1"/>
    <col min="12819" max="12819" width="4.85546875" style="3" bestFit="1" customWidth="1"/>
    <col min="12820" max="12820" width="7.85546875" style="3" bestFit="1" customWidth="1"/>
    <col min="12821" max="12821" width="8.5703125" style="3" bestFit="1" customWidth="1"/>
    <col min="12822" max="12822" width="14.7109375" style="3" bestFit="1" customWidth="1"/>
    <col min="12823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0.42578125" style="3" bestFit="1" customWidth="1"/>
    <col min="13064" max="13066" width="5.5703125" style="3" bestFit="1" customWidth="1"/>
    <col min="13067" max="13067" width="4.85546875" style="3" bestFit="1" customWidth="1"/>
    <col min="13068" max="13070" width="5.5703125" style="3" bestFit="1" customWidth="1"/>
    <col min="13071" max="13071" width="4.85546875" style="3" bestFit="1" customWidth="1"/>
    <col min="13072" max="13074" width="5.5703125" style="3" bestFit="1" customWidth="1"/>
    <col min="13075" max="13075" width="4.85546875" style="3" bestFit="1" customWidth="1"/>
    <col min="13076" max="13076" width="7.85546875" style="3" bestFit="1" customWidth="1"/>
    <col min="13077" max="13077" width="8.5703125" style="3" bestFit="1" customWidth="1"/>
    <col min="13078" max="13078" width="14.7109375" style="3" bestFit="1" customWidth="1"/>
    <col min="13079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0.42578125" style="3" bestFit="1" customWidth="1"/>
    <col min="13320" max="13322" width="5.5703125" style="3" bestFit="1" customWidth="1"/>
    <col min="13323" max="13323" width="4.85546875" style="3" bestFit="1" customWidth="1"/>
    <col min="13324" max="13326" width="5.5703125" style="3" bestFit="1" customWidth="1"/>
    <col min="13327" max="13327" width="4.85546875" style="3" bestFit="1" customWidth="1"/>
    <col min="13328" max="13330" width="5.5703125" style="3" bestFit="1" customWidth="1"/>
    <col min="13331" max="13331" width="4.85546875" style="3" bestFit="1" customWidth="1"/>
    <col min="13332" max="13332" width="7.85546875" style="3" bestFit="1" customWidth="1"/>
    <col min="13333" max="13333" width="8.5703125" style="3" bestFit="1" customWidth="1"/>
    <col min="13334" max="13334" width="14.7109375" style="3" bestFit="1" customWidth="1"/>
    <col min="13335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0.42578125" style="3" bestFit="1" customWidth="1"/>
    <col min="13576" max="13578" width="5.5703125" style="3" bestFit="1" customWidth="1"/>
    <col min="13579" max="13579" width="4.85546875" style="3" bestFit="1" customWidth="1"/>
    <col min="13580" max="13582" width="5.5703125" style="3" bestFit="1" customWidth="1"/>
    <col min="13583" max="13583" width="4.85546875" style="3" bestFit="1" customWidth="1"/>
    <col min="13584" max="13586" width="5.5703125" style="3" bestFit="1" customWidth="1"/>
    <col min="13587" max="13587" width="4.85546875" style="3" bestFit="1" customWidth="1"/>
    <col min="13588" max="13588" width="7.85546875" style="3" bestFit="1" customWidth="1"/>
    <col min="13589" max="13589" width="8.5703125" style="3" bestFit="1" customWidth="1"/>
    <col min="13590" max="13590" width="14.7109375" style="3" bestFit="1" customWidth="1"/>
    <col min="13591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0.42578125" style="3" bestFit="1" customWidth="1"/>
    <col min="13832" max="13834" width="5.5703125" style="3" bestFit="1" customWidth="1"/>
    <col min="13835" max="13835" width="4.85546875" style="3" bestFit="1" customWidth="1"/>
    <col min="13836" max="13838" width="5.5703125" style="3" bestFit="1" customWidth="1"/>
    <col min="13839" max="13839" width="4.85546875" style="3" bestFit="1" customWidth="1"/>
    <col min="13840" max="13842" width="5.5703125" style="3" bestFit="1" customWidth="1"/>
    <col min="13843" max="13843" width="4.85546875" style="3" bestFit="1" customWidth="1"/>
    <col min="13844" max="13844" width="7.85546875" style="3" bestFit="1" customWidth="1"/>
    <col min="13845" max="13845" width="8.5703125" style="3" bestFit="1" customWidth="1"/>
    <col min="13846" max="13846" width="14.7109375" style="3" bestFit="1" customWidth="1"/>
    <col min="13847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0.42578125" style="3" bestFit="1" customWidth="1"/>
    <col min="14088" max="14090" width="5.5703125" style="3" bestFit="1" customWidth="1"/>
    <col min="14091" max="14091" width="4.85546875" style="3" bestFit="1" customWidth="1"/>
    <col min="14092" max="14094" width="5.5703125" style="3" bestFit="1" customWidth="1"/>
    <col min="14095" max="14095" width="4.85546875" style="3" bestFit="1" customWidth="1"/>
    <col min="14096" max="14098" width="5.5703125" style="3" bestFit="1" customWidth="1"/>
    <col min="14099" max="14099" width="4.85546875" style="3" bestFit="1" customWidth="1"/>
    <col min="14100" max="14100" width="7.85546875" style="3" bestFit="1" customWidth="1"/>
    <col min="14101" max="14101" width="8.5703125" style="3" bestFit="1" customWidth="1"/>
    <col min="14102" max="14102" width="14.7109375" style="3" bestFit="1" customWidth="1"/>
    <col min="14103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0.42578125" style="3" bestFit="1" customWidth="1"/>
    <col min="14344" max="14346" width="5.5703125" style="3" bestFit="1" customWidth="1"/>
    <col min="14347" max="14347" width="4.85546875" style="3" bestFit="1" customWidth="1"/>
    <col min="14348" max="14350" width="5.5703125" style="3" bestFit="1" customWidth="1"/>
    <col min="14351" max="14351" width="4.85546875" style="3" bestFit="1" customWidth="1"/>
    <col min="14352" max="14354" width="5.5703125" style="3" bestFit="1" customWidth="1"/>
    <col min="14355" max="14355" width="4.85546875" style="3" bestFit="1" customWidth="1"/>
    <col min="14356" max="14356" width="7.85546875" style="3" bestFit="1" customWidth="1"/>
    <col min="14357" max="14357" width="8.5703125" style="3" bestFit="1" customWidth="1"/>
    <col min="14358" max="14358" width="14.7109375" style="3" bestFit="1" customWidth="1"/>
    <col min="14359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0.42578125" style="3" bestFit="1" customWidth="1"/>
    <col min="14600" max="14602" width="5.5703125" style="3" bestFit="1" customWidth="1"/>
    <col min="14603" max="14603" width="4.85546875" style="3" bestFit="1" customWidth="1"/>
    <col min="14604" max="14606" width="5.5703125" style="3" bestFit="1" customWidth="1"/>
    <col min="14607" max="14607" width="4.85546875" style="3" bestFit="1" customWidth="1"/>
    <col min="14608" max="14610" width="5.5703125" style="3" bestFit="1" customWidth="1"/>
    <col min="14611" max="14611" width="4.85546875" style="3" bestFit="1" customWidth="1"/>
    <col min="14612" max="14612" width="7.85546875" style="3" bestFit="1" customWidth="1"/>
    <col min="14613" max="14613" width="8.5703125" style="3" bestFit="1" customWidth="1"/>
    <col min="14614" max="14614" width="14.7109375" style="3" bestFit="1" customWidth="1"/>
    <col min="14615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0.42578125" style="3" bestFit="1" customWidth="1"/>
    <col min="14856" max="14858" width="5.5703125" style="3" bestFit="1" customWidth="1"/>
    <col min="14859" max="14859" width="4.85546875" style="3" bestFit="1" customWidth="1"/>
    <col min="14860" max="14862" width="5.5703125" style="3" bestFit="1" customWidth="1"/>
    <col min="14863" max="14863" width="4.85546875" style="3" bestFit="1" customWidth="1"/>
    <col min="14864" max="14866" width="5.5703125" style="3" bestFit="1" customWidth="1"/>
    <col min="14867" max="14867" width="4.85546875" style="3" bestFit="1" customWidth="1"/>
    <col min="14868" max="14868" width="7.85546875" style="3" bestFit="1" customWidth="1"/>
    <col min="14869" max="14869" width="8.5703125" style="3" bestFit="1" customWidth="1"/>
    <col min="14870" max="14870" width="14.7109375" style="3" bestFit="1" customWidth="1"/>
    <col min="14871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0.42578125" style="3" bestFit="1" customWidth="1"/>
    <col min="15112" max="15114" width="5.5703125" style="3" bestFit="1" customWidth="1"/>
    <col min="15115" max="15115" width="4.85546875" style="3" bestFit="1" customWidth="1"/>
    <col min="15116" max="15118" width="5.5703125" style="3" bestFit="1" customWidth="1"/>
    <col min="15119" max="15119" width="4.85546875" style="3" bestFit="1" customWidth="1"/>
    <col min="15120" max="15122" width="5.5703125" style="3" bestFit="1" customWidth="1"/>
    <col min="15123" max="15123" width="4.85546875" style="3" bestFit="1" customWidth="1"/>
    <col min="15124" max="15124" width="7.85546875" style="3" bestFit="1" customWidth="1"/>
    <col min="15125" max="15125" width="8.5703125" style="3" bestFit="1" customWidth="1"/>
    <col min="15126" max="15126" width="14.7109375" style="3" bestFit="1" customWidth="1"/>
    <col min="15127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0.42578125" style="3" bestFit="1" customWidth="1"/>
    <col min="15368" max="15370" width="5.5703125" style="3" bestFit="1" customWidth="1"/>
    <col min="15371" max="15371" width="4.85546875" style="3" bestFit="1" customWidth="1"/>
    <col min="15372" max="15374" width="5.5703125" style="3" bestFit="1" customWidth="1"/>
    <col min="15375" max="15375" width="4.85546875" style="3" bestFit="1" customWidth="1"/>
    <col min="15376" max="15378" width="5.5703125" style="3" bestFit="1" customWidth="1"/>
    <col min="15379" max="15379" width="4.85546875" style="3" bestFit="1" customWidth="1"/>
    <col min="15380" max="15380" width="7.85546875" style="3" bestFit="1" customWidth="1"/>
    <col min="15381" max="15381" width="8.5703125" style="3" bestFit="1" customWidth="1"/>
    <col min="15382" max="15382" width="14.7109375" style="3" bestFit="1" customWidth="1"/>
    <col min="15383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0.42578125" style="3" bestFit="1" customWidth="1"/>
    <col min="15624" max="15626" width="5.5703125" style="3" bestFit="1" customWidth="1"/>
    <col min="15627" max="15627" width="4.85546875" style="3" bestFit="1" customWidth="1"/>
    <col min="15628" max="15630" width="5.5703125" style="3" bestFit="1" customWidth="1"/>
    <col min="15631" max="15631" width="4.85546875" style="3" bestFit="1" customWidth="1"/>
    <col min="15632" max="15634" width="5.5703125" style="3" bestFit="1" customWidth="1"/>
    <col min="15635" max="15635" width="4.85546875" style="3" bestFit="1" customWidth="1"/>
    <col min="15636" max="15636" width="7.85546875" style="3" bestFit="1" customWidth="1"/>
    <col min="15637" max="15637" width="8.5703125" style="3" bestFit="1" customWidth="1"/>
    <col min="15638" max="15638" width="14.7109375" style="3" bestFit="1" customWidth="1"/>
    <col min="15639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0.42578125" style="3" bestFit="1" customWidth="1"/>
    <col min="15880" max="15882" width="5.5703125" style="3" bestFit="1" customWidth="1"/>
    <col min="15883" max="15883" width="4.85546875" style="3" bestFit="1" customWidth="1"/>
    <col min="15884" max="15886" width="5.5703125" style="3" bestFit="1" customWidth="1"/>
    <col min="15887" max="15887" width="4.85546875" style="3" bestFit="1" customWidth="1"/>
    <col min="15888" max="15890" width="5.5703125" style="3" bestFit="1" customWidth="1"/>
    <col min="15891" max="15891" width="4.85546875" style="3" bestFit="1" customWidth="1"/>
    <col min="15892" max="15892" width="7.85546875" style="3" bestFit="1" customWidth="1"/>
    <col min="15893" max="15893" width="8.5703125" style="3" bestFit="1" customWidth="1"/>
    <col min="15894" max="15894" width="14.7109375" style="3" bestFit="1" customWidth="1"/>
    <col min="15895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0.42578125" style="3" bestFit="1" customWidth="1"/>
    <col min="16136" max="16138" width="5.5703125" style="3" bestFit="1" customWidth="1"/>
    <col min="16139" max="16139" width="4.85546875" style="3" bestFit="1" customWidth="1"/>
    <col min="16140" max="16142" width="5.5703125" style="3" bestFit="1" customWidth="1"/>
    <col min="16143" max="16143" width="4.85546875" style="3" bestFit="1" customWidth="1"/>
    <col min="16144" max="16146" width="5.5703125" style="3" bestFit="1" customWidth="1"/>
    <col min="16147" max="16147" width="4.85546875" style="3" bestFit="1" customWidth="1"/>
    <col min="16148" max="16148" width="7.85546875" style="3" bestFit="1" customWidth="1"/>
    <col min="16149" max="16149" width="8.5703125" style="3" bestFit="1" customWidth="1"/>
    <col min="16150" max="16150" width="14.7109375" style="3" bestFit="1" customWidth="1"/>
    <col min="16151" max="16384" width="9.140625" style="3"/>
  </cols>
  <sheetData>
    <row r="1" spans="1:22" s="2" customFormat="1" ht="29.1" customHeight="1" x14ac:dyDescent="0.2">
      <c r="A1" s="40" t="s">
        <v>1413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2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1000</v>
      </c>
      <c r="I3" s="37"/>
      <c r="J3" s="37"/>
      <c r="K3" s="37"/>
      <c r="L3" s="37" t="s">
        <v>1</v>
      </c>
      <c r="M3" s="37"/>
      <c r="N3" s="37"/>
      <c r="O3" s="37"/>
      <c r="P3" s="37" t="s">
        <v>295</v>
      </c>
      <c r="Q3" s="37"/>
      <c r="R3" s="37"/>
      <c r="S3" s="37"/>
      <c r="T3" s="37" t="s">
        <v>1001</v>
      </c>
      <c r="U3" s="37" t="s">
        <v>3</v>
      </c>
      <c r="V3" s="38" t="s">
        <v>2</v>
      </c>
    </row>
    <row r="4" spans="1:22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5">
        <v>1</v>
      </c>
      <c r="M4" s="5">
        <v>2</v>
      </c>
      <c r="N4" s="5">
        <v>3</v>
      </c>
      <c r="O4" s="5" t="s">
        <v>224</v>
      </c>
      <c r="P4" s="5">
        <v>1</v>
      </c>
      <c r="Q4" s="5">
        <v>2</v>
      </c>
      <c r="R4" s="5">
        <v>3</v>
      </c>
      <c r="S4" s="5" t="s">
        <v>224</v>
      </c>
      <c r="T4" s="36"/>
      <c r="U4" s="36"/>
      <c r="V4" s="39"/>
    </row>
    <row r="5" spans="1:22" ht="15" x14ac:dyDescent="0.2">
      <c r="A5" s="61" t="s">
        <v>50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x14ac:dyDescent="0.2">
      <c r="A6" s="9" t="s">
        <v>1414</v>
      </c>
      <c r="B6" s="9" t="s">
        <v>1442</v>
      </c>
      <c r="C6" s="9" t="s">
        <v>1415</v>
      </c>
      <c r="D6" s="9" t="s">
        <v>148</v>
      </c>
      <c r="E6" s="9" t="str">
        <f>"0,6444"</f>
        <v>0,6444</v>
      </c>
      <c r="F6" s="9" t="s">
        <v>14</v>
      </c>
      <c r="G6" s="9" t="s">
        <v>495</v>
      </c>
      <c r="H6" s="10" t="s">
        <v>394</v>
      </c>
      <c r="I6" s="10" t="s">
        <v>519</v>
      </c>
      <c r="J6" s="10" t="s">
        <v>502</v>
      </c>
      <c r="K6" s="25"/>
      <c r="L6" s="10" t="s">
        <v>400</v>
      </c>
      <c r="M6" s="10" t="s">
        <v>241</v>
      </c>
      <c r="N6" s="25" t="s">
        <v>382</v>
      </c>
      <c r="O6" s="25"/>
      <c r="P6" s="10" t="s">
        <v>394</v>
      </c>
      <c r="Q6" s="10" t="s">
        <v>395</v>
      </c>
      <c r="R6" s="25" t="s">
        <v>1416</v>
      </c>
      <c r="S6" s="25"/>
      <c r="T6" s="9" t="str">
        <f>"695,0"</f>
        <v>695,0</v>
      </c>
      <c r="U6" s="10" t="str">
        <f>"447,8580"</f>
        <v>447,8580</v>
      </c>
      <c r="V6" s="9" t="s">
        <v>799</v>
      </c>
    </row>
    <row r="7" spans="1:22" x14ac:dyDescent="0.2">
      <c r="A7" s="14" t="s">
        <v>1417</v>
      </c>
      <c r="B7" s="14" t="s">
        <v>1436</v>
      </c>
      <c r="C7" s="14" t="s">
        <v>1418</v>
      </c>
      <c r="D7" s="14" t="s">
        <v>1419</v>
      </c>
      <c r="E7" s="14" t="str">
        <f>"0,6507"</f>
        <v>0,6507</v>
      </c>
      <c r="F7" s="14" t="s">
        <v>65</v>
      </c>
      <c r="G7" s="14" t="s">
        <v>66</v>
      </c>
      <c r="H7" s="15" t="s">
        <v>508</v>
      </c>
      <c r="I7" s="15" t="s">
        <v>508</v>
      </c>
      <c r="J7" s="15" t="s">
        <v>508</v>
      </c>
      <c r="K7" s="15"/>
      <c r="L7" s="15" t="s">
        <v>264</v>
      </c>
      <c r="M7" s="15"/>
      <c r="N7" s="15"/>
      <c r="O7" s="15"/>
      <c r="P7" s="15" t="s">
        <v>507</v>
      </c>
      <c r="Q7" s="15"/>
      <c r="R7" s="15"/>
      <c r="S7" s="15"/>
      <c r="T7" s="14" t="str">
        <f>"0,0"</f>
        <v>0,0</v>
      </c>
      <c r="U7" s="16" t="str">
        <f>"0,0000"</f>
        <v>0,0000</v>
      </c>
      <c r="V7" s="14"/>
    </row>
    <row r="9" spans="1:22" ht="15" x14ac:dyDescent="0.2">
      <c r="A9" s="62" t="s">
        <v>70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1:22" x14ac:dyDescent="0.2">
      <c r="A10" s="6" t="s">
        <v>1420</v>
      </c>
      <c r="B10" s="6" t="s">
        <v>1443</v>
      </c>
      <c r="C10" s="6" t="s">
        <v>1421</v>
      </c>
      <c r="D10" s="6" t="s">
        <v>1422</v>
      </c>
      <c r="E10" s="6" t="str">
        <f>"0,6321"</f>
        <v>0,6321</v>
      </c>
      <c r="F10" s="6" t="s">
        <v>14</v>
      </c>
      <c r="G10" s="6" t="s">
        <v>1423</v>
      </c>
      <c r="H10" s="7" t="s">
        <v>1424</v>
      </c>
      <c r="I10" s="7" t="s">
        <v>1424</v>
      </c>
      <c r="J10" s="8" t="s">
        <v>1424</v>
      </c>
      <c r="K10" s="7"/>
      <c r="L10" s="7" t="s">
        <v>280</v>
      </c>
      <c r="M10" s="8" t="s">
        <v>280</v>
      </c>
      <c r="N10" s="7" t="s">
        <v>388</v>
      </c>
      <c r="O10" s="7"/>
      <c r="P10" s="8" t="s">
        <v>442</v>
      </c>
      <c r="Q10" s="8" t="s">
        <v>394</v>
      </c>
      <c r="R10" s="7" t="s">
        <v>395</v>
      </c>
      <c r="S10" s="7"/>
      <c r="T10" s="6" t="str">
        <f>"770,0"</f>
        <v>770,0</v>
      </c>
      <c r="U10" s="8" t="str">
        <f>"486,7170"</f>
        <v>486,7170</v>
      </c>
      <c r="V10" s="6" t="s">
        <v>1425</v>
      </c>
    </row>
    <row r="12" spans="1:22" ht="15" x14ac:dyDescent="0.2">
      <c r="A12" s="62" t="s">
        <v>81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spans="1:22" x14ac:dyDescent="0.2">
      <c r="A13" s="6" t="s">
        <v>1426</v>
      </c>
      <c r="B13" s="6" t="s">
        <v>1443</v>
      </c>
      <c r="C13" s="6" t="s">
        <v>1427</v>
      </c>
      <c r="D13" s="6" t="s">
        <v>1428</v>
      </c>
      <c r="E13" s="6" t="str">
        <f>"0,5892"</f>
        <v>0,5892</v>
      </c>
      <c r="F13" s="6" t="s">
        <v>14</v>
      </c>
      <c r="G13" s="6" t="s">
        <v>259</v>
      </c>
      <c r="H13" s="7" t="s">
        <v>995</v>
      </c>
      <c r="I13" s="8" t="s">
        <v>1270</v>
      </c>
      <c r="J13" s="8" t="s">
        <v>497</v>
      </c>
      <c r="K13" s="7"/>
      <c r="L13" s="7" t="s">
        <v>442</v>
      </c>
      <c r="M13" s="8" t="s">
        <v>442</v>
      </c>
      <c r="N13" s="7" t="s">
        <v>471</v>
      </c>
      <c r="O13" s="7"/>
      <c r="P13" s="8" t="s">
        <v>405</v>
      </c>
      <c r="Q13" s="8" t="s">
        <v>995</v>
      </c>
      <c r="R13" s="7" t="s">
        <v>496</v>
      </c>
      <c r="S13" s="7"/>
      <c r="T13" s="6" t="str">
        <f>"822,5"</f>
        <v>822,5</v>
      </c>
      <c r="U13" s="8" t="str">
        <f>"484,6170"</f>
        <v>484,6170</v>
      </c>
      <c r="V13" s="6" t="s">
        <v>62</v>
      </c>
    </row>
    <row r="15" spans="1:22" ht="15" x14ac:dyDescent="0.2">
      <c r="A15" s="62" t="s">
        <v>182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  <row r="16" spans="1:22" x14ac:dyDescent="0.2">
      <c r="A16" s="6" t="s">
        <v>1429</v>
      </c>
      <c r="B16" s="6" t="s">
        <v>1436</v>
      </c>
      <c r="C16" s="6" t="s">
        <v>1430</v>
      </c>
      <c r="D16" s="6" t="s">
        <v>1431</v>
      </c>
      <c r="E16" s="6" t="str">
        <f>"0,5627"</f>
        <v>0,5627</v>
      </c>
      <c r="F16" s="6" t="s">
        <v>65</v>
      </c>
      <c r="G16" s="6" t="s">
        <v>66</v>
      </c>
      <c r="H16" s="8" t="s">
        <v>1402</v>
      </c>
      <c r="I16" s="8" t="s">
        <v>1388</v>
      </c>
      <c r="J16" s="7"/>
      <c r="K16" s="7"/>
      <c r="L16" s="8" t="s">
        <v>1354</v>
      </c>
      <c r="M16" s="8" t="s">
        <v>1402</v>
      </c>
      <c r="N16" s="8" t="s">
        <v>483</v>
      </c>
      <c r="O16" s="7"/>
      <c r="P16" s="7" t="s">
        <v>496</v>
      </c>
      <c r="Q16" s="7"/>
      <c r="R16" s="7"/>
      <c r="S16" s="7"/>
      <c r="T16" s="6" t="str">
        <f>"0,0"</f>
        <v>0,0</v>
      </c>
      <c r="U16" s="8" t="str">
        <f>"0,0000"</f>
        <v>0,0000</v>
      </c>
      <c r="V16" s="6" t="s">
        <v>595</v>
      </c>
    </row>
    <row r="17" spans="1:22" x14ac:dyDescent="0.2">
      <c r="G17" s="3"/>
      <c r="T17" s="3"/>
      <c r="V17" s="3"/>
    </row>
    <row r="18" spans="1:22" ht="15" x14ac:dyDescent="0.2">
      <c r="F18" s="17" t="s">
        <v>96</v>
      </c>
      <c r="G18" s="3"/>
      <c r="T18" s="3"/>
      <c r="V18" s="3"/>
    </row>
    <row r="19" spans="1:22" ht="15" x14ac:dyDescent="0.2">
      <c r="F19" s="17" t="s">
        <v>97</v>
      </c>
      <c r="G19" s="3"/>
      <c r="T19" s="3"/>
      <c r="V19" s="3"/>
    </row>
    <row r="20" spans="1:22" ht="15" x14ac:dyDescent="0.2">
      <c r="F20" s="17" t="s">
        <v>98</v>
      </c>
      <c r="G20" s="3"/>
      <c r="T20" s="3"/>
      <c r="V20" s="3"/>
    </row>
    <row r="21" spans="1:22" ht="15" x14ac:dyDescent="0.2">
      <c r="F21" s="17"/>
      <c r="G21" s="3"/>
      <c r="T21" s="3"/>
      <c r="V21" s="3"/>
    </row>
    <row r="22" spans="1:22" x14ac:dyDescent="0.2">
      <c r="G22" s="3"/>
      <c r="T22" s="3"/>
      <c r="V22" s="3"/>
    </row>
    <row r="23" spans="1:22" ht="18" x14ac:dyDescent="0.25">
      <c r="A23" s="18" t="s">
        <v>99</v>
      </c>
      <c r="B23" s="18"/>
      <c r="C23" s="18"/>
      <c r="G23" s="3"/>
      <c r="T23" s="3"/>
      <c r="V23" s="3"/>
    </row>
    <row r="24" spans="1:22" ht="15" x14ac:dyDescent="0.2">
      <c r="A24" s="19" t="s">
        <v>100</v>
      </c>
      <c r="B24" s="19"/>
      <c r="C24" s="19"/>
      <c r="G24" s="3"/>
      <c r="T24" s="3"/>
      <c r="V24" s="3"/>
    </row>
    <row r="25" spans="1:22" ht="14.25" x14ac:dyDescent="0.2">
      <c r="A25" s="21"/>
      <c r="B25" s="21"/>
      <c r="C25" s="22" t="s">
        <v>552</v>
      </c>
      <c r="G25" s="3"/>
      <c r="T25" s="3"/>
      <c r="V25" s="3"/>
    </row>
    <row r="26" spans="1:22" ht="15" x14ac:dyDescent="0.2">
      <c r="A26" s="23" t="s">
        <v>101</v>
      </c>
      <c r="B26" s="23"/>
      <c r="C26" s="23" t="s">
        <v>102</v>
      </c>
      <c r="D26" s="23" t="s">
        <v>103</v>
      </c>
      <c r="E26" s="23" t="s">
        <v>104</v>
      </c>
      <c r="F26" s="23" t="s">
        <v>291</v>
      </c>
      <c r="G26" s="3"/>
      <c r="T26" s="3"/>
      <c r="V26" s="3"/>
    </row>
    <row r="27" spans="1:22" x14ac:dyDescent="0.2">
      <c r="A27" s="20" t="s">
        <v>1432</v>
      </c>
      <c r="B27" s="20"/>
      <c r="C27" s="4" t="s">
        <v>554</v>
      </c>
      <c r="D27" s="4" t="s">
        <v>83</v>
      </c>
      <c r="E27" s="4" t="s">
        <v>1433</v>
      </c>
      <c r="F27" s="24" t="s">
        <v>1434</v>
      </c>
      <c r="G27" s="3"/>
      <c r="T27" s="3"/>
      <c r="V27" s="3"/>
    </row>
    <row r="28" spans="1:22" x14ac:dyDescent="0.2">
      <c r="G28" s="3"/>
      <c r="T28" s="3"/>
      <c r="V28" s="3"/>
    </row>
    <row r="29" spans="1:22" x14ac:dyDescent="0.2">
      <c r="G29" s="3"/>
      <c r="T29" s="3"/>
      <c r="V29" s="3"/>
    </row>
    <row r="30" spans="1:22" x14ac:dyDescent="0.2">
      <c r="G30" s="3"/>
      <c r="T30" s="3"/>
      <c r="V30" s="3"/>
    </row>
    <row r="31" spans="1:22" x14ac:dyDescent="0.2">
      <c r="G31" s="3"/>
      <c r="T31" s="3"/>
      <c r="V31" s="3"/>
    </row>
    <row r="32" spans="1:22" x14ac:dyDescent="0.2">
      <c r="G32" s="3"/>
      <c r="T32" s="3"/>
      <c r="V32" s="3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8"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A15:U15"/>
    <mergeCell ref="T3:T4"/>
    <mergeCell ref="U3:U4"/>
    <mergeCell ref="V3:V4"/>
    <mergeCell ref="A5:U5"/>
    <mergeCell ref="A9:U9"/>
    <mergeCell ref="A12:U12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497"/>
  <sheetViews>
    <sheetView topLeftCell="A4" zoomScale="80" zoomScaleNormal="80" workbookViewId="0">
      <selection activeCell="A26" sqref="A26:XFD28"/>
    </sheetView>
  </sheetViews>
  <sheetFormatPr defaultRowHeight="12.75" x14ac:dyDescent="0.2"/>
  <cols>
    <col min="1" max="1" width="26" style="4" bestFit="1" customWidth="1"/>
    <col min="2" max="2" width="15.28515625" style="4" customWidth="1"/>
    <col min="3" max="3" width="28.570312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3.42578125" style="4" bestFit="1" customWidth="1"/>
    <col min="8" max="8" width="5.7109375" style="3" customWidth="1"/>
    <col min="9" max="9" width="10.7109375" style="3" customWidth="1"/>
    <col min="10" max="10" width="11.5703125" style="4" customWidth="1"/>
    <col min="11" max="11" width="9.5703125" style="3" bestFit="1" customWidth="1"/>
    <col min="12" max="12" width="17.85546875" style="4" bestFit="1" customWidth="1"/>
    <col min="13" max="16384" width="9.140625" style="3"/>
  </cols>
  <sheetData>
    <row r="1" spans="1:12" s="2" customFormat="1" ht="29.1" customHeight="1" x14ac:dyDescent="0.2">
      <c r="A1" s="40" t="s">
        <v>221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s="2" customFormat="1" ht="62.1" customHeight="1" thickBo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1" customFormat="1" ht="12.75" customHeight="1" x14ac:dyDescent="0.2">
      <c r="A3" s="48" t="s">
        <v>0</v>
      </c>
      <c r="B3" s="46" t="s">
        <v>1440</v>
      </c>
      <c r="C3" s="50" t="s">
        <v>5</v>
      </c>
      <c r="D3" s="50" t="s">
        <v>7</v>
      </c>
      <c r="E3" s="46" t="s">
        <v>8</v>
      </c>
      <c r="F3" s="46" t="s">
        <v>4</v>
      </c>
      <c r="G3" s="46" t="s">
        <v>6</v>
      </c>
      <c r="H3" s="52" t="s">
        <v>1</v>
      </c>
      <c r="I3" s="53"/>
      <c r="J3" s="46" t="s">
        <v>115</v>
      </c>
      <c r="K3" s="46" t="s">
        <v>3</v>
      </c>
      <c r="L3" s="54" t="s">
        <v>2</v>
      </c>
    </row>
    <row r="4" spans="1:12" s="1" customFormat="1" ht="21" customHeight="1" thickBot="1" x14ac:dyDescent="0.25">
      <c r="A4" s="49"/>
      <c r="B4" s="47"/>
      <c r="C4" s="51"/>
      <c r="D4" s="51"/>
      <c r="E4" s="47"/>
      <c r="F4" s="47"/>
      <c r="G4" s="47"/>
      <c r="H4" s="29" t="s">
        <v>219</v>
      </c>
      <c r="I4" s="29" t="s">
        <v>220</v>
      </c>
      <c r="J4" s="47"/>
      <c r="K4" s="47"/>
      <c r="L4" s="55"/>
    </row>
    <row r="5" spans="1:12" ht="15" x14ac:dyDescent="0.2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x14ac:dyDescent="0.2">
      <c r="A6" s="6" t="s">
        <v>11</v>
      </c>
      <c r="B6" s="6" t="s">
        <v>1445</v>
      </c>
      <c r="C6" s="6" t="s">
        <v>12</v>
      </c>
      <c r="D6" s="6" t="s">
        <v>13</v>
      </c>
      <c r="E6" s="6" t="str">
        <f>"0,7503"</f>
        <v>0,7503</v>
      </c>
      <c r="F6" s="6" t="s">
        <v>14</v>
      </c>
      <c r="G6" s="6" t="s">
        <v>15</v>
      </c>
      <c r="H6" s="8" t="s">
        <v>16</v>
      </c>
      <c r="I6" s="8" t="s">
        <v>17</v>
      </c>
      <c r="J6" s="6" t="str">
        <f>"5467,5"</f>
        <v>5467,5</v>
      </c>
      <c r="K6" s="8" t="str">
        <f>"4102,5386"</f>
        <v>4102,5386</v>
      </c>
      <c r="L6" s="6" t="s">
        <v>18</v>
      </c>
    </row>
    <row r="8" spans="1:12" ht="15" x14ac:dyDescent="0.2">
      <c r="A8" s="32" t="s">
        <v>19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A9" s="6" t="s">
        <v>20</v>
      </c>
      <c r="B9" s="6" t="s">
        <v>1443</v>
      </c>
      <c r="C9" s="6" t="s">
        <v>21</v>
      </c>
      <c r="D9" s="6" t="s">
        <v>22</v>
      </c>
      <c r="E9" s="6" t="str">
        <f>"0,7125"</f>
        <v>0,7125</v>
      </c>
      <c r="F9" s="6" t="s">
        <v>14</v>
      </c>
      <c r="G9" s="6" t="s">
        <v>15</v>
      </c>
      <c r="H9" s="8" t="s">
        <v>23</v>
      </c>
      <c r="I9" s="8" t="s">
        <v>24</v>
      </c>
      <c r="J9" s="6" t="str">
        <f>"2610,0"</f>
        <v>2610,0</v>
      </c>
      <c r="K9" s="8" t="str">
        <f>"1859,6249"</f>
        <v>1859,6249</v>
      </c>
      <c r="L9" s="6" t="s">
        <v>25</v>
      </c>
    </row>
    <row r="11" spans="1:12" ht="15" x14ac:dyDescent="0.2">
      <c r="A11" s="32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x14ac:dyDescent="0.2">
      <c r="A12" s="9" t="s">
        <v>28</v>
      </c>
      <c r="B12" s="9" t="s">
        <v>1445</v>
      </c>
      <c r="C12" s="9" t="s">
        <v>29</v>
      </c>
      <c r="D12" s="9" t="s">
        <v>30</v>
      </c>
      <c r="E12" s="9" t="str">
        <f>"0,6623"</f>
        <v>0,6623</v>
      </c>
      <c r="F12" s="9" t="s">
        <v>14</v>
      </c>
      <c r="G12" s="9" t="s">
        <v>31</v>
      </c>
      <c r="H12" s="10" t="s">
        <v>32</v>
      </c>
      <c r="I12" s="10" t="s">
        <v>33</v>
      </c>
      <c r="J12" s="9" t="str">
        <f>"6160,0"</f>
        <v>6160,0</v>
      </c>
      <c r="K12" s="10" t="str">
        <f>"4080,0760"</f>
        <v>4080,0760</v>
      </c>
      <c r="L12" s="9"/>
    </row>
    <row r="13" spans="1:12" x14ac:dyDescent="0.2">
      <c r="A13" s="11" t="s">
        <v>36</v>
      </c>
      <c r="B13" s="11" t="s">
        <v>1445</v>
      </c>
      <c r="C13" s="11" t="s">
        <v>37</v>
      </c>
      <c r="D13" s="11" t="s">
        <v>38</v>
      </c>
      <c r="E13" s="11" t="str">
        <f>"0,6529"</f>
        <v>0,6529</v>
      </c>
      <c r="F13" s="11" t="s">
        <v>39</v>
      </c>
      <c r="G13" s="11" t="s">
        <v>40</v>
      </c>
      <c r="H13" s="13" t="s">
        <v>41</v>
      </c>
      <c r="I13" s="13" t="s">
        <v>42</v>
      </c>
      <c r="J13" s="11" t="str">
        <f>"4455,0"</f>
        <v>4455,0</v>
      </c>
      <c r="K13" s="13" t="str">
        <f>"2908,6694"</f>
        <v>2908,6694</v>
      </c>
      <c r="L13" s="11"/>
    </row>
    <row r="14" spans="1:12" x14ac:dyDescent="0.2">
      <c r="A14" s="14" t="s">
        <v>43</v>
      </c>
      <c r="B14" s="14" t="s">
        <v>1444</v>
      </c>
      <c r="C14" s="14" t="s">
        <v>44</v>
      </c>
      <c r="D14" s="14" t="s">
        <v>45</v>
      </c>
      <c r="E14" s="14" t="str">
        <f>"0,6761"</f>
        <v>0,6761</v>
      </c>
      <c r="F14" s="14" t="s">
        <v>46</v>
      </c>
      <c r="G14" s="14" t="s">
        <v>47</v>
      </c>
      <c r="H14" s="16" t="s">
        <v>48</v>
      </c>
      <c r="I14" s="16" t="s">
        <v>49</v>
      </c>
      <c r="J14" s="14" t="str">
        <f>"3487,5"</f>
        <v>3487,5</v>
      </c>
      <c r="K14" s="16" t="str">
        <f>"2357,8988"</f>
        <v>2357,8988</v>
      </c>
      <c r="L14" s="14"/>
    </row>
    <row r="16" spans="1:12" ht="15" x14ac:dyDescent="0.2">
      <c r="A16" s="32" t="s">
        <v>50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x14ac:dyDescent="0.2">
      <c r="A17" s="9" t="s">
        <v>51</v>
      </c>
      <c r="B17" s="9" t="s">
        <v>1445</v>
      </c>
      <c r="C17" s="9" t="s">
        <v>52</v>
      </c>
      <c r="D17" s="9" t="s">
        <v>53</v>
      </c>
      <c r="E17" s="9" t="str">
        <f>"0,6303"</f>
        <v>0,6303</v>
      </c>
      <c r="F17" s="9" t="s">
        <v>14</v>
      </c>
      <c r="G17" s="9" t="s">
        <v>54</v>
      </c>
      <c r="H17" s="10" t="s">
        <v>55</v>
      </c>
      <c r="I17" s="10" t="s">
        <v>56</v>
      </c>
      <c r="J17" s="9" t="str">
        <f>"3675,0"</f>
        <v>3675,0</v>
      </c>
      <c r="K17" s="10" t="str">
        <f>"2316,5362"</f>
        <v>2316,5362</v>
      </c>
      <c r="L17" s="9"/>
    </row>
    <row r="18" spans="1:12" x14ac:dyDescent="0.2">
      <c r="A18" s="11" t="s">
        <v>57</v>
      </c>
      <c r="B18" s="11" t="s">
        <v>1444</v>
      </c>
      <c r="C18" s="11" t="s">
        <v>58</v>
      </c>
      <c r="D18" s="11" t="s">
        <v>59</v>
      </c>
      <c r="E18" s="11" t="str">
        <f>"0,6273"</f>
        <v>0,6273</v>
      </c>
      <c r="F18" s="11" t="s">
        <v>14</v>
      </c>
      <c r="G18" s="11" t="s">
        <v>60</v>
      </c>
      <c r="H18" s="13" t="s">
        <v>55</v>
      </c>
      <c r="I18" s="13" t="s">
        <v>61</v>
      </c>
      <c r="J18" s="11" t="str">
        <f>"3237,5"</f>
        <v>3237,5</v>
      </c>
      <c r="K18" s="13" t="str">
        <f>"2030,7219"</f>
        <v>2030,7219</v>
      </c>
      <c r="L18" s="11"/>
    </row>
    <row r="19" spans="1:12" x14ac:dyDescent="0.2">
      <c r="A19" s="11" t="s">
        <v>1435</v>
      </c>
      <c r="B19" s="11" t="s">
        <v>1443</v>
      </c>
      <c r="C19" s="11" t="s">
        <v>63</v>
      </c>
      <c r="D19" s="11" t="s">
        <v>64</v>
      </c>
      <c r="E19" s="11" t="str">
        <f>"0,6308"</f>
        <v>0,6308</v>
      </c>
      <c r="F19" s="11" t="s">
        <v>65</v>
      </c>
      <c r="G19" s="11" t="s">
        <v>66</v>
      </c>
      <c r="H19" s="13" t="s">
        <v>55</v>
      </c>
      <c r="I19" s="13" t="s">
        <v>153</v>
      </c>
      <c r="J19" s="11" t="str">
        <f>"2712,5"</f>
        <v>2712,5</v>
      </c>
      <c r="K19" s="13" t="str">
        <f>"1711,0450"</f>
        <v>1711,0450</v>
      </c>
      <c r="L19" s="11"/>
    </row>
    <row r="20" spans="1:12" x14ac:dyDescent="0.2">
      <c r="A20" s="14" t="s">
        <v>51</v>
      </c>
      <c r="B20" s="14" t="s">
        <v>1445</v>
      </c>
      <c r="C20" s="14" t="s">
        <v>69</v>
      </c>
      <c r="D20" s="14" t="s">
        <v>53</v>
      </c>
      <c r="E20" s="14" t="str">
        <f>"0,6303"</f>
        <v>0,6303</v>
      </c>
      <c r="F20" s="14" t="s">
        <v>14</v>
      </c>
      <c r="G20" s="14" t="s">
        <v>54</v>
      </c>
      <c r="H20" s="16" t="s">
        <v>55</v>
      </c>
      <c r="I20" s="16" t="s">
        <v>56</v>
      </c>
      <c r="J20" s="14" t="str">
        <f>"3675,0"</f>
        <v>3675,0</v>
      </c>
      <c r="K20" s="16" t="str">
        <f>"2990,6483"</f>
        <v>2990,6483</v>
      </c>
      <c r="L20" s="14"/>
    </row>
    <row r="22" spans="1:12" ht="15" x14ac:dyDescent="0.2">
      <c r="A22" s="32" t="s">
        <v>70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x14ac:dyDescent="0.2">
      <c r="A23" s="9" t="s">
        <v>71</v>
      </c>
      <c r="B23" s="9" t="s">
        <v>1444</v>
      </c>
      <c r="C23" s="9" t="s">
        <v>72</v>
      </c>
      <c r="D23" s="9" t="s">
        <v>73</v>
      </c>
      <c r="E23" s="9" t="str">
        <f>"0,6079"</f>
        <v>0,6079</v>
      </c>
      <c r="F23" s="9" t="s">
        <v>46</v>
      </c>
      <c r="G23" s="9" t="s">
        <v>47</v>
      </c>
      <c r="H23" s="10" t="s">
        <v>74</v>
      </c>
      <c r="I23" s="10" t="s">
        <v>75</v>
      </c>
      <c r="J23" s="9" t="str">
        <f>"3515,0"</f>
        <v>3515,0</v>
      </c>
      <c r="K23" s="10" t="str">
        <f>"2136,5928"</f>
        <v>2136,5928</v>
      </c>
      <c r="L23" s="9"/>
    </row>
    <row r="24" spans="1:12" x14ac:dyDescent="0.2">
      <c r="A24" s="14" t="s">
        <v>76</v>
      </c>
      <c r="B24" s="14" t="s">
        <v>1437</v>
      </c>
      <c r="C24" s="14" t="s">
        <v>77</v>
      </c>
      <c r="D24" s="14" t="s">
        <v>78</v>
      </c>
      <c r="E24" s="14" t="str">
        <f>"0,5949"</f>
        <v>0,5949</v>
      </c>
      <c r="F24" s="14" t="s">
        <v>65</v>
      </c>
      <c r="G24" s="14" t="s">
        <v>66</v>
      </c>
      <c r="H24" s="16" t="s">
        <v>79</v>
      </c>
      <c r="I24" s="16" t="s">
        <v>80</v>
      </c>
      <c r="J24" s="14" t="str">
        <f>"1995,0"</f>
        <v>1995,0</v>
      </c>
      <c r="K24" s="16" t="str">
        <f>"1210,5620"</f>
        <v>1210,5620</v>
      </c>
      <c r="L24" s="14"/>
    </row>
    <row r="26" spans="1:12" ht="15" x14ac:dyDescent="0.2">
      <c r="A26" s="32" t="s">
        <v>84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x14ac:dyDescent="0.2">
      <c r="A27" s="9" t="s">
        <v>85</v>
      </c>
      <c r="B27" s="9" t="s">
        <v>1443</v>
      </c>
      <c r="C27" s="9" t="s">
        <v>86</v>
      </c>
      <c r="D27" s="9" t="s">
        <v>87</v>
      </c>
      <c r="E27" s="9" t="str">
        <f>"0,5537"</f>
        <v>0,5537</v>
      </c>
      <c r="F27" s="9" t="s">
        <v>14</v>
      </c>
      <c r="G27" s="9" t="s">
        <v>54</v>
      </c>
      <c r="H27" s="10" t="s">
        <v>88</v>
      </c>
      <c r="I27" s="10" t="s">
        <v>89</v>
      </c>
      <c r="J27" s="9" t="str">
        <f>"3055,0"</f>
        <v>3055,0</v>
      </c>
      <c r="K27" s="10" t="str">
        <f>"1691,7062"</f>
        <v>1691,7062</v>
      </c>
      <c r="L27" s="9"/>
    </row>
    <row r="28" spans="1:12" x14ac:dyDescent="0.2">
      <c r="A28" s="14" t="s">
        <v>90</v>
      </c>
      <c r="B28" s="14" t="s">
        <v>1444</v>
      </c>
      <c r="C28" s="14" t="s">
        <v>91</v>
      </c>
      <c r="D28" s="14" t="s">
        <v>92</v>
      </c>
      <c r="E28" s="14" t="str">
        <f>"0,5568"</f>
        <v>0,5568</v>
      </c>
      <c r="F28" s="14" t="s">
        <v>14</v>
      </c>
      <c r="G28" s="14" t="s">
        <v>93</v>
      </c>
      <c r="H28" s="16" t="s">
        <v>94</v>
      </c>
      <c r="I28" s="16" t="s">
        <v>95</v>
      </c>
      <c r="J28" s="14" t="str">
        <f>"3450,0"</f>
        <v>3450,0</v>
      </c>
      <c r="K28" s="16" t="str">
        <f>"1959,4671"</f>
        <v>1959,4671</v>
      </c>
      <c r="L28" s="14"/>
    </row>
    <row r="30" spans="1:12" ht="15" x14ac:dyDescent="0.2">
      <c r="F30" s="17" t="s">
        <v>96</v>
      </c>
      <c r="G30" s="3"/>
      <c r="J30" s="3"/>
      <c r="L30" s="3"/>
    </row>
    <row r="31" spans="1:12" ht="15" x14ac:dyDescent="0.2">
      <c r="F31" s="17" t="s">
        <v>97</v>
      </c>
      <c r="G31" s="3"/>
      <c r="J31" s="3"/>
      <c r="L31" s="3"/>
    </row>
    <row r="32" spans="1:12" ht="15" x14ac:dyDescent="0.2">
      <c r="F32" s="17" t="s">
        <v>98</v>
      </c>
      <c r="G32" s="3"/>
      <c r="J32" s="3"/>
      <c r="L32" s="3"/>
    </row>
    <row r="33" spans="1:12" ht="15" x14ac:dyDescent="0.2">
      <c r="F33" s="17"/>
      <c r="G33" s="3"/>
      <c r="J33" s="3"/>
      <c r="L33" s="3"/>
    </row>
    <row r="34" spans="1:12" x14ac:dyDescent="0.2">
      <c r="G34" s="3"/>
      <c r="J34" s="3"/>
      <c r="L34" s="3"/>
    </row>
    <row r="35" spans="1:12" ht="18" x14ac:dyDescent="0.25">
      <c r="A35" s="18" t="s">
        <v>99</v>
      </c>
      <c r="B35" s="18"/>
      <c r="C35" s="18"/>
      <c r="G35" s="3"/>
      <c r="J35" s="3"/>
      <c r="L35" s="3"/>
    </row>
    <row r="36" spans="1:12" ht="15" x14ac:dyDescent="0.2">
      <c r="A36" s="19" t="s">
        <v>100</v>
      </c>
      <c r="B36" s="19"/>
      <c r="C36" s="19"/>
      <c r="G36" s="3"/>
      <c r="J36" s="3"/>
      <c r="L36" s="3"/>
    </row>
    <row r="37" spans="1:12" ht="14.25" x14ac:dyDescent="0.2">
      <c r="A37" s="21"/>
      <c r="B37" s="21"/>
      <c r="C37" s="22" t="s">
        <v>107</v>
      </c>
      <c r="G37" s="3"/>
      <c r="J37" s="3"/>
      <c r="L37" s="3"/>
    </row>
    <row r="38" spans="1:12" ht="15" x14ac:dyDescent="0.2">
      <c r="A38" s="23" t="s">
        <v>101</v>
      </c>
      <c r="B38" s="23"/>
      <c r="C38" s="23" t="s">
        <v>102</v>
      </c>
      <c r="D38" s="23" t="s">
        <v>103</v>
      </c>
      <c r="E38" s="23" t="s">
        <v>104</v>
      </c>
      <c r="F38" s="23" t="s">
        <v>105</v>
      </c>
      <c r="G38" s="3"/>
      <c r="J38" s="3"/>
      <c r="L38" s="3"/>
    </row>
    <row r="39" spans="1:12" x14ac:dyDescent="0.2">
      <c r="A39" s="20" t="s">
        <v>10</v>
      </c>
      <c r="B39" s="20"/>
      <c r="C39" s="4" t="s">
        <v>107</v>
      </c>
      <c r="D39" s="4" t="s">
        <v>16</v>
      </c>
      <c r="E39" s="4" t="s">
        <v>108</v>
      </c>
      <c r="F39" s="24" t="s">
        <v>109</v>
      </c>
      <c r="G39" s="3"/>
      <c r="J39" s="3"/>
      <c r="L39" s="3"/>
    </row>
    <row r="40" spans="1:12" x14ac:dyDescent="0.2">
      <c r="A40" s="20" t="s">
        <v>27</v>
      </c>
      <c r="B40" s="20"/>
      <c r="C40" s="4" t="s">
        <v>107</v>
      </c>
      <c r="D40" s="4" t="s">
        <v>41</v>
      </c>
      <c r="E40" s="4" t="s">
        <v>110</v>
      </c>
      <c r="F40" s="24" t="s">
        <v>111</v>
      </c>
      <c r="G40" s="3"/>
      <c r="J40" s="3"/>
      <c r="L40" s="3"/>
    </row>
    <row r="41" spans="1:12" x14ac:dyDescent="0.2">
      <c r="A41" s="20" t="s">
        <v>35</v>
      </c>
      <c r="B41" s="20"/>
      <c r="C41" s="4" t="s">
        <v>107</v>
      </c>
      <c r="D41" s="4" t="s">
        <v>41</v>
      </c>
      <c r="E41" s="4" t="s">
        <v>112</v>
      </c>
      <c r="F41" s="24" t="s">
        <v>113</v>
      </c>
      <c r="G41" s="3"/>
      <c r="J41" s="3"/>
      <c r="L41" s="3"/>
    </row>
    <row r="42" spans="1:12" x14ac:dyDescent="0.2">
      <c r="G42" s="3"/>
      <c r="J42" s="3"/>
      <c r="L42" s="3"/>
    </row>
    <row r="43" spans="1:12" x14ac:dyDescent="0.2">
      <c r="G43" s="3"/>
      <c r="J43" s="3"/>
      <c r="L43" s="3"/>
    </row>
    <row r="44" spans="1:12" x14ac:dyDescent="0.2">
      <c r="G44" s="3"/>
      <c r="J44" s="3"/>
      <c r="L44" s="3"/>
    </row>
    <row r="45" spans="1:12" x14ac:dyDescent="0.2">
      <c r="G45" s="3"/>
      <c r="J45" s="3"/>
      <c r="L45" s="3"/>
    </row>
    <row r="46" spans="1:12" x14ac:dyDescent="0.2">
      <c r="A46" s="3"/>
      <c r="B46" s="3"/>
      <c r="C46" s="3"/>
      <c r="D46" s="3"/>
      <c r="E46" s="3"/>
      <c r="F46" s="3"/>
      <c r="G46" s="3"/>
      <c r="J46" s="3"/>
      <c r="L46" s="3"/>
    </row>
    <row r="47" spans="1:12" x14ac:dyDescent="0.2">
      <c r="A47" s="3"/>
      <c r="B47" s="3"/>
      <c r="C47" s="3"/>
      <c r="D47" s="3"/>
      <c r="E47" s="3"/>
      <c r="F47" s="3"/>
      <c r="G47" s="3"/>
      <c r="J47" s="3"/>
      <c r="L47" s="3"/>
    </row>
    <row r="48" spans="1:12" x14ac:dyDescent="0.2">
      <c r="A48" s="3"/>
      <c r="B48" s="3"/>
      <c r="C48" s="3"/>
      <c r="D48" s="3"/>
      <c r="E48" s="3"/>
      <c r="F48" s="3"/>
      <c r="G48" s="3"/>
      <c r="J48" s="3"/>
      <c r="L48" s="3"/>
    </row>
    <row r="49" spans="1:12" x14ac:dyDescent="0.2">
      <c r="A49" s="3"/>
      <c r="B49" s="3"/>
      <c r="C49" s="3"/>
      <c r="D49" s="3"/>
      <c r="E49" s="3"/>
      <c r="F49" s="3"/>
      <c r="G49" s="3"/>
      <c r="J49" s="3"/>
      <c r="L49" s="3"/>
    </row>
    <row r="50" spans="1:12" x14ac:dyDescent="0.2">
      <c r="A50" s="3"/>
      <c r="B50" s="3"/>
      <c r="C50" s="3"/>
      <c r="D50" s="3"/>
      <c r="E50" s="3"/>
      <c r="F50" s="3"/>
      <c r="G50" s="3"/>
      <c r="J50" s="3"/>
      <c r="L50" s="3"/>
    </row>
    <row r="51" spans="1:12" x14ac:dyDescent="0.2">
      <c r="A51" s="3"/>
      <c r="B51" s="3"/>
      <c r="C51" s="3"/>
      <c r="D51" s="3"/>
      <c r="E51" s="3"/>
      <c r="F51" s="3"/>
      <c r="G51" s="3"/>
      <c r="J51" s="3"/>
      <c r="L51" s="3"/>
    </row>
    <row r="52" spans="1:12" x14ac:dyDescent="0.2">
      <c r="A52" s="3"/>
      <c r="B52" s="3"/>
      <c r="C52" s="3"/>
      <c r="D52" s="3"/>
      <c r="E52" s="3"/>
      <c r="F52" s="3"/>
      <c r="G52" s="3"/>
      <c r="J52" s="3"/>
      <c r="L52" s="3"/>
    </row>
    <row r="53" spans="1:12" x14ac:dyDescent="0.2">
      <c r="A53" s="3"/>
      <c r="B53" s="3"/>
      <c r="C53" s="3"/>
      <c r="D53" s="3"/>
      <c r="E53" s="3"/>
      <c r="F53" s="3"/>
      <c r="G53" s="3"/>
      <c r="J53" s="3"/>
      <c r="L53" s="3"/>
    </row>
    <row r="54" spans="1:12" x14ac:dyDescent="0.2">
      <c r="A54" s="3"/>
      <c r="B54" s="3"/>
      <c r="C54" s="3"/>
      <c r="D54" s="3"/>
      <c r="E54" s="3"/>
      <c r="F54" s="3"/>
      <c r="G54" s="3"/>
      <c r="J54" s="3"/>
      <c r="L54" s="3"/>
    </row>
    <row r="55" spans="1:12" x14ac:dyDescent="0.2">
      <c r="A55" s="3"/>
      <c r="B55" s="3"/>
      <c r="C55" s="3"/>
      <c r="D55" s="3"/>
      <c r="E55" s="3"/>
      <c r="F55" s="3"/>
      <c r="G55" s="3"/>
      <c r="J55" s="3"/>
      <c r="L55" s="3"/>
    </row>
    <row r="56" spans="1:12" x14ac:dyDescent="0.2">
      <c r="A56" s="3"/>
      <c r="B56" s="3"/>
      <c r="C56" s="3"/>
      <c r="D56" s="3"/>
      <c r="E56" s="3"/>
      <c r="F56" s="3"/>
      <c r="G56" s="3"/>
      <c r="J56" s="3"/>
      <c r="L56" s="3"/>
    </row>
    <row r="57" spans="1:12" x14ac:dyDescent="0.2">
      <c r="A57" s="3"/>
      <c r="B57" s="3"/>
      <c r="C57" s="3"/>
      <c r="D57" s="3"/>
      <c r="E57" s="3"/>
      <c r="F57" s="3"/>
      <c r="G57" s="3"/>
      <c r="J57" s="3"/>
      <c r="L57" s="3"/>
    </row>
    <row r="58" spans="1:12" x14ac:dyDescent="0.2">
      <c r="A58" s="3"/>
      <c r="B58" s="3"/>
      <c r="C58" s="3"/>
      <c r="D58" s="3"/>
      <c r="E58" s="3"/>
      <c r="F58" s="3"/>
      <c r="G58" s="3"/>
      <c r="J58" s="3"/>
      <c r="L58" s="3"/>
    </row>
    <row r="59" spans="1:12" x14ac:dyDescent="0.2">
      <c r="A59" s="3"/>
      <c r="B59" s="3"/>
      <c r="C59" s="3"/>
      <c r="D59" s="3"/>
      <c r="E59" s="3"/>
      <c r="F59" s="3"/>
      <c r="G59" s="3"/>
      <c r="J59" s="3"/>
      <c r="L59" s="3"/>
    </row>
    <row r="60" spans="1:12" x14ac:dyDescent="0.2">
      <c r="A60" s="3"/>
      <c r="B60" s="3"/>
      <c r="C60" s="3"/>
      <c r="D60" s="3"/>
      <c r="E60" s="3"/>
      <c r="F60" s="3"/>
      <c r="G60" s="3"/>
      <c r="J60" s="3"/>
      <c r="L60" s="3"/>
    </row>
    <row r="61" spans="1:12" x14ac:dyDescent="0.2">
      <c r="A61" s="3"/>
      <c r="B61" s="3"/>
      <c r="C61" s="3"/>
      <c r="D61" s="3"/>
      <c r="E61" s="3"/>
      <c r="F61" s="3"/>
      <c r="G61" s="3"/>
      <c r="J61" s="3"/>
      <c r="L61" s="3"/>
    </row>
    <row r="62" spans="1:12" x14ac:dyDescent="0.2">
      <c r="A62" s="3"/>
      <c r="B62" s="3"/>
      <c r="C62" s="3"/>
      <c r="D62" s="3"/>
      <c r="E62" s="3"/>
      <c r="F62" s="3"/>
      <c r="G62" s="3"/>
      <c r="J62" s="3"/>
      <c r="L62" s="3"/>
    </row>
    <row r="63" spans="1:12" x14ac:dyDescent="0.2">
      <c r="A63" s="3"/>
      <c r="B63" s="3"/>
      <c r="C63" s="3"/>
      <c r="D63" s="3"/>
      <c r="E63" s="3"/>
      <c r="F63" s="3"/>
      <c r="G63" s="3"/>
      <c r="J63" s="3"/>
      <c r="L63" s="3"/>
    </row>
    <row r="64" spans="1:12" x14ac:dyDescent="0.2">
      <c r="A64" s="3"/>
      <c r="B64" s="3"/>
      <c r="C64" s="3"/>
      <c r="D64" s="3"/>
      <c r="E64" s="3"/>
      <c r="F64" s="3"/>
      <c r="G64" s="3"/>
      <c r="J64" s="3"/>
      <c r="L64" s="3"/>
    </row>
    <row r="65" spans="1:12" x14ac:dyDescent="0.2">
      <c r="A65" s="3"/>
      <c r="B65" s="3"/>
      <c r="C65" s="3"/>
      <c r="D65" s="3"/>
      <c r="E65" s="3"/>
      <c r="F65" s="3"/>
      <c r="G65" s="3"/>
      <c r="J65" s="3"/>
      <c r="L65" s="3"/>
    </row>
    <row r="66" spans="1:12" x14ac:dyDescent="0.2">
      <c r="A66" s="3"/>
      <c r="B66" s="3"/>
      <c r="C66" s="3"/>
      <c r="D66" s="3"/>
      <c r="E66" s="3"/>
      <c r="F66" s="3"/>
      <c r="G66" s="3"/>
      <c r="J66" s="3"/>
      <c r="L66" s="3"/>
    </row>
    <row r="67" spans="1:12" x14ac:dyDescent="0.2">
      <c r="A67" s="3"/>
      <c r="B67" s="3"/>
      <c r="C67" s="3"/>
      <c r="D67" s="3"/>
      <c r="E67" s="3"/>
      <c r="F67" s="3"/>
      <c r="G67" s="3"/>
      <c r="J67" s="3"/>
      <c r="L67" s="3"/>
    </row>
    <row r="68" spans="1:12" x14ac:dyDescent="0.2">
      <c r="A68" s="3"/>
      <c r="B68" s="3"/>
      <c r="C68" s="3"/>
      <c r="D68" s="3"/>
      <c r="E68" s="3"/>
      <c r="F68" s="3"/>
      <c r="G68" s="3"/>
      <c r="J68" s="3"/>
      <c r="L68" s="3"/>
    </row>
    <row r="69" spans="1:12" x14ac:dyDescent="0.2">
      <c r="A69" s="3"/>
      <c r="B69" s="3"/>
      <c r="C69" s="3"/>
      <c r="D69" s="3"/>
      <c r="E69" s="3"/>
      <c r="F69" s="3"/>
      <c r="G69" s="3"/>
      <c r="J69" s="3"/>
      <c r="L69" s="3"/>
    </row>
    <row r="70" spans="1:12" x14ac:dyDescent="0.2">
      <c r="A70" s="3"/>
      <c r="B70" s="3"/>
      <c r="C70" s="3"/>
      <c r="D70" s="3"/>
      <c r="E70" s="3"/>
      <c r="F70" s="3"/>
      <c r="G70" s="3"/>
      <c r="J70" s="3"/>
      <c r="L70" s="3"/>
    </row>
    <row r="71" spans="1:12" x14ac:dyDescent="0.2">
      <c r="A71" s="3"/>
      <c r="B71" s="3"/>
      <c r="C71" s="3"/>
      <c r="D71" s="3"/>
      <c r="E71" s="3"/>
      <c r="F71" s="3"/>
      <c r="G71" s="3"/>
      <c r="J71" s="3"/>
      <c r="L71" s="3"/>
    </row>
    <row r="72" spans="1:12" x14ac:dyDescent="0.2">
      <c r="A72" s="3"/>
      <c r="B72" s="3"/>
      <c r="C72" s="3"/>
      <c r="D72" s="3"/>
      <c r="E72" s="3"/>
      <c r="F72" s="3"/>
      <c r="G72" s="3"/>
      <c r="J72" s="3"/>
      <c r="L72" s="3"/>
    </row>
    <row r="73" spans="1:12" x14ac:dyDescent="0.2">
      <c r="A73" s="3"/>
      <c r="B73" s="3"/>
      <c r="C73" s="3"/>
      <c r="D73" s="3"/>
      <c r="E73" s="3"/>
      <c r="F73" s="3"/>
      <c r="G73" s="3"/>
      <c r="J73" s="3"/>
      <c r="L73" s="3"/>
    </row>
    <row r="74" spans="1:12" x14ac:dyDescent="0.2">
      <c r="A74" s="3"/>
      <c r="B74" s="3"/>
      <c r="C74" s="3"/>
      <c r="D74" s="3"/>
      <c r="E74" s="3"/>
      <c r="F74" s="3"/>
      <c r="G74" s="3"/>
      <c r="J74" s="3"/>
      <c r="L74" s="3"/>
    </row>
    <row r="75" spans="1:12" x14ac:dyDescent="0.2">
      <c r="A75" s="3"/>
      <c r="B75" s="3"/>
      <c r="C75" s="3"/>
      <c r="D75" s="3"/>
      <c r="E75" s="3"/>
      <c r="F75" s="3"/>
      <c r="G75" s="3"/>
      <c r="J75" s="3"/>
      <c r="L75" s="3"/>
    </row>
    <row r="76" spans="1:12" x14ac:dyDescent="0.2">
      <c r="A76" s="3"/>
      <c r="B76" s="3"/>
      <c r="C76" s="3"/>
      <c r="D76" s="3"/>
      <c r="E76" s="3"/>
      <c r="F76" s="3"/>
      <c r="G76" s="3"/>
      <c r="J76" s="3"/>
      <c r="L76" s="3"/>
    </row>
    <row r="77" spans="1:12" x14ac:dyDescent="0.2">
      <c r="A77" s="3"/>
      <c r="B77" s="3"/>
      <c r="C77" s="3"/>
      <c r="D77" s="3"/>
      <c r="E77" s="3"/>
      <c r="F77" s="3"/>
      <c r="G77" s="3"/>
      <c r="J77" s="3"/>
      <c r="L77" s="3"/>
    </row>
    <row r="78" spans="1:12" x14ac:dyDescent="0.2">
      <c r="A78" s="3"/>
      <c r="B78" s="3"/>
      <c r="C78" s="3"/>
      <c r="D78" s="3"/>
      <c r="E78" s="3"/>
      <c r="F78" s="3"/>
      <c r="G78" s="3"/>
      <c r="J78" s="3"/>
      <c r="L78" s="3"/>
    </row>
    <row r="79" spans="1:12" x14ac:dyDescent="0.2">
      <c r="A79" s="3"/>
      <c r="B79" s="3"/>
      <c r="C79" s="3"/>
      <c r="D79" s="3"/>
      <c r="E79" s="3"/>
      <c r="F79" s="3"/>
      <c r="G79" s="3"/>
      <c r="J79" s="3"/>
      <c r="L79" s="3"/>
    </row>
    <row r="80" spans="1:12" x14ac:dyDescent="0.2">
      <c r="A80" s="3"/>
      <c r="B80" s="3"/>
      <c r="C80" s="3"/>
      <c r="D80" s="3"/>
      <c r="E80" s="3"/>
      <c r="F80" s="3"/>
      <c r="G80" s="3"/>
      <c r="J80" s="3"/>
      <c r="L80" s="3"/>
    </row>
    <row r="81" spans="1:12" x14ac:dyDescent="0.2">
      <c r="A81" s="3"/>
      <c r="B81" s="3"/>
      <c r="C81" s="3"/>
      <c r="D81" s="3"/>
      <c r="E81" s="3"/>
      <c r="F81" s="3"/>
      <c r="G81" s="3"/>
      <c r="J81" s="3"/>
      <c r="L81" s="3"/>
    </row>
    <row r="82" spans="1:12" x14ac:dyDescent="0.2">
      <c r="A82" s="3"/>
      <c r="B82" s="3"/>
      <c r="C82" s="3"/>
      <c r="D82" s="3"/>
      <c r="E82" s="3"/>
      <c r="F82" s="3"/>
      <c r="G82" s="3"/>
      <c r="J82" s="3"/>
      <c r="L82" s="3"/>
    </row>
    <row r="83" spans="1:12" x14ac:dyDescent="0.2">
      <c r="A83" s="3"/>
      <c r="B83" s="3"/>
      <c r="C83" s="3"/>
      <c r="D83" s="3"/>
      <c r="E83" s="3"/>
      <c r="F83" s="3"/>
      <c r="G83" s="3"/>
      <c r="J83" s="3"/>
      <c r="L83" s="3"/>
    </row>
    <row r="84" spans="1:12" x14ac:dyDescent="0.2">
      <c r="A84" s="3"/>
      <c r="B84" s="3"/>
      <c r="C84" s="3"/>
      <c r="D84" s="3"/>
      <c r="E84" s="3"/>
      <c r="F84" s="3"/>
      <c r="G84" s="3"/>
      <c r="J84" s="3"/>
      <c r="L84" s="3"/>
    </row>
    <row r="85" spans="1:12" x14ac:dyDescent="0.2">
      <c r="A85" s="3"/>
      <c r="B85" s="3"/>
      <c r="C85" s="3"/>
      <c r="D85" s="3"/>
      <c r="E85" s="3"/>
      <c r="F85" s="3"/>
      <c r="G85" s="3"/>
      <c r="J85" s="3"/>
      <c r="L85" s="3"/>
    </row>
    <row r="86" spans="1:12" x14ac:dyDescent="0.2">
      <c r="A86" s="3"/>
      <c r="B86" s="3"/>
      <c r="C86" s="3"/>
      <c r="D86" s="3"/>
      <c r="E86" s="3"/>
      <c r="F86" s="3"/>
      <c r="G86" s="3"/>
      <c r="J86" s="3"/>
      <c r="L86" s="3"/>
    </row>
    <row r="87" spans="1:12" x14ac:dyDescent="0.2">
      <c r="A87" s="3"/>
      <c r="B87" s="3"/>
      <c r="C87" s="3"/>
      <c r="D87" s="3"/>
      <c r="E87" s="3"/>
      <c r="F87" s="3"/>
      <c r="G87" s="3"/>
      <c r="J87" s="3"/>
      <c r="L87" s="3"/>
    </row>
    <row r="88" spans="1:12" x14ac:dyDescent="0.2">
      <c r="A88" s="3"/>
      <c r="B88" s="3"/>
      <c r="C88" s="3"/>
      <c r="D88" s="3"/>
      <c r="E88" s="3"/>
      <c r="F88" s="3"/>
      <c r="G88" s="3"/>
      <c r="J88" s="3"/>
      <c r="L88" s="3"/>
    </row>
    <row r="89" spans="1:12" x14ac:dyDescent="0.2">
      <c r="A89" s="3"/>
      <c r="B89" s="3"/>
      <c r="C89" s="3"/>
      <c r="D89" s="3"/>
      <c r="E89" s="3"/>
      <c r="F89" s="3"/>
      <c r="G89" s="3"/>
      <c r="J89" s="3"/>
      <c r="L89" s="3"/>
    </row>
    <row r="90" spans="1:12" x14ac:dyDescent="0.2">
      <c r="A90" s="3"/>
      <c r="B90" s="3"/>
      <c r="C90" s="3"/>
      <c r="D90" s="3"/>
      <c r="E90" s="3"/>
      <c r="F90" s="3"/>
      <c r="G90" s="3"/>
      <c r="J90" s="3"/>
      <c r="L90" s="3"/>
    </row>
    <row r="91" spans="1:12" x14ac:dyDescent="0.2">
      <c r="A91" s="3"/>
      <c r="B91" s="3"/>
      <c r="C91" s="3"/>
      <c r="D91" s="3"/>
      <c r="E91" s="3"/>
      <c r="F91" s="3"/>
      <c r="G91" s="3"/>
      <c r="J91" s="3"/>
      <c r="L91" s="3"/>
    </row>
    <row r="92" spans="1:12" x14ac:dyDescent="0.2">
      <c r="A92" s="3"/>
      <c r="B92" s="3"/>
      <c r="C92" s="3"/>
      <c r="D92" s="3"/>
      <c r="E92" s="3"/>
      <c r="F92" s="3"/>
      <c r="G92" s="3"/>
      <c r="J92" s="3"/>
      <c r="L92" s="3"/>
    </row>
    <row r="93" spans="1:12" x14ac:dyDescent="0.2">
      <c r="A93" s="3"/>
      <c r="B93" s="3"/>
      <c r="C93" s="3"/>
      <c r="D93" s="3"/>
      <c r="E93" s="3"/>
      <c r="F93" s="3"/>
      <c r="G93" s="3"/>
      <c r="J93" s="3"/>
      <c r="L93" s="3"/>
    </row>
    <row r="94" spans="1:12" x14ac:dyDescent="0.2">
      <c r="A94" s="3"/>
      <c r="B94" s="3"/>
      <c r="C94" s="3"/>
      <c r="D94" s="3"/>
      <c r="E94" s="3"/>
      <c r="F94" s="3"/>
      <c r="G94" s="3"/>
      <c r="J94" s="3"/>
      <c r="L94" s="3"/>
    </row>
    <row r="95" spans="1:12" x14ac:dyDescent="0.2">
      <c r="A95" s="3"/>
      <c r="B95" s="3"/>
      <c r="C95" s="3"/>
      <c r="D95" s="3"/>
      <c r="E95" s="3"/>
      <c r="F95" s="3"/>
      <c r="G95" s="3"/>
      <c r="J95" s="3"/>
      <c r="L95" s="3"/>
    </row>
    <row r="96" spans="1:12" x14ac:dyDescent="0.2">
      <c r="A96" s="3"/>
      <c r="B96" s="3"/>
      <c r="C96" s="3"/>
      <c r="D96" s="3"/>
      <c r="E96" s="3"/>
      <c r="F96" s="3"/>
      <c r="G96" s="3"/>
      <c r="J96" s="3"/>
      <c r="L96" s="3"/>
    </row>
    <row r="97" spans="1:12" x14ac:dyDescent="0.2">
      <c r="A97" s="3"/>
      <c r="B97" s="3"/>
      <c r="C97" s="3"/>
      <c r="D97" s="3"/>
      <c r="E97" s="3"/>
      <c r="F97" s="3"/>
      <c r="G97" s="3"/>
      <c r="J97" s="3"/>
      <c r="L97" s="3"/>
    </row>
    <row r="98" spans="1:12" x14ac:dyDescent="0.2">
      <c r="A98" s="3"/>
      <c r="B98" s="3"/>
      <c r="C98" s="3"/>
      <c r="D98" s="3"/>
      <c r="E98" s="3"/>
      <c r="F98" s="3"/>
      <c r="G98" s="3"/>
      <c r="J98" s="3"/>
      <c r="L98" s="3"/>
    </row>
    <row r="99" spans="1:12" x14ac:dyDescent="0.2">
      <c r="A99" s="3"/>
      <c r="B99" s="3"/>
      <c r="C99" s="3"/>
      <c r="D99" s="3"/>
      <c r="E99" s="3"/>
      <c r="F99" s="3"/>
      <c r="G99" s="3"/>
      <c r="J99" s="3"/>
      <c r="L99" s="3"/>
    </row>
    <row r="100" spans="1:12" x14ac:dyDescent="0.2">
      <c r="A100" s="3"/>
      <c r="B100" s="3"/>
      <c r="C100" s="3"/>
      <c r="D100" s="3"/>
      <c r="E100" s="3"/>
      <c r="F100" s="3"/>
      <c r="G100" s="3"/>
      <c r="J100" s="3"/>
      <c r="L100" s="3"/>
    </row>
    <row r="101" spans="1:12" x14ac:dyDescent="0.2">
      <c r="A101" s="3"/>
      <c r="B101" s="3"/>
      <c r="C101" s="3"/>
      <c r="D101" s="3"/>
      <c r="E101" s="3"/>
      <c r="F101" s="3"/>
      <c r="G101" s="3"/>
      <c r="J101" s="3"/>
      <c r="L101" s="3"/>
    </row>
    <row r="102" spans="1:12" x14ac:dyDescent="0.2">
      <c r="A102" s="3"/>
      <c r="B102" s="3"/>
      <c r="C102" s="3"/>
      <c r="D102" s="3"/>
      <c r="E102" s="3"/>
      <c r="F102" s="3"/>
      <c r="G102" s="3"/>
      <c r="J102" s="3"/>
      <c r="L102" s="3"/>
    </row>
    <row r="103" spans="1:12" x14ac:dyDescent="0.2">
      <c r="A103" s="3"/>
      <c r="B103" s="3"/>
      <c r="C103" s="3"/>
      <c r="D103" s="3"/>
      <c r="E103" s="3"/>
      <c r="F103" s="3"/>
      <c r="G103" s="3"/>
      <c r="J103" s="3"/>
      <c r="L103" s="3"/>
    </row>
    <row r="104" spans="1:12" x14ac:dyDescent="0.2">
      <c r="A104" s="3"/>
      <c r="B104" s="3"/>
      <c r="C104" s="3"/>
      <c r="D104" s="3"/>
      <c r="E104" s="3"/>
      <c r="F104" s="3"/>
      <c r="G104" s="3"/>
      <c r="J104" s="3"/>
      <c r="L104" s="3"/>
    </row>
    <row r="105" spans="1:12" x14ac:dyDescent="0.2">
      <c r="A105" s="3"/>
      <c r="B105" s="3"/>
      <c r="C105" s="3"/>
      <c r="D105" s="3"/>
      <c r="E105" s="3"/>
      <c r="F105" s="3"/>
      <c r="G105" s="3"/>
      <c r="J105" s="3"/>
      <c r="L105" s="3"/>
    </row>
    <row r="106" spans="1:12" x14ac:dyDescent="0.2">
      <c r="A106" s="3"/>
      <c r="B106" s="3"/>
      <c r="C106" s="3"/>
      <c r="D106" s="3"/>
      <c r="E106" s="3"/>
      <c r="F106" s="3"/>
      <c r="G106" s="3"/>
      <c r="J106" s="3"/>
      <c r="L106" s="3"/>
    </row>
    <row r="107" spans="1:12" x14ac:dyDescent="0.2">
      <c r="A107" s="3"/>
      <c r="B107" s="3"/>
      <c r="C107" s="3"/>
      <c r="D107" s="3"/>
      <c r="E107" s="3"/>
      <c r="F107" s="3"/>
      <c r="G107" s="3"/>
      <c r="J107" s="3"/>
      <c r="L107" s="3"/>
    </row>
    <row r="108" spans="1:12" x14ac:dyDescent="0.2">
      <c r="A108" s="3"/>
      <c r="B108" s="3"/>
      <c r="C108" s="3"/>
      <c r="D108" s="3"/>
      <c r="E108" s="3"/>
      <c r="F108" s="3"/>
      <c r="G108" s="3"/>
      <c r="J108" s="3"/>
      <c r="L108" s="3"/>
    </row>
    <row r="109" spans="1:12" x14ac:dyDescent="0.2">
      <c r="A109" s="3"/>
      <c r="B109" s="3"/>
      <c r="C109" s="3"/>
      <c r="D109" s="3"/>
      <c r="E109" s="3"/>
      <c r="F109" s="3"/>
      <c r="G109" s="3"/>
      <c r="J109" s="3"/>
      <c r="L109" s="3"/>
    </row>
    <row r="110" spans="1:12" x14ac:dyDescent="0.2">
      <c r="A110" s="3"/>
      <c r="B110" s="3"/>
      <c r="C110" s="3"/>
      <c r="D110" s="3"/>
      <c r="E110" s="3"/>
      <c r="F110" s="3"/>
      <c r="G110" s="3"/>
      <c r="J110" s="3"/>
      <c r="L110" s="3"/>
    </row>
    <row r="111" spans="1:12" x14ac:dyDescent="0.2">
      <c r="A111" s="3"/>
      <c r="B111" s="3"/>
      <c r="C111" s="3"/>
      <c r="D111" s="3"/>
      <c r="E111" s="3"/>
      <c r="F111" s="3"/>
      <c r="G111" s="3"/>
      <c r="J111" s="3"/>
      <c r="L111" s="3"/>
    </row>
    <row r="112" spans="1:12" x14ac:dyDescent="0.2">
      <c r="A112" s="3"/>
      <c r="B112" s="3"/>
      <c r="C112" s="3"/>
      <c r="D112" s="3"/>
      <c r="E112" s="3"/>
      <c r="F112" s="3"/>
      <c r="G112" s="3"/>
      <c r="J112" s="3"/>
      <c r="L112" s="3"/>
    </row>
    <row r="113" spans="1:12" x14ac:dyDescent="0.2">
      <c r="A113" s="3"/>
      <c r="B113" s="3"/>
      <c r="C113" s="3"/>
      <c r="D113" s="3"/>
      <c r="E113" s="3"/>
      <c r="F113" s="3"/>
      <c r="G113" s="3"/>
      <c r="J113" s="3"/>
      <c r="L113" s="3"/>
    </row>
    <row r="114" spans="1:12" x14ac:dyDescent="0.2">
      <c r="A114" s="3"/>
      <c r="B114" s="3"/>
      <c r="C114" s="3"/>
      <c r="D114" s="3"/>
      <c r="E114" s="3"/>
      <c r="F114" s="3"/>
      <c r="G114" s="3"/>
      <c r="J114" s="3"/>
      <c r="L114" s="3"/>
    </row>
    <row r="115" spans="1:12" x14ac:dyDescent="0.2">
      <c r="A115" s="3"/>
      <c r="B115" s="3"/>
      <c r="C115" s="3"/>
      <c r="D115" s="3"/>
      <c r="E115" s="3"/>
      <c r="F115" s="3"/>
      <c r="G115" s="3"/>
      <c r="J115" s="3"/>
      <c r="L115" s="3"/>
    </row>
    <row r="116" spans="1:12" x14ac:dyDescent="0.2">
      <c r="A116" s="3"/>
      <c r="B116" s="3"/>
      <c r="C116" s="3"/>
      <c r="D116" s="3"/>
      <c r="E116" s="3"/>
      <c r="F116" s="3"/>
      <c r="G116" s="3"/>
      <c r="J116" s="3"/>
      <c r="L116" s="3"/>
    </row>
    <row r="117" spans="1:12" x14ac:dyDescent="0.2">
      <c r="A117" s="3"/>
      <c r="B117" s="3"/>
      <c r="C117" s="3"/>
      <c r="D117" s="3"/>
      <c r="E117" s="3"/>
      <c r="F117" s="3"/>
      <c r="G117" s="3"/>
      <c r="J117" s="3"/>
      <c r="L117" s="3"/>
    </row>
    <row r="118" spans="1:12" x14ac:dyDescent="0.2">
      <c r="A118" s="3"/>
      <c r="B118" s="3"/>
      <c r="C118" s="3"/>
      <c r="D118" s="3"/>
      <c r="E118" s="3"/>
      <c r="F118" s="3"/>
      <c r="G118" s="3"/>
      <c r="J118" s="3"/>
      <c r="L118" s="3"/>
    </row>
    <row r="119" spans="1:12" x14ac:dyDescent="0.2">
      <c r="A119" s="3"/>
      <c r="B119" s="3"/>
      <c r="C119" s="3"/>
      <c r="D119" s="3"/>
      <c r="E119" s="3"/>
      <c r="F119" s="3"/>
      <c r="G119" s="3"/>
      <c r="J119" s="3"/>
      <c r="L119" s="3"/>
    </row>
    <row r="120" spans="1:12" x14ac:dyDescent="0.2">
      <c r="A120" s="3"/>
      <c r="B120" s="3"/>
      <c r="C120" s="3"/>
      <c r="D120" s="3"/>
      <c r="E120" s="3"/>
      <c r="F120" s="3"/>
      <c r="G120" s="3"/>
      <c r="J120" s="3"/>
      <c r="L120" s="3"/>
    </row>
    <row r="121" spans="1:12" x14ac:dyDescent="0.2">
      <c r="A121" s="3"/>
      <c r="B121" s="3"/>
      <c r="C121" s="3"/>
      <c r="D121" s="3"/>
      <c r="E121" s="3"/>
      <c r="F121" s="3"/>
      <c r="G121" s="3"/>
      <c r="J121" s="3"/>
      <c r="L121" s="3"/>
    </row>
    <row r="122" spans="1:12" x14ac:dyDescent="0.2">
      <c r="A122" s="3"/>
      <c r="B122" s="3"/>
      <c r="C122" s="3"/>
      <c r="D122" s="3"/>
      <c r="E122" s="3"/>
      <c r="F122" s="3"/>
      <c r="G122" s="3"/>
      <c r="J122" s="3"/>
      <c r="L122" s="3"/>
    </row>
    <row r="123" spans="1:12" x14ac:dyDescent="0.2">
      <c r="A123" s="3"/>
      <c r="B123" s="3"/>
      <c r="C123" s="3"/>
      <c r="D123" s="3"/>
      <c r="E123" s="3"/>
      <c r="F123" s="3"/>
      <c r="G123" s="3"/>
      <c r="J123" s="3"/>
      <c r="L123" s="3"/>
    </row>
    <row r="124" spans="1:12" x14ac:dyDescent="0.2">
      <c r="A124" s="3"/>
      <c r="B124" s="3"/>
      <c r="C124" s="3"/>
      <c r="D124" s="3"/>
      <c r="E124" s="3"/>
      <c r="F124" s="3"/>
      <c r="G124" s="3"/>
      <c r="J124" s="3"/>
      <c r="L124" s="3"/>
    </row>
    <row r="125" spans="1:12" x14ac:dyDescent="0.2">
      <c r="A125" s="3"/>
      <c r="B125" s="3"/>
      <c r="C125" s="3"/>
      <c r="D125" s="3"/>
      <c r="E125" s="3"/>
      <c r="F125" s="3"/>
      <c r="G125" s="3"/>
      <c r="J125" s="3"/>
      <c r="L125" s="3"/>
    </row>
    <row r="126" spans="1:12" x14ac:dyDescent="0.2">
      <c r="A126" s="3"/>
      <c r="B126" s="3"/>
      <c r="C126" s="3"/>
      <c r="D126" s="3"/>
      <c r="E126" s="3"/>
      <c r="F126" s="3"/>
      <c r="G126" s="3"/>
      <c r="J126" s="3"/>
      <c r="L126" s="3"/>
    </row>
    <row r="127" spans="1:12" x14ac:dyDescent="0.2">
      <c r="A127" s="3"/>
      <c r="B127" s="3"/>
      <c r="C127" s="3"/>
      <c r="D127" s="3"/>
      <c r="E127" s="3"/>
      <c r="F127" s="3"/>
      <c r="G127" s="3"/>
      <c r="J127" s="3"/>
      <c r="L127" s="3"/>
    </row>
    <row r="128" spans="1:12" x14ac:dyDescent="0.2">
      <c r="A128" s="3"/>
      <c r="B128" s="3"/>
      <c r="C128" s="3"/>
      <c r="D128" s="3"/>
      <c r="E128" s="3"/>
      <c r="F128" s="3"/>
      <c r="G128" s="3"/>
      <c r="J128" s="3"/>
      <c r="L128" s="3"/>
    </row>
    <row r="129" spans="1:12" x14ac:dyDescent="0.2">
      <c r="A129" s="3"/>
      <c r="B129" s="3"/>
      <c r="C129" s="3"/>
      <c r="D129" s="3"/>
      <c r="E129" s="3"/>
      <c r="F129" s="3"/>
      <c r="G129" s="3"/>
      <c r="J129" s="3"/>
      <c r="L129" s="3"/>
    </row>
    <row r="130" spans="1:12" x14ac:dyDescent="0.2">
      <c r="A130" s="3"/>
      <c r="B130" s="3"/>
      <c r="C130" s="3"/>
      <c r="D130" s="3"/>
      <c r="E130" s="3"/>
      <c r="F130" s="3"/>
      <c r="G130" s="3"/>
      <c r="J130" s="3"/>
      <c r="L130" s="3"/>
    </row>
    <row r="131" spans="1:12" x14ac:dyDescent="0.2">
      <c r="A131" s="3"/>
      <c r="B131" s="3"/>
      <c r="C131" s="3"/>
      <c r="D131" s="3"/>
      <c r="E131" s="3"/>
      <c r="F131" s="3"/>
      <c r="G131" s="3"/>
      <c r="J131" s="3"/>
      <c r="L131" s="3"/>
    </row>
    <row r="132" spans="1:12" x14ac:dyDescent="0.2">
      <c r="A132" s="3"/>
      <c r="B132" s="3"/>
      <c r="C132" s="3"/>
      <c r="D132" s="3"/>
      <c r="E132" s="3"/>
      <c r="F132" s="3"/>
      <c r="G132" s="3"/>
      <c r="J132" s="3"/>
      <c r="L132" s="3"/>
    </row>
    <row r="133" spans="1:12" x14ac:dyDescent="0.2">
      <c r="A133" s="3"/>
      <c r="B133" s="3"/>
      <c r="C133" s="3"/>
      <c r="D133" s="3"/>
      <c r="E133" s="3"/>
      <c r="F133" s="3"/>
      <c r="G133" s="3"/>
      <c r="J133" s="3"/>
      <c r="L133" s="3"/>
    </row>
    <row r="134" spans="1:12" x14ac:dyDescent="0.2">
      <c r="A134" s="3"/>
      <c r="B134" s="3"/>
      <c r="C134" s="3"/>
      <c r="D134" s="3"/>
      <c r="E134" s="3"/>
      <c r="F134" s="3"/>
      <c r="G134" s="3"/>
      <c r="J134" s="3"/>
      <c r="L134" s="3"/>
    </row>
    <row r="135" spans="1:12" x14ac:dyDescent="0.2">
      <c r="A135" s="3"/>
      <c r="B135" s="3"/>
      <c r="C135" s="3"/>
      <c r="D135" s="3"/>
      <c r="E135" s="3"/>
      <c r="F135" s="3"/>
      <c r="G135" s="3"/>
      <c r="J135" s="3"/>
      <c r="L135" s="3"/>
    </row>
    <row r="136" spans="1:12" x14ac:dyDescent="0.2">
      <c r="A136" s="3"/>
      <c r="B136" s="3"/>
      <c r="C136" s="3"/>
      <c r="D136" s="3"/>
      <c r="E136" s="3"/>
      <c r="F136" s="3"/>
      <c r="G136" s="3"/>
      <c r="J136" s="3"/>
      <c r="L136" s="3"/>
    </row>
    <row r="137" spans="1:12" x14ac:dyDescent="0.2">
      <c r="A137" s="3"/>
      <c r="B137" s="3"/>
      <c r="C137" s="3"/>
      <c r="D137" s="3"/>
      <c r="E137" s="3"/>
      <c r="F137" s="3"/>
      <c r="G137" s="3"/>
      <c r="J137" s="3"/>
      <c r="L137" s="3"/>
    </row>
    <row r="138" spans="1:12" x14ac:dyDescent="0.2">
      <c r="A138" s="3"/>
      <c r="B138" s="3"/>
      <c r="C138" s="3"/>
      <c r="D138" s="3"/>
      <c r="E138" s="3"/>
      <c r="F138" s="3"/>
      <c r="G138" s="3"/>
      <c r="J138" s="3"/>
      <c r="L138" s="3"/>
    </row>
    <row r="139" spans="1:12" x14ac:dyDescent="0.2">
      <c r="A139" s="3"/>
      <c r="B139" s="3"/>
      <c r="C139" s="3"/>
      <c r="D139" s="3"/>
      <c r="E139" s="3"/>
      <c r="F139" s="3"/>
      <c r="G139" s="3"/>
      <c r="J139" s="3"/>
      <c r="L139" s="3"/>
    </row>
    <row r="140" spans="1:12" x14ac:dyDescent="0.2">
      <c r="A140" s="3"/>
      <c r="B140" s="3"/>
      <c r="C140" s="3"/>
      <c r="D140" s="3"/>
      <c r="E140" s="3"/>
      <c r="F140" s="3"/>
      <c r="G140" s="3"/>
      <c r="J140" s="3"/>
      <c r="L140" s="3"/>
    </row>
    <row r="141" spans="1:12" x14ac:dyDescent="0.2">
      <c r="A141" s="3"/>
      <c r="B141" s="3"/>
      <c r="C141" s="3"/>
      <c r="D141" s="3"/>
      <c r="E141" s="3"/>
      <c r="F141" s="3"/>
      <c r="G141" s="3"/>
      <c r="J141" s="3"/>
      <c r="L141" s="3"/>
    </row>
    <row r="142" spans="1:12" x14ac:dyDescent="0.2">
      <c r="A142" s="3"/>
      <c r="B142" s="3"/>
      <c r="C142" s="3"/>
      <c r="D142" s="3"/>
      <c r="E142" s="3"/>
      <c r="F142" s="3"/>
      <c r="G142" s="3"/>
      <c r="J142" s="3"/>
      <c r="L142" s="3"/>
    </row>
    <row r="143" spans="1:12" x14ac:dyDescent="0.2">
      <c r="A143" s="3"/>
      <c r="B143" s="3"/>
      <c r="C143" s="3"/>
      <c r="D143" s="3"/>
      <c r="E143" s="3"/>
      <c r="F143" s="3"/>
      <c r="G143" s="3"/>
      <c r="J143" s="3"/>
      <c r="L143" s="3"/>
    </row>
    <row r="144" spans="1:12" x14ac:dyDescent="0.2">
      <c r="A144" s="3"/>
      <c r="B144" s="3"/>
      <c r="C144" s="3"/>
      <c r="D144" s="3"/>
      <c r="E144" s="3"/>
      <c r="F144" s="3"/>
      <c r="G144" s="3"/>
      <c r="J144" s="3"/>
      <c r="L144" s="3"/>
    </row>
    <row r="145" spans="1:12" x14ac:dyDescent="0.2">
      <c r="A145" s="3"/>
      <c r="B145" s="3"/>
      <c r="C145" s="3"/>
      <c r="D145" s="3"/>
      <c r="E145" s="3"/>
      <c r="F145" s="3"/>
      <c r="G145" s="3"/>
      <c r="J145" s="3"/>
      <c r="L145" s="3"/>
    </row>
    <row r="146" spans="1:12" x14ac:dyDescent="0.2">
      <c r="A146" s="3"/>
      <c r="B146" s="3"/>
      <c r="C146" s="3"/>
      <c r="D146" s="3"/>
      <c r="E146" s="3"/>
      <c r="F146" s="3"/>
      <c r="G146" s="3"/>
      <c r="J146" s="3"/>
      <c r="L146" s="3"/>
    </row>
    <row r="147" spans="1:12" x14ac:dyDescent="0.2">
      <c r="A147" s="3"/>
      <c r="B147" s="3"/>
      <c r="C147" s="3"/>
      <c r="D147" s="3"/>
      <c r="E147" s="3"/>
      <c r="F147" s="3"/>
      <c r="G147" s="3"/>
      <c r="J147" s="3"/>
      <c r="L147" s="3"/>
    </row>
    <row r="148" spans="1:12" x14ac:dyDescent="0.2">
      <c r="A148" s="3"/>
      <c r="B148" s="3"/>
      <c r="C148" s="3"/>
      <c r="D148" s="3"/>
      <c r="E148" s="3"/>
      <c r="F148" s="3"/>
      <c r="G148" s="3"/>
      <c r="J148" s="3"/>
      <c r="L148" s="3"/>
    </row>
    <row r="149" spans="1:12" x14ac:dyDescent="0.2">
      <c r="A149" s="3"/>
      <c r="B149" s="3"/>
      <c r="C149" s="3"/>
      <c r="D149" s="3"/>
      <c r="E149" s="3"/>
      <c r="F149" s="3"/>
      <c r="G149" s="3"/>
      <c r="J149" s="3"/>
      <c r="L149" s="3"/>
    </row>
    <row r="150" spans="1:12" x14ac:dyDescent="0.2">
      <c r="A150" s="3"/>
      <c r="B150" s="3"/>
      <c r="C150" s="3"/>
      <c r="D150" s="3"/>
      <c r="E150" s="3"/>
      <c r="F150" s="3"/>
      <c r="G150" s="3"/>
      <c r="J150" s="3"/>
      <c r="L150" s="3"/>
    </row>
    <row r="151" spans="1:12" x14ac:dyDescent="0.2">
      <c r="A151" s="3"/>
      <c r="B151" s="3"/>
      <c r="C151" s="3"/>
      <c r="D151" s="3"/>
      <c r="E151" s="3"/>
      <c r="F151" s="3"/>
      <c r="G151" s="3"/>
      <c r="J151" s="3"/>
      <c r="L151" s="3"/>
    </row>
    <row r="152" spans="1:12" x14ac:dyDescent="0.2">
      <c r="A152" s="3"/>
      <c r="B152" s="3"/>
      <c r="C152" s="3"/>
      <c r="D152" s="3"/>
      <c r="E152" s="3"/>
      <c r="F152" s="3"/>
      <c r="G152" s="3"/>
      <c r="J152" s="3"/>
      <c r="L152" s="3"/>
    </row>
    <row r="153" spans="1:12" x14ac:dyDescent="0.2">
      <c r="A153" s="3"/>
      <c r="B153" s="3"/>
      <c r="C153" s="3"/>
      <c r="D153" s="3"/>
      <c r="E153" s="3"/>
      <c r="F153" s="3"/>
      <c r="G153" s="3"/>
      <c r="J153" s="3"/>
      <c r="L153" s="3"/>
    </row>
    <row r="154" spans="1:12" x14ac:dyDescent="0.2">
      <c r="A154" s="3"/>
      <c r="B154" s="3"/>
      <c r="C154" s="3"/>
      <c r="D154" s="3"/>
      <c r="E154" s="3"/>
      <c r="F154" s="3"/>
      <c r="G154" s="3"/>
      <c r="J154" s="3"/>
      <c r="L154" s="3"/>
    </row>
    <row r="155" spans="1:12" x14ac:dyDescent="0.2">
      <c r="A155" s="3"/>
      <c r="B155" s="3"/>
      <c r="C155" s="3"/>
      <c r="D155" s="3"/>
      <c r="E155" s="3"/>
      <c r="F155" s="3"/>
      <c r="G155" s="3"/>
      <c r="J155" s="3"/>
      <c r="L155" s="3"/>
    </row>
    <row r="156" spans="1:12" x14ac:dyDescent="0.2">
      <c r="A156" s="3"/>
      <c r="B156" s="3"/>
      <c r="C156" s="3"/>
      <c r="D156" s="3"/>
      <c r="E156" s="3"/>
      <c r="F156" s="3"/>
      <c r="G156" s="3"/>
      <c r="J156" s="3"/>
      <c r="L156" s="3"/>
    </row>
    <row r="157" spans="1:12" x14ac:dyDescent="0.2">
      <c r="A157" s="3"/>
      <c r="B157" s="3"/>
      <c r="C157" s="3"/>
      <c r="D157" s="3"/>
      <c r="E157" s="3"/>
      <c r="F157" s="3"/>
      <c r="G157" s="3"/>
      <c r="J157" s="3"/>
      <c r="L157" s="3"/>
    </row>
    <row r="158" spans="1:12" x14ac:dyDescent="0.2">
      <c r="A158" s="3"/>
      <c r="B158" s="3"/>
      <c r="C158" s="3"/>
      <c r="D158" s="3"/>
      <c r="E158" s="3"/>
      <c r="F158" s="3"/>
      <c r="G158" s="3"/>
      <c r="J158" s="3"/>
      <c r="L158" s="3"/>
    </row>
    <row r="159" spans="1:12" x14ac:dyDescent="0.2">
      <c r="A159" s="3"/>
      <c r="B159" s="3"/>
      <c r="C159" s="3"/>
      <c r="D159" s="3"/>
      <c r="E159" s="3"/>
      <c r="F159" s="3"/>
      <c r="G159" s="3"/>
      <c r="J159" s="3"/>
      <c r="L159" s="3"/>
    </row>
    <row r="160" spans="1:12" x14ac:dyDescent="0.2">
      <c r="A160" s="3"/>
      <c r="B160" s="3"/>
      <c r="C160" s="3"/>
      <c r="D160" s="3"/>
      <c r="E160" s="3"/>
      <c r="F160" s="3"/>
      <c r="G160" s="3"/>
      <c r="J160" s="3"/>
      <c r="L160" s="3"/>
    </row>
    <row r="161" spans="1:12" x14ac:dyDescent="0.2">
      <c r="A161" s="3"/>
      <c r="B161" s="3"/>
      <c r="C161" s="3"/>
      <c r="D161" s="3"/>
      <c r="E161" s="3"/>
      <c r="F161" s="3"/>
      <c r="G161" s="3"/>
      <c r="J161" s="3"/>
      <c r="L161" s="3"/>
    </row>
    <row r="162" spans="1:12" x14ac:dyDescent="0.2">
      <c r="A162" s="3"/>
      <c r="B162" s="3"/>
      <c r="C162" s="3"/>
      <c r="D162" s="3"/>
      <c r="E162" s="3"/>
      <c r="F162" s="3"/>
      <c r="G162" s="3"/>
      <c r="J162" s="3"/>
      <c r="L162" s="3"/>
    </row>
    <row r="163" spans="1:12" x14ac:dyDescent="0.2">
      <c r="A163" s="3"/>
      <c r="B163" s="3"/>
      <c r="C163" s="3"/>
      <c r="D163" s="3"/>
      <c r="E163" s="3"/>
      <c r="F163" s="3"/>
      <c r="G163" s="3"/>
      <c r="J163" s="3"/>
      <c r="L163" s="3"/>
    </row>
    <row r="164" spans="1:12" x14ac:dyDescent="0.2">
      <c r="A164" s="3"/>
      <c r="B164" s="3"/>
      <c r="C164" s="3"/>
      <c r="D164" s="3"/>
      <c r="E164" s="3"/>
      <c r="F164" s="3"/>
      <c r="G164" s="3"/>
      <c r="J164" s="3"/>
      <c r="L164" s="3"/>
    </row>
    <row r="165" spans="1:12" x14ac:dyDescent="0.2">
      <c r="A165" s="3"/>
      <c r="B165" s="3"/>
      <c r="C165" s="3"/>
      <c r="D165" s="3"/>
      <c r="E165" s="3"/>
      <c r="F165" s="3"/>
      <c r="G165" s="3"/>
      <c r="J165" s="3"/>
      <c r="L165" s="3"/>
    </row>
    <row r="166" spans="1:12" x14ac:dyDescent="0.2">
      <c r="A166" s="3"/>
      <c r="B166" s="3"/>
      <c r="C166" s="3"/>
      <c r="D166" s="3"/>
      <c r="E166" s="3"/>
      <c r="F166" s="3"/>
      <c r="G166" s="3"/>
      <c r="J166" s="3"/>
      <c r="L166" s="3"/>
    </row>
    <row r="167" spans="1:12" x14ac:dyDescent="0.2">
      <c r="A167" s="3"/>
      <c r="B167" s="3"/>
      <c r="C167" s="3"/>
      <c r="D167" s="3"/>
      <c r="E167" s="3"/>
      <c r="F167" s="3"/>
      <c r="G167" s="3"/>
      <c r="J167" s="3"/>
      <c r="L167" s="3"/>
    </row>
    <row r="168" spans="1:12" x14ac:dyDescent="0.2">
      <c r="A168" s="3"/>
      <c r="B168" s="3"/>
      <c r="C168" s="3"/>
      <c r="D168" s="3"/>
      <c r="E168" s="3"/>
      <c r="F168" s="3"/>
      <c r="G168" s="3"/>
      <c r="J168" s="3"/>
      <c r="L168" s="3"/>
    </row>
    <row r="169" spans="1:12" x14ac:dyDescent="0.2">
      <c r="A169" s="3"/>
      <c r="B169" s="3"/>
      <c r="C169" s="3"/>
      <c r="D169" s="3"/>
      <c r="E169" s="3"/>
      <c r="F169" s="3"/>
      <c r="G169" s="3"/>
      <c r="J169" s="3"/>
      <c r="L169" s="3"/>
    </row>
    <row r="170" spans="1:12" x14ac:dyDescent="0.2">
      <c r="A170" s="3"/>
      <c r="B170" s="3"/>
      <c r="C170" s="3"/>
      <c r="D170" s="3"/>
      <c r="E170" s="3"/>
      <c r="F170" s="3"/>
      <c r="G170" s="3"/>
      <c r="J170" s="3"/>
      <c r="L170" s="3"/>
    </row>
    <row r="171" spans="1:12" x14ac:dyDescent="0.2">
      <c r="A171" s="3"/>
      <c r="B171" s="3"/>
      <c r="C171" s="3"/>
      <c r="D171" s="3"/>
      <c r="E171" s="3"/>
      <c r="F171" s="3"/>
      <c r="G171" s="3"/>
      <c r="J171" s="3"/>
      <c r="L171" s="3"/>
    </row>
    <row r="172" spans="1:12" x14ac:dyDescent="0.2">
      <c r="A172" s="3"/>
      <c r="B172" s="3"/>
      <c r="C172" s="3"/>
      <c r="D172" s="3"/>
      <c r="E172" s="3"/>
      <c r="F172" s="3"/>
      <c r="G172" s="3"/>
      <c r="J172" s="3"/>
      <c r="L172" s="3"/>
    </row>
    <row r="173" spans="1:12" x14ac:dyDescent="0.2">
      <c r="A173" s="3"/>
      <c r="B173" s="3"/>
      <c r="C173" s="3"/>
      <c r="D173" s="3"/>
      <c r="E173" s="3"/>
      <c r="F173" s="3"/>
      <c r="G173" s="3"/>
      <c r="J173" s="3"/>
      <c r="L173" s="3"/>
    </row>
    <row r="174" spans="1:12" x14ac:dyDescent="0.2">
      <c r="A174" s="3"/>
      <c r="B174" s="3"/>
      <c r="C174" s="3"/>
      <c r="D174" s="3"/>
      <c r="E174" s="3"/>
      <c r="F174" s="3"/>
      <c r="G174" s="3"/>
      <c r="J174" s="3"/>
      <c r="L174" s="3"/>
    </row>
    <row r="175" spans="1:12" x14ac:dyDescent="0.2">
      <c r="A175" s="3"/>
      <c r="B175" s="3"/>
      <c r="C175" s="3"/>
      <c r="D175" s="3"/>
      <c r="E175" s="3"/>
      <c r="F175" s="3"/>
      <c r="G175" s="3"/>
      <c r="J175" s="3"/>
      <c r="L175" s="3"/>
    </row>
    <row r="176" spans="1:12" x14ac:dyDescent="0.2">
      <c r="A176" s="3"/>
      <c r="B176" s="3"/>
      <c r="C176" s="3"/>
      <c r="D176" s="3"/>
      <c r="E176" s="3"/>
      <c r="F176" s="3"/>
      <c r="G176" s="3"/>
      <c r="J176" s="3"/>
      <c r="L176" s="3"/>
    </row>
    <row r="177" spans="1:12" x14ac:dyDescent="0.2">
      <c r="A177" s="3"/>
      <c r="B177" s="3"/>
      <c r="C177" s="3"/>
      <c r="D177" s="3"/>
      <c r="E177" s="3"/>
      <c r="F177" s="3"/>
      <c r="G177" s="3"/>
      <c r="J177" s="3"/>
      <c r="L177" s="3"/>
    </row>
    <row r="178" spans="1:12" x14ac:dyDescent="0.2">
      <c r="A178" s="3"/>
      <c r="B178" s="3"/>
      <c r="C178" s="3"/>
      <c r="D178" s="3"/>
      <c r="E178" s="3"/>
      <c r="F178" s="3"/>
      <c r="G178" s="3"/>
      <c r="J178" s="3"/>
      <c r="L178" s="3"/>
    </row>
    <row r="179" spans="1:12" x14ac:dyDescent="0.2">
      <c r="A179" s="3"/>
      <c r="B179" s="3"/>
      <c r="C179" s="3"/>
      <c r="D179" s="3"/>
      <c r="E179" s="3"/>
      <c r="F179" s="3"/>
      <c r="G179" s="3"/>
      <c r="J179" s="3"/>
      <c r="L179" s="3"/>
    </row>
    <row r="180" spans="1:12" x14ac:dyDescent="0.2">
      <c r="A180" s="3"/>
      <c r="B180" s="3"/>
      <c r="C180" s="3"/>
      <c r="D180" s="3"/>
      <c r="E180" s="3"/>
      <c r="F180" s="3"/>
      <c r="G180" s="3"/>
      <c r="J180" s="3"/>
      <c r="L180" s="3"/>
    </row>
    <row r="181" spans="1:12" x14ac:dyDescent="0.2">
      <c r="A181" s="3"/>
      <c r="B181" s="3"/>
      <c r="C181" s="3"/>
      <c r="D181" s="3"/>
      <c r="E181" s="3"/>
      <c r="F181" s="3"/>
      <c r="G181" s="3"/>
      <c r="J181" s="3"/>
      <c r="L181" s="3"/>
    </row>
    <row r="182" spans="1:12" x14ac:dyDescent="0.2">
      <c r="A182" s="3"/>
      <c r="B182" s="3"/>
      <c r="C182" s="3"/>
      <c r="D182" s="3"/>
      <c r="E182" s="3"/>
      <c r="F182" s="3"/>
      <c r="G182" s="3"/>
      <c r="J182" s="3"/>
      <c r="L182" s="3"/>
    </row>
    <row r="183" spans="1:12" x14ac:dyDescent="0.2">
      <c r="A183" s="3"/>
      <c r="B183" s="3"/>
      <c r="C183" s="3"/>
      <c r="D183" s="3"/>
      <c r="E183" s="3"/>
      <c r="F183" s="3"/>
      <c r="G183" s="3"/>
      <c r="J183" s="3"/>
      <c r="L183" s="3"/>
    </row>
    <row r="184" spans="1:12" x14ac:dyDescent="0.2">
      <c r="A184" s="3"/>
      <c r="B184" s="3"/>
      <c r="C184" s="3"/>
      <c r="D184" s="3"/>
      <c r="E184" s="3"/>
      <c r="F184" s="3"/>
      <c r="G184" s="3"/>
      <c r="J184" s="3"/>
      <c r="L184" s="3"/>
    </row>
    <row r="185" spans="1:12" x14ac:dyDescent="0.2">
      <c r="A185" s="3"/>
      <c r="B185" s="3"/>
      <c r="C185" s="3"/>
      <c r="D185" s="3"/>
      <c r="E185" s="3"/>
      <c r="F185" s="3"/>
      <c r="G185" s="3"/>
      <c r="J185" s="3"/>
      <c r="L185" s="3"/>
    </row>
    <row r="186" spans="1:12" x14ac:dyDescent="0.2">
      <c r="A186" s="3"/>
      <c r="B186" s="3"/>
      <c r="C186" s="3"/>
      <c r="D186" s="3"/>
      <c r="E186" s="3"/>
      <c r="F186" s="3"/>
      <c r="G186" s="3"/>
      <c r="J186" s="3"/>
      <c r="L186" s="3"/>
    </row>
    <row r="187" spans="1:12" x14ac:dyDescent="0.2">
      <c r="A187" s="3"/>
      <c r="B187" s="3"/>
      <c r="C187" s="3"/>
      <c r="D187" s="3"/>
      <c r="E187" s="3"/>
      <c r="F187" s="3"/>
      <c r="G187" s="3"/>
      <c r="J187" s="3"/>
      <c r="L187" s="3"/>
    </row>
    <row r="188" spans="1:12" x14ac:dyDescent="0.2">
      <c r="A188" s="3"/>
      <c r="B188" s="3"/>
      <c r="C188" s="3"/>
      <c r="D188" s="3"/>
      <c r="E188" s="3"/>
      <c r="F188" s="3"/>
      <c r="G188" s="3"/>
      <c r="J188" s="3"/>
      <c r="L188" s="3"/>
    </row>
    <row r="189" spans="1:12" x14ac:dyDescent="0.2">
      <c r="A189" s="3"/>
      <c r="B189" s="3"/>
      <c r="C189" s="3"/>
      <c r="D189" s="3"/>
      <c r="E189" s="3"/>
      <c r="F189" s="3"/>
      <c r="G189" s="3"/>
      <c r="J189" s="3"/>
      <c r="L189" s="3"/>
    </row>
    <row r="190" spans="1:12" x14ac:dyDescent="0.2">
      <c r="A190" s="3"/>
      <c r="B190" s="3"/>
      <c r="C190" s="3"/>
      <c r="D190" s="3"/>
      <c r="E190" s="3"/>
      <c r="F190" s="3"/>
      <c r="G190" s="3"/>
      <c r="J190" s="3"/>
      <c r="L190" s="3"/>
    </row>
    <row r="191" spans="1:12" x14ac:dyDescent="0.2">
      <c r="A191" s="3"/>
      <c r="B191" s="3"/>
      <c r="C191" s="3"/>
      <c r="D191" s="3"/>
      <c r="E191" s="3"/>
      <c r="F191" s="3"/>
      <c r="G191" s="3"/>
      <c r="J191" s="3"/>
      <c r="L191" s="3"/>
    </row>
    <row r="192" spans="1:12" x14ac:dyDescent="0.2">
      <c r="A192" s="3"/>
      <c r="B192" s="3"/>
      <c r="C192" s="3"/>
      <c r="D192" s="3"/>
      <c r="E192" s="3"/>
      <c r="F192" s="3"/>
      <c r="G192" s="3"/>
      <c r="J192" s="3"/>
      <c r="L192" s="3"/>
    </row>
    <row r="193" spans="1:12" x14ac:dyDescent="0.2">
      <c r="A193" s="3"/>
      <c r="B193" s="3"/>
      <c r="C193" s="3"/>
      <c r="D193" s="3"/>
      <c r="E193" s="3"/>
      <c r="F193" s="3"/>
      <c r="G193" s="3"/>
      <c r="J193" s="3"/>
      <c r="L193" s="3"/>
    </row>
    <row r="194" spans="1:12" x14ac:dyDescent="0.2">
      <c r="A194" s="3"/>
      <c r="B194" s="3"/>
      <c r="C194" s="3"/>
      <c r="D194" s="3"/>
      <c r="E194" s="3"/>
      <c r="F194" s="3"/>
      <c r="G194" s="3"/>
      <c r="J194" s="3"/>
      <c r="L194" s="3"/>
    </row>
    <row r="195" spans="1:12" x14ac:dyDescent="0.2">
      <c r="A195" s="3"/>
      <c r="B195" s="3"/>
      <c r="C195" s="3"/>
      <c r="D195" s="3"/>
      <c r="E195" s="3"/>
      <c r="F195" s="3"/>
      <c r="G195" s="3"/>
      <c r="J195" s="3"/>
      <c r="L195" s="3"/>
    </row>
    <row r="196" spans="1:12" x14ac:dyDescent="0.2">
      <c r="A196" s="3"/>
      <c r="B196" s="3"/>
      <c r="C196" s="3"/>
      <c r="D196" s="3"/>
      <c r="E196" s="3"/>
      <c r="F196" s="3"/>
      <c r="G196" s="3"/>
      <c r="J196" s="3"/>
      <c r="L196" s="3"/>
    </row>
    <row r="197" spans="1:12" x14ac:dyDescent="0.2">
      <c r="A197" s="3"/>
      <c r="B197" s="3"/>
      <c r="C197" s="3"/>
      <c r="D197" s="3"/>
      <c r="E197" s="3"/>
      <c r="F197" s="3"/>
      <c r="G197" s="3"/>
      <c r="J197" s="3"/>
      <c r="L197" s="3"/>
    </row>
    <row r="198" spans="1:12" x14ac:dyDescent="0.2">
      <c r="A198" s="3"/>
      <c r="B198" s="3"/>
      <c r="C198" s="3"/>
      <c r="D198" s="3"/>
      <c r="E198" s="3"/>
      <c r="F198" s="3"/>
      <c r="G198" s="3"/>
      <c r="J198" s="3"/>
      <c r="L198" s="3"/>
    </row>
    <row r="199" spans="1:12" x14ac:dyDescent="0.2">
      <c r="A199" s="3"/>
      <c r="B199" s="3"/>
      <c r="C199" s="3"/>
      <c r="D199" s="3"/>
      <c r="E199" s="3"/>
      <c r="F199" s="3"/>
      <c r="G199" s="3"/>
      <c r="J199" s="3"/>
      <c r="L199" s="3"/>
    </row>
    <row r="200" spans="1:12" x14ac:dyDescent="0.2">
      <c r="A200" s="3"/>
      <c r="B200" s="3"/>
      <c r="C200" s="3"/>
      <c r="D200" s="3"/>
      <c r="E200" s="3"/>
      <c r="F200" s="3"/>
      <c r="G200" s="3"/>
      <c r="J200" s="3"/>
      <c r="L200" s="3"/>
    </row>
    <row r="201" spans="1:12" x14ac:dyDescent="0.2">
      <c r="A201" s="3"/>
      <c r="B201" s="3"/>
      <c r="C201" s="3"/>
      <c r="D201" s="3"/>
      <c r="E201" s="3"/>
      <c r="F201" s="3"/>
      <c r="G201" s="3"/>
      <c r="J201" s="3"/>
      <c r="L201" s="3"/>
    </row>
    <row r="202" spans="1:12" x14ac:dyDescent="0.2">
      <c r="A202" s="3"/>
      <c r="B202" s="3"/>
      <c r="C202" s="3"/>
      <c r="D202" s="3"/>
      <c r="E202" s="3"/>
      <c r="F202" s="3"/>
      <c r="G202" s="3"/>
      <c r="J202" s="3"/>
      <c r="L202" s="3"/>
    </row>
    <row r="203" spans="1:12" x14ac:dyDescent="0.2">
      <c r="A203" s="3"/>
      <c r="B203" s="3"/>
      <c r="C203" s="3"/>
      <c r="D203" s="3"/>
      <c r="E203" s="3"/>
      <c r="F203" s="3"/>
      <c r="G203" s="3"/>
      <c r="J203" s="3"/>
      <c r="L203" s="3"/>
    </row>
    <row r="204" spans="1:12" x14ac:dyDescent="0.2">
      <c r="A204" s="3"/>
      <c r="B204" s="3"/>
      <c r="C204" s="3"/>
      <c r="D204" s="3"/>
      <c r="E204" s="3"/>
      <c r="F204" s="3"/>
      <c r="G204" s="3"/>
      <c r="J204" s="3"/>
      <c r="L204" s="3"/>
    </row>
    <row r="205" spans="1:12" x14ac:dyDescent="0.2">
      <c r="A205" s="3"/>
      <c r="B205" s="3"/>
      <c r="C205" s="3"/>
      <c r="D205" s="3"/>
      <c r="E205" s="3"/>
      <c r="F205" s="3"/>
      <c r="G205" s="3"/>
      <c r="J205" s="3"/>
      <c r="L205" s="3"/>
    </row>
    <row r="206" spans="1:12" x14ac:dyDescent="0.2">
      <c r="A206" s="3"/>
      <c r="B206" s="3"/>
      <c r="C206" s="3"/>
      <c r="D206" s="3"/>
      <c r="E206" s="3"/>
      <c r="F206" s="3"/>
      <c r="G206" s="3"/>
      <c r="J206" s="3"/>
      <c r="L206" s="3"/>
    </row>
    <row r="207" spans="1:12" x14ac:dyDescent="0.2">
      <c r="A207" s="3"/>
      <c r="B207" s="3"/>
      <c r="C207" s="3"/>
      <c r="D207" s="3"/>
      <c r="E207" s="3"/>
      <c r="F207" s="3"/>
      <c r="G207" s="3"/>
      <c r="J207" s="3"/>
      <c r="L207" s="3"/>
    </row>
    <row r="208" spans="1:12" x14ac:dyDescent="0.2">
      <c r="A208" s="3"/>
      <c r="B208" s="3"/>
      <c r="C208" s="3"/>
      <c r="D208" s="3"/>
      <c r="E208" s="3"/>
      <c r="F208" s="3"/>
      <c r="G208" s="3"/>
      <c r="J208" s="3"/>
      <c r="L208" s="3"/>
    </row>
    <row r="209" spans="1:12" x14ac:dyDescent="0.2">
      <c r="A209" s="3"/>
      <c r="B209" s="3"/>
      <c r="C209" s="3"/>
      <c r="D209" s="3"/>
      <c r="E209" s="3"/>
      <c r="F209" s="3"/>
      <c r="G209" s="3"/>
      <c r="J209" s="3"/>
      <c r="L209" s="3"/>
    </row>
    <row r="210" spans="1:12" x14ac:dyDescent="0.2">
      <c r="A210" s="3"/>
      <c r="B210" s="3"/>
      <c r="C210" s="3"/>
      <c r="D210" s="3"/>
      <c r="E210" s="3"/>
      <c r="F210" s="3"/>
      <c r="G210" s="3"/>
      <c r="J210" s="3"/>
      <c r="L210" s="3"/>
    </row>
    <row r="211" spans="1:12" x14ac:dyDescent="0.2">
      <c r="A211" s="3"/>
      <c r="B211" s="3"/>
      <c r="C211" s="3"/>
      <c r="D211" s="3"/>
      <c r="E211" s="3"/>
      <c r="F211" s="3"/>
      <c r="G211" s="3"/>
      <c r="J211" s="3"/>
      <c r="L211" s="3"/>
    </row>
    <row r="212" spans="1:12" x14ac:dyDescent="0.2">
      <c r="A212" s="3"/>
      <c r="B212" s="3"/>
      <c r="C212" s="3"/>
      <c r="D212" s="3"/>
      <c r="E212" s="3"/>
      <c r="F212" s="3"/>
      <c r="G212" s="3"/>
      <c r="J212" s="3"/>
      <c r="L212" s="3"/>
    </row>
    <row r="213" spans="1:12" x14ac:dyDescent="0.2">
      <c r="A213" s="3"/>
      <c r="B213" s="3"/>
      <c r="C213" s="3"/>
      <c r="D213" s="3"/>
      <c r="E213" s="3"/>
      <c r="F213" s="3"/>
      <c r="G213" s="3"/>
      <c r="J213" s="3"/>
      <c r="L213" s="3"/>
    </row>
    <row r="214" spans="1:12" x14ac:dyDescent="0.2">
      <c r="A214" s="3"/>
      <c r="B214" s="3"/>
      <c r="C214" s="3"/>
      <c r="D214" s="3"/>
      <c r="E214" s="3"/>
      <c r="F214" s="3"/>
      <c r="G214" s="3"/>
      <c r="J214" s="3"/>
      <c r="L214" s="3"/>
    </row>
    <row r="215" spans="1:12" x14ac:dyDescent="0.2">
      <c r="A215" s="3"/>
      <c r="B215" s="3"/>
      <c r="C215" s="3"/>
      <c r="D215" s="3"/>
      <c r="E215" s="3"/>
      <c r="F215" s="3"/>
      <c r="G215" s="3"/>
      <c r="J215" s="3"/>
      <c r="L215" s="3"/>
    </row>
    <row r="216" spans="1:12" x14ac:dyDescent="0.2">
      <c r="A216" s="3"/>
      <c r="B216" s="3"/>
      <c r="C216" s="3"/>
      <c r="D216" s="3"/>
      <c r="E216" s="3"/>
      <c r="F216" s="3"/>
      <c r="G216" s="3"/>
      <c r="J216" s="3"/>
      <c r="L216" s="3"/>
    </row>
    <row r="217" spans="1:12" x14ac:dyDescent="0.2">
      <c r="A217" s="3"/>
      <c r="B217" s="3"/>
      <c r="C217" s="3"/>
      <c r="D217" s="3"/>
      <c r="E217" s="3"/>
      <c r="F217" s="3"/>
      <c r="G217" s="3"/>
      <c r="J217" s="3"/>
      <c r="L217" s="3"/>
    </row>
    <row r="218" spans="1:12" x14ac:dyDescent="0.2">
      <c r="A218" s="3"/>
      <c r="B218" s="3"/>
      <c r="C218" s="3"/>
      <c r="D218" s="3"/>
      <c r="E218" s="3"/>
      <c r="F218" s="3"/>
      <c r="G218" s="3"/>
      <c r="J218" s="3"/>
      <c r="L218" s="3"/>
    </row>
    <row r="219" spans="1:12" x14ac:dyDescent="0.2">
      <c r="A219" s="3"/>
      <c r="B219" s="3"/>
      <c r="C219" s="3"/>
      <c r="D219" s="3"/>
      <c r="E219" s="3"/>
      <c r="F219" s="3"/>
      <c r="G219" s="3"/>
      <c r="J219" s="3"/>
      <c r="L219" s="3"/>
    </row>
    <row r="220" spans="1:12" x14ac:dyDescent="0.2">
      <c r="A220" s="3"/>
      <c r="B220" s="3"/>
      <c r="C220" s="3"/>
      <c r="D220" s="3"/>
      <c r="E220" s="3"/>
      <c r="F220" s="3"/>
      <c r="G220" s="3"/>
      <c r="J220" s="3"/>
      <c r="L220" s="3"/>
    </row>
    <row r="221" spans="1:12" x14ac:dyDescent="0.2">
      <c r="A221" s="3"/>
      <c r="B221" s="3"/>
      <c r="C221" s="3"/>
      <c r="D221" s="3"/>
      <c r="E221" s="3"/>
      <c r="F221" s="3"/>
      <c r="G221" s="3"/>
      <c r="J221" s="3"/>
      <c r="L221" s="3"/>
    </row>
    <row r="222" spans="1:12" x14ac:dyDescent="0.2">
      <c r="A222" s="3"/>
      <c r="B222" s="3"/>
      <c r="C222" s="3"/>
      <c r="D222" s="3"/>
      <c r="E222" s="3"/>
      <c r="F222" s="3"/>
      <c r="G222" s="3"/>
      <c r="J222" s="3"/>
      <c r="L222" s="3"/>
    </row>
    <row r="223" spans="1:12" x14ac:dyDescent="0.2">
      <c r="A223" s="3"/>
      <c r="B223" s="3"/>
      <c r="C223" s="3"/>
      <c r="D223" s="3"/>
      <c r="E223" s="3"/>
      <c r="F223" s="3"/>
      <c r="G223" s="3"/>
      <c r="J223" s="3"/>
      <c r="L223" s="3"/>
    </row>
    <row r="224" spans="1:12" x14ac:dyDescent="0.2">
      <c r="A224" s="3"/>
      <c r="B224" s="3"/>
      <c r="C224" s="3"/>
      <c r="D224" s="3"/>
      <c r="E224" s="3"/>
      <c r="F224" s="3"/>
      <c r="G224" s="3"/>
      <c r="J224" s="3"/>
      <c r="L224" s="3"/>
    </row>
    <row r="225" spans="1:12" x14ac:dyDescent="0.2">
      <c r="A225" s="3"/>
      <c r="B225" s="3"/>
      <c r="C225" s="3"/>
      <c r="D225" s="3"/>
      <c r="E225" s="3"/>
      <c r="F225" s="3"/>
      <c r="G225" s="3"/>
      <c r="J225" s="3"/>
      <c r="L225" s="3"/>
    </row>
    <row r="226" spans="1:12" x14ac:dyDescent="0.2">
      <c r="A226" s="3"/>
      <c r="B226" s="3"/>
      <c r="C226" s="3"/>
      <c r="D226" s="3"/>
      <c r="E226" s="3"/>
      <c r="F226" s="3"/>
      <c r="G226" s="3"/>
      <c r="J226" s="3"/>
      <c r="L226" s="3"/>
    </row>
    <row r="227" spans="1:12" x14ac:dyDescent="0.2">
      <c r="A227" s="3"/>
      <c r="B227" s="3"/>
      <c r="C227" s="3"/>
      <c r="D227" s="3"/>
      <c r="E227" s="3"/>
      <c r="F227" s="3"/>
      <c r="G227" s="3"/>
      <c r="J227" s="3"/>
      <c r="L227" s="3"/>
    </row>
    <row r="228" spans="1:12" x14ac:dyDescent="0.2">
      <c r="A228" s="3"/>
      <c r="B228" s="3"/>
      <c r="C228" s="3"/>
      <c r="D228" s="3"/>
      <c r="E228" s="3"/>
      <c r="F228" s="3"/>
      <c r="G228" s="3"/>
      <c r="J228" s="3"/>
      <c r="L228" s="3"/>
    </row>
    <row r="229" spans="1:12" x14ac:dyDescent="0.2">
      <c r="A229" s="3"/>
      <c r="B229" s="3"/>
      <c r="C229" s="3"/>
      <c r="D229" s="3"/>
      <c r="E229" s="3"/>
      <c r="F229" s="3"/>
      <c r="G229" s="3"/>
      <c r="J229" s="3"/>
      <c r="L229" s="3"/>
    </row>
    <row r="230" spans="1:12" x14ac:dyDescent="0.2">
      <c r="A230" s="3"/>
      <c r="B230" s="3"/>
      <c r="C230" s="3"/>
      <c r="D230" s="3"/>
      <c r="E230" s="3"/>
      <c r="F230" s="3"/>
      <c r="G230" s="3"/>
      <c r="J230" s="3"/>
      <c r="L230" s="3"/>
    </row>
    <row r="231" spans="1:12" x14ac:dyDescent="0.2">
      <c r="A231" s="3"/>
      <c r="B231" s="3"/>
      <c r="C231" s="3"/>
      <c r="D231" s="3"/>
      <c r="E231" s="3"/>
      <c r="F231" s="3"/>
      <c r="G231" s="3"/>
      <c r="J231" s="3"/>
      <c r="L231" s="3"/>
    </row>
    <row r="232" spans="1:12" x14ac:dyDescent="0.2">
      <c r="A232" s="3"/>
      <c r="B232" s="3"/>
      <c r="C232" s="3"/>
      <c r="D232" s="3"/>
      <c r="E232" s="3"/>
      <c r="F232" s="3"/>
      <c r="G232" s="3"/>
      <c r="J232" s="3"/>
      <c r="L232" s="3"/>
    </row>
    <row r="233" spans="1:12" x14ac:dyDescent="0.2">
      <c r="A233" s="3"/>
      <c r="B233" s="3"/>
      <c r="C233" s="3"/>
      <c r="D233" s="3"/>
      <c r="E233" s="3"/>
      <c r="F233" s="3"/>
      <c r="G233" s="3"/>
      <c r="J233" s="3"/>
      <c r="L233" s="3"/>
    </row>
    <row r="234" spans="1:12" x14ac:dyDescent="0.2">
      <c r="A234" s="3"/>
      <c r="B234" s="3"/>
      <c r="C234" s="3"/>
      <c r="D234" s="3"/>
      <c r="E234" s="3"/>
      <c r="F234" s="3"/>
      <c r="G234" s="3"/>
      <c r="J234" s="3"/>
      <c r="L234" s="3"/>
    </row>
    <row r="235" spans="1:12" x14ac:dyDescent="0.2">
      <c r="A235" s="3"/>
      <c r="B235" s="3"/>
      <c r="C235" s="3"/>
      <c r="D235" s="3"/>
      <c r="E235" s="3"/>
      <c r="F235" s="3"/>
      <c r="G235" s="3"/>
      <c r="J235" s="3"/>
      <c r="L235" s="3"/>
    </row>
    <row r="236" spans="1:12" x14ac:dyDescent="0.2">
      <c r="A236" s="3"/>
      <c r="B236" s="3"/>
      <c r="C236" s="3"/>
      <c r="D236" s="3"/>
      <c r="E236" s="3"/>
      <c r="F236" s="3"/>
      <c r="G236" s="3"/>
      <c r="J236" s="3"/>
      <c r="L236" s="3"/>
    </row>
    <row r="237" spans="1:12" x14ac:dyDescent="0.2">
      <c r="A237" s="3"/>
      <c r="B237" s="3"/>
      <c r="C237" s="3"/>
      <c r="D237" s="3"/>
      <c r="E237" s="3"/>
      <c r="F237" s="3"/>
      <c r="G237" s="3"/>
      <c r="J237" s="3"/>
      <c r="L237" s="3"/>
    </row>
    <row r="238" spans="1:12" x14ac:dyDescent="0.2">
      <c r="A238" s="3"/>
      <c r="B238" s="3"/>
      <c r="C238" s="3"/>
      <c r="D238" s="3"/>
      <c r="E238" s="3"/>
      <c r="F238" s="3"/>
      <c r="G238" s="3"/>
      <c r="J238" s="3"/>
      <c r="L238" s="3"/>
    </row>
    <row r="239" spans="1:12" x14ac:dyDescent="0.2">
      <c r="A239" s="3"/>
      <c r="B239" s="3"/>
      <c r="C239" s="3"/>
      <c r="D239" s="3"/>
      <c r="E239" s="3"/>
      <c r="F239" s="3"/>
      <c r="G239" s="3"/>
      <c r="J239" s="3"/>
      <c r="L239" s="3"/>
    </row>
    <row r="240" spans="1:12" x14ac:dyDescent="0.2">
      <c r="A240" s="3"/>
      <c r="B240" s="3"/>
      <c r="C240" s="3"/>
      <c r="D240" s="3"/>
      <c r="E240" s="3"/>
      <c r="F240" s="3"/>
      <c r="G240" s="3"/>
      <c r="J240" s="3"/>
      <c r="L240" s="3"/>
    </row>
    <row r="241" spans="1:12" x14ac:dyDescent="0.2">
      <c r="A241" s="3"/>
      <c r="B241" s="3"/>
      <c r="C241" s="3"/>
      <c r="D241" s="3"/>
      <c r="E241" s="3"/>
      <c r="F241" s="3"/>
      <c r="G241" s="3"/>
      <c r="J241" s="3"/>
      <c r="L241" s="3"/>
    </row>
    <row r="242" spans="1:12" x14ac:dyDescent="0.2">
      <c r="A242" s="3"/>
      <c r="B242" s="3"/>
      <c r="C242" s="3"/>
      <c r="D242" s="3"/>
      <c r="E242" s="3"/>
      <c r="F242" s="3"/>
      <c r="G242" s="3"/>
      <c r="J242" s="3"/>
      <c r="L242" s="3"/>
    </row>
    <row r="243" spans="1:12" x14ac:dyDescent="0.2">
      <c r="A243" s="3"/>
      <c r="B243" s="3"/>
      <c r="C243" s="3"/>
      <c r="D243" s="3"/>
      <c r="E243" s="3"/>
      <c r="F243" s="3"/>
      <c r="G243" s="3"/>
      <c r="J243" s="3"/>
      <c r="L243" s="3"/>
    </row>
    <row r="244" spans="1:12" x14ac:dyDescent="0.2">
      <c r="A244" s="3"/>
      <c r="B244" s="3"/>
      <c r="C244" s="3"/>
      <c r="D244" s="3"/>
      <c r="E244" s="3"/>
      <c r="F244" s="3"/>
      <c r="G244" s="3"/>
      <c r="J244" s="3"/>
      <c r="L244" s="3"/>
    </row>
    <row r="245" spans="1:12" x14ac:dyDescent="0.2">
      <c r="A245" s="3"/>
      <c r="B245" s="3"/>
      <c r="C245" s="3"/>
      <c r="D245" s="3"/>
      <c r="E245" s="3"/>
      <c r="F245" s="3"/>
      <c r="G245" s="3"/>
      <c r="J245" s="3"/>
      <c r="L245" s="3"/>
    </row>
    <row r="246" spans="1:12" x14ac:dyDescent="0.2">
      <c r="A246" s="3"/>
      <c r="B246" s="3"/>
      <c r="C246" s="3"/>
      <c r="D246" s="3"/>
      <c r="E246" s="3"/>
      <c r="F246" s="3"/>
      <c r="G246" s="3"/>
      <c r="J246" s="3"/>
      <c r="L246" s="3"/>
    </row>
    <row r="247" spans="1:12" x14ac:dyDescent="0.2">
      <c r="A247" s="3"/>
      <c r="B247" s="3"/>
      <c r="C247" s="3"/>
      <c r="D247" s="3"/>
      <c r="E247" s="3"/>
      <c r="F247" s="3"/>
      <c r="G247" s="3"/>
      <c r="J247" s="3"/>
      <c r="L247" s="3"/>
    </row>
    <row r="248" spans="1:12" x14ac:dyDescent="0.2">
      <c r="A248" s="3"/>
      <c r="B248" s="3"/>
      <c r="C248" s="3"/>
      <c r="D248" s="3"/>
      <c r="E248" s="3"/>
      <c r="F248" s="3"/>
      <c r="G248" s="3"/>
      <c r="J248" s="3"/>
      <c r="L248" s="3"/>
    </row>
    <row r="249" spans="1:12" x14ac:dyDescent="0.2">
      <c r="A249" s="3"/>
      <c r="B249" s="3"/>
      <c r="C249" s="3"/>
      <c r="D249" s="3"/>
      <c r="E249" s="3"/>
      <c r="F249" s="3"/>
      <c r="G249" s="3"/>
      <c r="J249" s="3"/>
      <c r="L249" s="3"/>
    </row>
    <row r="250" spans="1:12" x14ac:dyDescent="0.2">
      <c r="A250" s="3"/>
      <c r="B250" s="3"/>
      <c r="C250" s="3"/>
      <c r="D250" s="3"/>
      <c r="E250" s="3"/>
      <c r="F250" s="3"/>
      <c r="G250" s="3"/>
      <c r="J250" s="3"/>
      <c r="L250" s="3"/>
    </row>
    <row r="251" spans="1:12" x14ac:dyDescent="0.2">
      <c r="A251" s="3"/>
      <c r="B251" s="3"/>
      <c r="C251" s="3"/>
      <c r="D251" s="3"/>
      <c r="E251" s="3"/>
      <c r="F251" s="3"/>
      <c r="G251" s="3"/>
      <c r="J251" s="3"/>
      <c r="L251" s="3"/>
    </row>
    <row r="252" spans="1:12" x14ac:dyDescent="0.2">
      <c r="A252" s="3"/>
      <c r="B252" s="3"/>
      <c r="C252" s="3"/>
      <c r="D252" s="3"/>
      <c r="E252" s="3"/>
      <c r="F252" s="3"/>
      <c r="G252" s="3"/>
      <c r="J252" s="3"/>
      <c r="L252" s="3"/>
    </row>
    <row r="253" spans="1:12" x14ac:dyDescent="0.2">
      <c r="A253" s="3"/>
      <c r="B253" s="3"/>
      <c r="C253" s="3"/>
      <c r="D253" s="3"/>
      <c r="E253" s="3"/>
      <c r="F253" s="3"/>
      <c r="G253" s="3"/>
      <c r="J253" s="3"/>
      <c r="L253" s="3"/>
    </row>
    <row r="254" spans="1:12" x14ac:dyDescent="0.2">
      <c r="A254" s="3"/>
      <c r="B254" s="3"/>
      <c r="C254" s="3"/>
      <c r="D254" s="3"/>
      <c r="E254" s="3"/>
      <c r="F254" s="3"/>
      <c r="G254" s="3"/>
      <c r="J254" s="3"/>
      <c r="L254" s="3"/>
    </row>
    <row r="255" spans="1:12" x14ac:dyDescent="0.2">
      <c r="A255" s="3"/>
      <c r="B255" s="3"/>
      <c r="C255" s="3"/>
      <c r="D255" s="3"/>
      <c r="E255" s="3"/>
      <c r="F255" s="3"/>
      <c r="G255" s="3"/>
      <c r="J255" s="3"/>
      <c r="L255" s="3"/>
    </row>
    <row r="256" spans="1:12" x14ac:dyDescent="0.2">
      <c r="A256" s="3"/>
      <c r="B256" s="3"/>
      <c r="C256" s="3"/>
      <c r="D256" s="3"/>
      <c r="E256" s="3"/>
      <c r="F256" s="3"/>
      <c r="G256" s="3"/>
      <c r="J256" s="3"/>
      <c r="L256" s="3"/>
    </row>
    <row r="257" spans="1:12" x14ac:dyDescent="0.2">
      <c r="A257" s="3"/>
      <c r="B257" s="3"/>
      <c r="C257" s="3"/>
      <c r="D257" s="3"/>
      <c r="E257" s="3"/>
      <c r="F257" s="3"/>
      <c r="G257" s="3"/>
      <c r="J257" s="3"/>
      <c r="L257" s="3"/>
    </row>
    <row r="258" spans="1:12" x14ac:dyDescent="0.2">
      <c r="A258" s="3"/>
      <c r="B258" s="3"/>
      <c r="C258" s="3"/>
      <c r="D258" s="3"/>
      <c r="E258" s="3"/>
      <c r="F258" s="3"/>
      <c r="G258" s="3"/>
      <c r="J258" s="3"/>
      <c r="L258" s="3"/>
    </row>
    <row r="259" spans="1:12" x14ac:dyDescent="0.2">
      <c r="A259" s="3"/>
      <c r="B259" s="3"/>
      <c r="C259" s="3"/>
      <c r="D259" s="3"/>
      <c r="E259" s="3"/>
      <c r="F259" s="3"/>
      <c r="G259" s="3"/>
      <c r="J259" s="3"/>
      <c r="L259" s="3"/>
    </row>
    <row r="260" spans="1:12" x14ac:dyDescent="0.2">
      <c r="A260" s="3"/>
      <c r="B260" s="3"/>
      <c r="C260" s="3"/>
      <c r="D260" s="3"/>
      <c r="E260" s="3"/>
      <c r="F260" s="3"/>
      <c r="G260" s="3"/>
      <c r="J260" s="3"/>
      <c r="L260" s="3"/>
    </row>
    <row r="261" spans="1:12" x14ac:dyDescent="0.2">
      <c r="A261" s="3"/>
      <c r="B261" s="3"/>
      <c r="C261" s="3"/>
      <c r="D261" s="3"/>
      <c r="E261" s="3"/>
      <c r="F261" s="3"/>
      <c r="G261" s="3"/>
      <c r="J261" s="3"/>
      <c r="L261" s="3"/>
    </row>
    <row r="262" spans="1:12" x14ac:dyDescent="0.2">
      <c r="A262" s="3"/>
      <c r="B262" s="3"/>
      <c r="C262" s="3"/>
      <c r="D262" s="3"/>
      <c r="E262" s="3"/>
      <c r="F262" s="3"/>
      <c r="G262" s="3"/>
      <c r="J262" s="3"/>
      <c r="L262" s="3"/>
    </row>
    <row r="263" spans="1:12" x14ac:dyDescent="0.2">
      <c r="A263" s="3"/>
      <c r="B263" s="3"/>
      <c r="C263" s="3"/>
      <c r="D263" s="3"/>
      <c r="E263" s="3"/>
      <c r="F263" s="3"/>
      <c r="G263" s="3"/>
      <c r="J263" s="3"/>
      <c r="L263" s="3"/>
    </row>
    <row r="264" spans="1:12" x14ac:dyDescent="0.2">
      <c r="A264" s="3"/>
      <c r="B264" s="3"/>
      <c r="C264" s="3"/>
      <c r="D264" s="3"/>
      <c r="E264" s="3"/>
      <c r="F264" s="3"/>
      <c r="G264" s="3"/>
      <c r="J264" s="3"/>
      <c r="L264" s="3"/>
    </row>
    <row r="265" spans="1:12" x14ac:dyDescent="0.2">
      <c r="A265" s="3"/>
      <c r="B265" s="3"/>
      <c r="C265" s="3"/>
      <c r="D265" s="3"/>
      <c r="E265" s="3"/>
      <c r="F265" s="3"/>
      <c r="G265" s="3"/>
      <c r="J265" s="3"/>
      <c r="L265" s="3"/>
    </row>
    <row r="266" spans="1:12" x14ac:dyDescent="0.2">
      <c r="A266" s="3"/>
      <c r="B266" s="3"/>
      <c r="C266" s="3"/>
      <c r="D266" s="3"/>
      <c r="E266" s="3"/>
      <c r="F266" s="3"/>
      <c r="G266" s="3"/>
      <c r="J266" s="3"/>
      <c r="L266" s="3"/>
    </row>
    <row r="267" spans="1:12" x14ac:dyDescent="0.2">
      <c r="A267" s="3"/>
      <c r="B267" s="3"/>
      <c r="C267" s="3"/>
      <c r="D267" s="3"/>
      <c r="E267" s="3"/>
      <c r="F267" s="3"/>
      <c r="G267" s="3"/>
      <c r="J267" s="3"/>
      <c r="L267" s="3"/>
    </row>
    <row r="268" spans="1:12" x14ac:dyDescent="0.2">
      <c r="A268" s="3"/>
      <c r="B268" s="3"/>
      <c r="C268" s="3"/>
      <c r="D268" s="3"/>
      <c r="E268" s="3"/>
      <c r="F268" s="3"/>
      <c r="G268" s="3"/>
      <c r="J268" s="3"/>
      <c r="L268" s="3"/>
    </row>
    <row r="269" spans="1:12" x14ac:dyDescent="0.2">
      <c r="A269" s="3"/>
      <c r="B269" s="3"/>
      <c r="C269" s="3"/>
      <c r="D269" s="3"/>
      <c r="E269" s="3"/>
      <c r="F269" s="3"/>
      <c r="G269" s="3"/>
      <c r="J269" s="3"/>
      <c r="L269" s="3"/>
    </row>
    <row r="270" spans="1:12" x14ac:dyDescent="0.2">
      <c r="A270" s="3"/>
      <c r="B270" s="3"/>
      <c r="C270" s="3"/>
      <c r="D270" s="3"/>
      <c r="E270" s="3"/>
      <c r="F270" s="3"/>
      <c r="G270" s="3"/>
      <c r="J270" s="3"/>
      <c r="L270" s="3"/>
    </row>
    <row r="271" spans="1:12" x14ac:dyDescent="0.2">
      <c r="A271" s="3"/>
      <c r="B271" s="3"/>
      <c r="C271" s="3"/>
      <c r="D271" s="3"/>
      <c r="E271" s="3"/>
      <c r="F271" s="3"/>
      <c r="G271" s="3"/>
      <c r="J271" s="3"/>
      <c r="L271" s="3"/>
    </row>
    <row r="272" spans="1:12" x14ac:dyDescent="0.2">
      <c r="A272" s="3"/>
      <c r="B272" s="3"/>
      <c r="C272" s="3"/>
      <c r="D272" s="3"/>
      <c r="E272" s="3"/>
      <c r="F272" s="3"/>
      <c r="G272" s="3"/>
      <c r="J272" s="3"/>
      <c r="L272" s="3"/>
    </row>
    <row r="273" spans="1:12" x14ac:dyDescent="0.2">
      <c r="A273" s="3"/>
      <c r="B273" s="3"/>
      <c r="C273" s="3"/>
      <c r="D273" s="3"/>
      <c r="E273" s="3"/>
      <c r="F273" s="3"/>
      <c r="G273" s="3"/>
      <c r="J273" s="3"/>
      <c r="L273" s="3"/>
    </row>
    <row r="274" spans="1:12" x14ac:dyDescent="0.2">
      <c r="A274" s="3"/>
      <c r="B274" s="3"/>
      <c r="C274" s="3"/>
      <c r="D274" s="3"/>
      <c r="E274" s="3"/>
      <c r="F274" s="3"/>
      <c r="G274" s="3"/>
      <c r="J274" s="3"/>
      <c r="L274" s="3"/>
    </row>
    <row r="275" spans="1:12" x14ac:dyDescent="0.2">
      <c r="A275" s="3"/>
      <c r="B275" s="3"/>
      <c r="C275" s="3"/>
      <c r="D275" s="3"/>
      <c r="E275" s="3"/>
      <c r="F275" s="3"/>
      <c r="G275" s="3"/>
      <c r="J275" s="3"/>
      <c r="L275" s="3"/>
    </row>
    <row r="276" spans="1:12" x14ac:dyDescent="0.2">
      <c r="A276" s="3"/>
      <c r="B276" s="3"/>
      <c r="C276" s="3"/>
      <c r="D276" s="3"/>
      <c r="E276" s="3"/>
      <c r="F276" s="3"/>
      <c r="G276" s="3"/>
      <c r="J276" s="3"/>
      <c r="L276" s="3"/>
    </row>
    <row r="277" spans="1:12" x14ac:dyDescent="0.2">
      <c r="A277" s="3"/>
      <c r="B277" s="3"/>
      <c r="C277" s="3"/>
      <c r="D277" s="3"/>
      <c r="E277" s="3"/>
      <c r="F277" s="3"/>
      <c r="G277" s="3"/>
      <c r="J277" s="3"/>
      <c r="L277" s="3"/>
    </row>
    <row r="278" spans="1:12" x14ac:dyDescent="0.2">
      <c r="A278" s="3"/>
      <c r="B278" s="3"/>
      <c r="C278" s="3"/>
      <c r="D278" s="3"/>
      <c r="E278" s="3"/>
      <c r="F278" s="3"/>
      <c r="G278" s="3"/>
      <c r="J278" s="3"/>
      <c r="L278" s="3"/>
    </row>
    <row r="279" spans="1:12" x14ac:dyDescent="0.2">
      <c r="A279" s="3"/>
      <c r="B279" s="3"/>
      <c r="C279" s="3"/>
      <c r="D279" s="3"/>
      <c r="E279" s="3"/>
      <c r="F279" s="3"/>
      <c r="G279" s="3"/>
      <c r="J279" s="3"/>
      <c r="L279" s="3"/>
    </row>
    <row r="280" spans="1:12" x14ac:dyDescent="0.2">
      <c r="A280" s="3"/>
      <c r="B280" s="3"/>
      <c r="C280" s="3"/>
      <c r="D280" s="3"/>
      <c r="E280" s="3"/>
      <c r="F280" s="3"/>
      <c r="G280" s="3"/>
      <c r="J280" s="3"/>
      <c r="L280" s="3"/>
    </row>
    <row r="281" spans="1:12" x14ac:dyDescent="0.2">
      <c r="A281" s="3"/>
      <c r="B281" s="3"/>
      <c r="C281" s="3"/>
      <c r="D281" s="3"/>
      <c r="E281" s="3"/>
      <c r="F281" s="3"/>
      <c r="G281" s="3"/>
      <c r="J281" s="3"/>
      <c r="L281" s="3"/>
    </row>
    <row r="282" spans="1:12" x14ac:dyDescent="0.2">
      <c r="A282" s="3"/>
      <c r="B282" s="3"/>
      <c r="C282" s="3"/>
      <c r="D282" s="3"/>
      <c r="E282" s="3"/>
      <c r="F282" s="3"/>
      <c r="G282" s="3"/>
      <c r="J282" s="3"/>
      <c r="L282" s="3"/>
    </row>
    <row r="283" spans="1:12" x14ac:dyDescent="0.2">
      <c r="A283" s="3"/>
      <c r="B283" s="3"/>
      <c r="C283" s="3"/>
      <c r="D283" s="3"/>
      <c r="E283" s="3"/>
      <c r="F283" s="3"/>
      <c r="G283" s="3"/>
      <c r="J283" s="3"/>
      <c r="L283" s="3"/>
    </row>
    <row r="284" spans="1:12" x14ac:dyDescent="0.2">
      <c r="A284" s="3"/>
      <c r="B284" s="3"/>
      <c r="C284" s="3"/>
      <c r="D284" s="3"/>
      <c r="E284" s="3"/>
      <c r="F284" s="3"/>
      <c r="G284" s="3"/>
      <c r="J284" s="3"/>
      <c r="L284" s="3"/>
    </row>
    <row r="285" spans="1:12" x14ac:dyDescent="0.2">
      <c r="A285" s="3"/>
      <c r="B285" s="3"/>
      <c r="C285" s="3"/>
      <c r="D285" s="3"/>
      <c r="E285" s="3"/>
      <c r="F285" s="3"/>
      <c r="G285" s="3"/>
      <c r="J285" s="3"/>
      <c r="L285" s="3"/>
    </row>
    <row r="286" spans="1:12" x14ac:dyDescent="0.2">
      <c r="A286" s="3"/>
      <c r="B286" s="3"/>
      <c r="C286" s="3"/>
      <c r="D286" s="3"/>
      <c r="E286" s="3"/>
      <c r="F286" s="3"/>
      <c r="G286" s="3"/>
      <c r="J286" s="3"/>
      <c r="L286" s="3"/>
    </row>
    <row r="287" spans="1:12" x14ac:dyDescent="0.2">
      <c r="A287" s="3"/>
      <c r="B287" s="3"/>
      <c r="C287" s="3"/>
      <c r="D287" s="3"/>
      <c r="E287" s="3"/>
      <c r="F287" s="3"/>
      <c r="G287" s="3"/>
      <c r="J287" s="3"/>
      <c r="L287" s="3"/>
    </row>
    <row r="288" spans="1:12" x14ac:dyDescent="0.2">
      <c r="A288" s="3"/>
      <c r="B288" s="3"/>
      <c r="C288" s="3"/>
      <c r="D288" s="3"/>
      <c r="E288" s="3"/>
      <c r="F288" s="3"/>
      <c r="G288" s="3"/>
      <c r="J288" s="3"/>
      <c r="L288" s="3"/>
    </row>
    <row r="289" spans="1:12" x14ac:dyDescent="0.2">
      <c r="A289" s="3"/>
      <c r="B289" s="3"/>
      <c r="C289" s="3"/>
      <c r="D289" s="3"/>
      <c r="E289" s="3"/>
      <c r="F289" s="3"/>
      <c r="G289" s="3"/>
      <c r="J289" s="3"/>
      <c r="L289" s="3"/>
    </row>
    <row r="290" spans="1:12" x14ac:dyDescent="0.2">
      <c r="A290" s="3"/>
      <c r="B290" s="3"/>
      <c r="C290" s="3"/>
      <c r="D290" s="3"/>
      <c r="E290" s="3"/>
      <c r="F290" s="3"/>
      <c r="G290" s="3"/>
      <c r="J290" s="3"/>
      <c r="L290" s="3"/>
    </row>
    <row r="291" spans="1:12" x14ac:dyDescent="0.2">
      <c r="A291" s="3"/>
      <c r="B291" s="3"/>
      <c r="C291" s="3"/>
      <c r="D291" s="3"/>
      <c r="E291" s="3"/>
      <c r="F291" s="3"/>
      <c r="G291" s="3"/>
      <c r="J291" s="3"/>
      <c r="L291" s="3"/>
    </row>
    <row r="292" spans="1:12" x14ac:dyDescent="0.2">
      <c r="A292" s="3"/>
      <c r="B292" s="3"/>
      <c r="C292" s="3"/>
      <c r="D292" s="3"/>
      <c r="E292" s="3"/>
      <c r="F292" s="3"/>
      <c r="G292" s="3"/>
      <c r="J292" s="3"/>
      <c r="L292" s="3"/>
    </row>
    <row r="293" spans="1:12" x14ac:dyDescent="0.2">
      <c r="A293" s="3"/>
      <c r="B293" s="3"/>
      <c r="C293" s="3"/>
      <c r="D293" s="3"/>
      <c r="E293" s="3"/>
      <c r="F293" s="3"/>
      <c r="G293" s="3"/>
      <c r="J293" s="3"/>
      <c r="L293" s="3"/>
    </row>
    <row r="294" spans="1:12" x14ac:dyDescent="0.2">
      <c r="A294" s="3"/>
      <c r="B294" s="3"/>
      <c r="C294" s="3"/>
      <c r="D294" s="3"/>
      <c r="E294" s="3"/>
      <c r="F294" s="3"/>
      <c r="G294" s="3"/>
      <c r="J294" s="3"/>
      <c r="L294" s="3"/>
    </row>
    <row r="295" spans="1:12" x14ac:dyDescent="0.2">
      <c r="A295" s="3"/>
      <c r="B295" s="3"/>
      <c r="C295" s="3"/>
      <c r="D295" s="3"/>
      <c r="E295" s="3"/>
      <c r="F295" s="3"/>
      <c r="G295" s="3"/>
      <c r="J295" s="3"/>
      <c r="L295" s="3"/>
    </row>
    <row r="296" spans="1:12" x14ac:dyDescent="0.2">
      <c r="A296" s="3"/>
      <c r="B296" s="3"/>
      <c r="C296" s="3"/>
      <c r="D296" s="3"/>
      <c r="E296" s="3"/>
      <c r="F296" s="3"/>
      <c r="G296" s="3"/>
      <c r="J296" s="3"/>
      <c r="L296" s="3"/>
    </row>
    <row r="297" spans="1:12" x14ac:dyDescent="0.2">
      <c r="A297" s="3"/>
      <c r="B297" s="3"/>
      <c r="C297" s="3"/>
      <c r="D297" s="3"/>
      <c r="E297" s="3"/>
      <c r="F297" s="3"/>
      <c r="G297" s="3"/>
      <c r="J297" s="3"/>
      <c r="L297" s="3"/>
    </row>
    <row r="298" spans="1:12" x14ac:dyDescent="0.2">
      <c r="A298" s="3"/>
      <c r="B298" s="3"/>
      <c r="C298" s="3"/>
      <c r="D298" s="3"/>
      <c r="E298" s="3"/>
      <c r="F298" s="3"/>
      <c r="G298" s="3"/>
      <c r="J298" s="3"/>
      <c r="L298" s="3"/>
    </row>
    <row r="299" spans="1:12" x14ac:dyDescent="0.2">
      <c r="A299" s="3"/>
      <c r="B299" s="3"/>
      <c r="C299" s="3"/>
      <c r="D299" s="3"/>
      <c r="E299" s="3"/>
      <c r="F299" s="3"/>
      <c r="G299" s="3"/>
      <c r="J299" s="3"/>
      <c r="L299" s="3"/>
    </row>
    <row r="300" spans="1:12" x14ac:dyDescent="0.2">
      <c r="A300" s="3"/>
      <c r="B300" s="3"/>
      <c r="C300" s="3"/>
      <c r="D300" s="3"/>
      <c r="E300" s="3"/>
      <c r="F300" s="3"/>
      <c r="G300" s="3"/>
      <c r="J300" s="3"/>
      <c r="L300" s="3"/>
    </row>
    <row r="301" spans="1:12" x14ac:dyDescent="0.2">
      <c r="A301" s="3"/>
      <c r="B301" s="3"/>
      <c r="C301" s="3"/>
      <c r="D301" s="3"/>
      <c r="E301" s="3"/>
      <c r="F301" s="3"/>
      <c r="G301" s="3"/>
      <c r="J301" s="3"/>
      <c r="L301" s="3"/>
    </row>
    <row r="302" spans="1:12" x14ac:dyDescent="0.2">
      <c r="A302" s="3"/>
      <c r="B302" s="3"/>
      <c r="C302" s="3"/>
      <c r="D302" s="3"/>
      <c r="E302" s="3"/>
      <c r="F302" s="3"/>
      <c r="G302" s="3"/>
      <c r="J302" s="3"/>
      <c r="L302" s="3"/>
    </row>
    <row r="303" spans="1:12" x14ac:dyDescent="0.2">
      <c r="A303" s="3"/>
      <c r="B303" s="3"/>
      <c r="C303" s="3"/>
      <c r="D303" s="3"/>
      <c r="E303" s="3"/>
      <c r="F303" s="3"/>
      <c r="G303" s="3"/>
      <c r="J303" s="3"/>
      <c r="L303" s="3"/>
    </row>
    <row r="304" spans="1:12" x14ac:dyDescent="0.2">
      <c r="A304" s="3"/>
      <c r="B304" s="3"/>
      <c r="C304" s="3"/>
      <c r="D304" s="3"/>
      <c r="E304" s="3"/>
      <c r="F304" s="3"/>
      <c r="G304" s="3"/>
      <c r="J304" s="3"/>
      <c r="L304" s="3"/>
    </row>
    <row r="305" spans="1:12" x14ac:dyDescent="0.2">
      <c r="A305" s="3"/>
      <c r="B305" s="3"/>
      <c r="C305" s="3"/>
      <c r="D305" s="3"/>
      <c r="E305" s="3"/>
      <c r="F305" s="3"/>
      <c r="G305" s="3"/>
      <c r="J305" s="3"/>
      <c r="L305" s="3"/>
    </row>
    <row r="306" spans="1:12" x14ac:dyDescent="0.2">
      <c r="A306" s="3"/>
      <c r="B306" s="3"/>
      <c r="C306" s="3"/>
      <c r="D306" s="3"/>
      <c r="E306" s="3"/>
      <c r="F306" s="3"/>
      <c r="G306" s="3"/>
      <c r="J306" s="3"/>
      <c r="L306" s="3"/>
    </row>
    <row r="307" spans="1:12" x14ac:dyDescent="0.2">
      <c r="A307" s="3"/>
      <c r="B307" s="3"/>
      <c r="C307" s="3"/>
      <c r="D307" s="3"/>
      <c r="E307" s="3"/>
      <c r="F307" s="3"/>
      <c r="G307" s="3"/>
      <c r="J307" s="3"/>
      <c r="L307" s="3"/>
    </row>
    <row r="308" spans="1:12" x14ac:dyDescent="0.2">
      <c r="A308" s="3"/>
      <c r="B308" s="3"/>
      <c r="C308" s="3"/>
      <c r="D308" s="3"/>
      <c r="E308" s="3"/>
      <c r="F308" s="3"/>
      <c r="G308" s="3"/>
      <c r="J308" s="3"/>
      <c r="L308" s="3"/>
    </row>
    <row r="309" spans="1:12" x14ac:dyDescent="0.2">
      <c r="A309" s="3"/>
      <c r="B309" s="3"/>
      <c r="C309" s="3"/>
      <c r="D309" s="3"/>
      <c r="E309" s="3"/>
      <c r="F309" s="3"/>
      <c r="G309" s="3"/>
      <c r="J309" s="3"/>
      <c r="L309" s="3"/>
    </row>
    <row r="310" spans="1:12" x14ac:dyDescent="0.2">
      <c r="A310" s="3"/>
      <c r="B310" s="3"/>
      <c r="C310" s="3"/>
      <c r="D310" s="3"/>
      <c r="E310" s="3"/>
      <c r="F310" s="3"/>
      <c r="G310" s="3"/>
      <c r="J310" s="3"/>
      <c r="L310" s="3"/>
    </row>
    <row r="311" spans="1:12" x14ac:dyDescent="0.2">
      <c r="A311" s="3"/>
      <c r="B311" s="3"/>
      <c r="C311" s="3"/>
      <c r="D311" s="3"/>
      <c r="E311" s="3"/>
      <c r="F311" s="3"/>
      <c r="G311" s="3"/>
      <c r="J311" s="3"/>
      <c r="L311" s="3"/>
    </row>
    <row r="312" spans="1:12" x14ac:dyDescent="0.2">
      <c r="A312" s="3"/>
      <c r="B312" s="3"/>
      <c r="C312" s="3"/>
      <c r="D312" s="3"/>
      <c r="E312" s="3"/>
      <c r="F312" s="3"/>
      <c r="G312" s="3"/>
      <c r="J312" s="3"/>
      <c r="L312" s="3"/>
    </row>
    <row r="313" spans="1:12" x14ac:dyDescent="0.2">
      <c r="A313" s="3"/>
      <c r="B313" s="3"/>
      <c r="C313" s="3"/>
      <c r="D313" s="3"/>
      <c r="E313" s="3"/>
      <c r="F313" s="3"/>
      <c r="G313" s="3"/>
      <c r="J313" s="3"/>
      <c r="L313" s="3"/>
    </row>
    <row r="314" spans="1:12" x14ac:dyDescent="0.2">
      <c r="A314" s="3"/>
      <c r="B314" s="3"/>
      <c r="C314" s="3"/>
      <c r="D314" s="3"/>
      <c r="E314" s="3"/>
      <c r="F314" s="3"/>
      <c r="G314" s="3"/>
      <c r="J314" s="3"/>
      <c r="L314" s="3"/>
    </row>
    <row r="315" spans="1:12" x14ac:dyDescent="0.2">
      <c r="A315" s="3"/>
      <c r="B315" s="3"/>
      <c r="C315" s="3"/>
      <c r="D315" s="3"/>
      <c r="E315" s="3"/>
      <c r="F315" s="3"/>
      <c r="G315" s="3"/>
      <c r="J315" s="3"/>
      <c r="L315" s="3"/>
    </row>
    <row r="316" spans="1:12" x14ac:dyDescent="0.2">
      <c r="A316" s="3"/>
      <c r="B316" s="3"/>
      <c r="C316" s="3"/>
      <c r="D316" s="3"/>
      <c r="E316" s="3"/>
      <c r="F316" s="3"/>
      <c r="G316" s="3"/>
      <c r="J316" s="3"/>
      <c r="L316" s="3"/>
    </row>
    <row r="317" spans="1:12" x14ac:dyDescent="0.2">
      <c r="A317" s="3"/>
      <c r="B317" s="3"/>
      <c r="C317" s="3"/>
      <c r="D317" s="3"/>
      <c r="E317" s="3"/>
      <c r="F317" s="3"/>
      <c r="G317" s="3"/>
      <c r="J317" s="3"/>
      <c r="L317" s="3"/>
    </row>
    <row r="318" spans="1:12" x14ac:dyDescent="0.2">
      <c r="A318" s="3"/>
      <c r="B318" s="3"/>
      <c r="C318" s="3"/>
      <c r="D318" s="3"/>
      <c r="E318" s="3"/>
      <c r="F318" s="3"/>
      <c r="G318" s="3"/>
      <c r="J318" s="3"/>
      <c r="L318" s="3"/>
    </row>
    <row r="319" spans="1:12" x14ac:dyDescent="0.2">
      <c r="A319" s="3"/>
      <c r="B319" s="3"/>
      <c r="C319" s="3"/>
      <c r="D319" s="3"/>
      <c r="E319" s="3"/>
      <c r="F319" s="3"/>
      <c r="G319" s="3"/>
      <c r="J319" s="3"/>
      <c r="L319" s="3"/>
    </row>
    <row r="320" spans="1:12" x14ac:dyDescent="0.2">
      <c r="A320" s="3"/>
      <c r="B320" s="3"/>
      <c r="C320" s="3"/>
      <c r="D320" s="3"/>
      <c r="E320" s="3"/>
      <c r="F320" s="3"/>
      <c r="G320" s="3"/>
      <c r="J320" s="3"/>
      <c r="L320" s="3"/>
    </row>
    <row r="321" spans="1:12" x14ac:dyDescent="0.2">
      <c r="A321" s="3"/>
      <c r="B321" s="3"/>
      <c r="C321" s="3"/>
      <c r="D321" s="3"/>
      <c r="E321" s="3"/>
      <c r="F321" s="3"/>
      <c r="G321" s="3"/>
      <c r="J321" s="3"/>
      <c r="L321" s="3"/>
    </row>
    <row r="322" spans="1:12" x14ac:dyDescent="0.2">
      <c r="A322" s="3"/>
      <c r="B322" s="3"/>
      <c r="C322" s="3"/>
      <c r="D322" s="3"/>
      <c r="E322" s="3"/>
      <c r="F322" s="3"/>
      <c r="G322" s="3"/>
      <c r="J322" s="3"/>
      <c r="L322" s="3"/>
    </row>
    <row r="323" spans="1:12" x14ac:dyDescent="0.2">
      <c r="A323" s="3"/>
      <c r="B323" s="3"/>
      <c r="C323" s="3"/>
      <c r="D323" s="3"/>
      <c r="E323" s="3"/>
      <c r="F323" s="3"/>
      <c r="G323" s="3"/>
      <c r="J323" s="3"/>
      <c r="L323" s="3"/>
    </row>
    <row r="324" spans="1:12" x14ac:dyDescent="0.2">
      <c r="A324" s="3"/>
      <c r="B324" s="3"/>
      <c r="C324" s="3"/>
      <c r="D324" s="3"/>
      <c r="E324" s="3"/>
      <c r="F324" s="3"/>
      <c r="G324" s="3"/>
      <c r="J324" s="3"/>
      <c r="L324" s="3"/>
    </row>
    <row r="325" spans="1:12" x14ac:dyDescent="0.2">
      <c r="A325" s="3"/>
      <c r="B325" s="3"/>
      <c r="C325" s="3"/>
      <c r="D325" s="3"/>
      <c r="E325" s="3"/>
      <c r="F325" s="3"/>
      <c r="G325" s="3"/>
      <c r="J325" s="3"/>
      <c r="L325" s="3"/>
    </row>
    <row r="326" spans="1:12" x14ac:dyDescent="0.2">
      <c r="A326" s="3"/>
      <c r="B326" s="3"/>
      <c r="C326" s="3"/>
      <c r="D326" s="3"/>
      <c r="E326" s="3"/>
      <c r="F326" s="3"/>
      <c r="G326" s="3"/>
      <c r="J326" s="3"/>
      <c r="L326" s="3"/>
    </row>
    <row r="327" spans="1:12" x14ac:dyDescent="0.2">
      <c r="A327" s="3"/>
      <c r="B327" s="3"/>
      <c r="C327" s="3"/>
      <c r="D327" s="3"/>
      <c r="E327" s="3"/>
      <c r="F327" s="3"/>
      <c r="G327" s="3"/>
      <c r="J327" s="3"/>
      <c r="L327" s="3"/>
    </row>
    <row r="328" spans="1:12" x14ac:dyDescent="0.2">
      <c r="A328" s="3"/>
      <c r="B328" s="3"/>
      <c r="C328" s="3"/>
      <c r="D328" s="3"/>
      <c r="E328" s="3"/>
      <c r="F328" s="3"/>
      <c r="G328" s="3"/>
      <c r="J328" s="3"/>
      <c r="L328" s="3"/>
    </row>
    <row r="329" spans="1:12" x14ac:dyDescent="0.2">
      <c r="A329" s="3"/>
      <c r="B329" s="3"/>
      <c r="C329" s="3"/>
      <c r="D329" s="3"/>
      <c r="E329" s="3"/>
      <c r="F329" s="3"/>
      <c r="G329" s="3"/>
      <c r="J329" s="3"/>
      <c r="L329" s="3"/>
    </row>
    <row r="330" spans="1:12" x14ac:dyDescent="0.2">
      <c r="A330" s="3"/>
      <c r="B330" s="3"/>
      <c r="C330" s="3"/>
      <c r="D330" s="3"/>
      <c r="E330" s="3"/>
      <c r="F330" s="3"/>
      <c r="G330" s="3"/>
      <c r="J330" s="3"/>
      <c r="L330" s="3"/>
    </row>
    <row r="331" spans="1:12" x14ac:dyDescent="0.2">
      <c r="A331" s="3"/>
      <c r="B331" s="3"/>
      <c r="C331" s="3"/>
      <c r="D331" s="3"/>
      <c r="E331" s="3"/>
      <c r="F331" s="3"/>
      <c r="G331" s="3"/>
      <c r="J331" s="3"/>
      <c r="L331" s="3"/>
    </row>
    <row r="332" spans="1:12" x14ac:dyDescent="0.2">
      <c r="A332" s="3"/>
      <c r="B332" s="3"/>
      <c r="C332" s="3"/>
      <c r="D332" s="3"/>
      <c r="E332" s="3"/>
      <c r="F332" s="3"/>
      <c r="G332" s="3"/>
      <c r="J332" s="3"/>
      <c r="L332" s="3"/>
    </row>
    <row r="333" spans="1:12" x14ac:dyDescent="0.2">
      <c r="A333" s="3"/>
      <c r="B333" s="3"/>
      <c r="C333" s="3"/>
      <c r="D333" s="3"/>
      <c r="E333" s="3"/>
      <c r="F333" s="3"/>
      <c r="G333" s="3"/>
      <c r="J333" s="3"/>
      <c r="L333" s="3"/>
    </row>
    <row r="334" spans="1:12" x14ac:dyDescent="0.2">
      <c r="A334" s="3"/>
      <c r="B334" s="3"/>
      <c r="C334" s="3"/>
      <c r="D334" s="3"/>
      <c r="E334" s="3"/>
      <c r="F334" s="3"/>
      <c r="G334" s="3"/>
      <c r="J334" s="3"/>
      <c r="L334" s="3"/>
    </row>
    <row r="335" spans="1:12" x14ac:dyDescent="0.2">
      <c r="A335" s="3"/>
      <c r="B335" s="3"/>
      <c r="C335" s="3"/>
      <c r="D335" s="3"/>
      <c r="E335" s="3"/>
      <c r="F335" s="3"/>
      <c r="G335" s="3"/>
      <c r="J335" s="3"/>
      <c r="L335" s="3"/>
    </row>
    <row r="336" spans="1:12" x14ac:dyDescent="0.2">
      <c r="A336" s="3"/>
      <c r="B336" s="3"/>
      <c r="C336" s="3"/>
      <c r="D336" s="3"/>
      <c r="E336" s="3"/>
      <c r="F336" s="3"/>
      <c r="G336" s="3"/>
      <c r="J336" s="3"/>
      <c r="L336" s="3"/>
    </row>
    <row r="337" spans="1:12" x14ac:dyDescent="0.2">
      <c r="A337" s="3"/>
      <c r="B337" s="3"/>
      <c r="C337" s="3"/>
      <c r="D337" s="3"/>
      <c r="E337" s="3"/>
      <c r="F337" s="3"/>
      <c r="G337" s="3"/>
      <c r="J337" s="3"/>
      <c r="L337" s="3"/>
    </row>
    <row r="338" spans="1:12" x14ac:dyDescent="0.2">
      <c r="A338" s="3"/>
      <c r="B338" s="3"/>
      <c r="C338" s="3"/>
      <c r="D338" s="3"/>
      <c r="E338" s="3"/>
      <c r="F338" s="3"/>
      <c r="G338" s="3"/>
      <c r="J338" s="3"/>
      <c r="L338" s="3"/>
    </row>
    <row r="339" spans="1:12" x14ac:dyDescent="0.2">
      <c r="A339" s="3"/>
      <c r="B339" s="3"/>
      <c r="C339" s="3"/>
      <c r="D339" s="3"/>
      <c r="E339" s="3"/>
      <c r="F339" s="3"/>
      <c r="G339" s="3"/>
      <c r="J339" s="3"/>
      <c r="L339" s="3"/>
    </row>
    <row r="340" spans="1:12" x14ac:dyDescent="0.2">
      <c r="A340" s="3"/>
      <c r="B340" s="3"/>
      <c r="C340" s="3"/>
      <c r="D340" s="3"/>
      <c r="E340" s="3"/>
      <c r="F340" s="3"/>
      <c r="G340" s="3"/>
      <c r="J340" s="3"/>
      <c r="L340" s="3"/>
    </row>
    <row r="341" spans="1:12" x14ac:dyDescent="0.2">
      <c r="A341" s="3"/>
      <c r="B341" s="3"/>
      <c r="C341" s="3"/>
      <c r="D341" s="3"/>
      <c r="E341" s="3"/>
      <c r="F341" s="3"/>
      <c r="G341" s="3"/>
      <c r="J341" s="3"/>
      <c r="L341" s="3"/>
    </row>
    <row r="342" spans="1:12" x14ac:dyDescent="0.2">
      <c r="A342" s="3"/>
      <c r="B342" s="3"/>
      <c r="C342" s="3"/>
      <c r="D342" s="3"/>
      <c r="E342" s="3"/>
      <c r="F342" s="3"/>
      <c r="G342" s="3"/>
      <c r="J342" s="3"/>
      <c r="L342" s="3"/>
    </row>
    <row r="343" spans="1:12" x14ac:dyDescent="0.2">
      <c r="A343" s="3"/>
      <c r="B343" s="3"/>
      <c r="C343" s="3"/>
      <c r="D343" s="3"/>
      <c r="E343" s="3"/>
      <c r="F343" s="3"/>
      <c r="G343" s="3"/>
      <c r="J343" s="3"/>
      <c r="L343" s="3"/>
    </row>
    <row r="344" spans="1:12" x14ac:dyDescent="0.2">
      <c r="A344" s="3"/>
      <c r="B344" s="3"/>
      <c r="C344" s="3"/>
      <c r="D344" s="3"/>
      <c r="E344" s="3"/>
      <c r="F344" s="3"/>
      <c r="G344" s="3"/>
      <c r="J344" s="3"/>
      <c r="L344" s="3"/>
    </row>
    <row r="345" spans="1:12" x14ac:dyDescent="0.2">
      <c r="A345" s="3"/>
      <c r="B345" s="3"/>
      <c r="C345" s="3"/>
      <c r="D345" s="3"/>
      <c r="E345" s="3"/>
      <c r="F345" s="3"/>
      <c r="G345" s="3"/>
      <c r="J345" s="3"/>
      <c r="L345" s="3"/>
    </row>
    <row r="346" spans="1:12" x14ac:dyDescent="0.2">
      <c r="A346" s="3"/>
      <c r="B346" s="3"/>
      <c r="C346" s="3"/>
      <c r="D346" s="3"/>
      <c r="E346" s="3"/>
      <c r="F346" s="3"/>
      <c r="G346" s="3"/>
      <c r="J346" s="3"/>
      <c r="L346" s="3"/>
    </row>
    <row r="347" spans="1:12" x14ac:dyDescent="0.2">
      <c r="A347" s="3"/>
      <c r="B347" s="3"/>
      <c r="C347" s="3"/>
      <c r="D347" s="3"/>
      <c r="E347" s="3"/>
      <c r="F347" s="3"/>
      <c r="G347" s="3"/>
      <c r="J347" s="3"/>
      <c r="L347" s="3"/>
    </row>
    <row r="348" spans="1:12" x14ac:dyDescent="0.2">
      <c r="A348" s="3"/>
      <c r="B348" s="3"/>
      <c r="C348" s="3"/>
      <c r="D348" s="3"/>
      <c r="E348" s="3"/>
      <c r="F348" s="3"/>
      <c r="G348" s="3"/>
      <c r="J348" s="3"/>
      <c r="L348" s="3"/>
    </row>
    <row r="349" spans="1:12" x14ac:dyDescent="0.2">
      <c r="A349" s="3"/>
      <c r="B349" s="3"/>
      <c r="C349" s="3"/>
      <c r="D349" s="3"/>
      <c r="E349" s="3"/>
      <c r="F349" s="3"/>
      <c r="G349" s="3"/>
      <c r="J349" s="3"/>
      <c r="L349" s="3"/>
    </row>
    <row r="350" spans="1:12" x14ac:dyDescent="0.2">
      <c r="A350" s="3"/>
      <c r="B350" s="3"/>
      <c r="C350" s="3"/>
      <c r="D350" s="3"/>
      <c r="E350" s="3"/>
      <c r="F350" s="3"/>
      <c r="G350" s="3"/>
      <c r="J350" s="3"/>
      <c r="L350" s="3"/>
    </row>
    <row r="351" spans="1:12" x14ac:dyDescent="0.2">
      <c r="A351" s="3"/>
      <c r="B351" s="3"/>
      <c r="C351" s="3"/>
      <c r="D351" s="3"/>
      <c r="E351" s="3"/>
      <c r="F351" s="3"/>
      <c r="G351" s="3"/>
      <c r="J351" s="3"/>
      <c r="L351" s="3"/>
    </row>
    <row r="352" spans="1:12" x14ac:dyDescent="0.2">
      <c r="A352" s="3"/>
      <c r="B352" s="3"/>
      <c r="C352" s="3"/>
      <c r="D352" s="3"/>
      <c r="E352" s="3"/>
      <c r="F352" s="3"/>
      <c r="G352" s="3"/>
      <c r="J352" s="3"/>
      <c r="L352" s="3"/>
    </row>
    <row r="353" spans="1:12" x14ac:dyDescent="0.2">
      <c r="A353" s="3"/>
      <c r="B353" s="3"/>
      <c r="C353" s="3"/>
      <c r="D353" s="3"/>
      <c r="E353" s="3"/>
      <c r="F353" s="3"/>
      <c r="G353" s="3"/>
      <c r="J353" s="3"/>
      <c r="L353" s="3"/>
    </row>
    <row r="354" spans="1:12" x14ac:dyDescent="0.2">
      <c r="A354" s="3"/>
      <c r="B354" s="3"/>
      <c r="C354" s="3"/>
      <c r="D354" s="3"/>
      <c r="E354" s="3"/>
      <c r="F354" s="3"/>
      <c r="G354" s="3"/>
      <c r="J354" s="3"/>
      <c r="L354" s="3"/>
    </row>
    <row r="355" spans="1:12" x14ac:dyDescent="0.2">
      <c r="A355" s="3"/>
      <c r="B355" s="3"/>
      <c r="C355" s="3"/>
      <c r="D355" s="3"/>
      <c r="E355" s="3"/>
      <c r="F355" s="3"/>
      <c r="G355" s="3"/>
      <c r="J355" s="3"/>
      <c r="L355" s="3"/>
    </row>
    <row r="356" spans="1:12" x14ac:dyDescent="0.2">
      <c r="A356" s="3"/>
      <c r="B356" s="3"/>
      <c r="C356" s="3"/>
      <c r="D356" s="3"/>
      <c r="E356" s="3"/>
      <c r="F356" s="3"/>
      <c r="G356" s="3"/>
      <c r="J356" s="3"/>
      <c r="L356" s="3"/>
    </row>
    <row r="357" spans="1:12" x14ac:dyDescent="0.2">
      <c r="A357" s="3"/>
      <c r="B357" s="3"/>
      <c r="C357" s="3"/>
      <c r="D357" s="3"/>
      <c r="E357" s="3"/>
      <c r="F357" s="3"/>
      <c r="G357" s="3"/>
      <c r="J357" s="3"/>
      <c r="L357" s="3"/>
    </row>
    <row r="358" spans="1:12" x14ac:dyDescent="0.2">
      <c r="A358" s="3"/>
      <c r="B358" s="3"/>
      <c r="C358" s="3"/>
      <c r="D358" s="3"/>
      <c r="E358" s="3"/>
      <c r="F358" s="3"/>
      <c r="G358" s="3"/>
      <c r="J358" s="3"/>
      <c r="L358" s="3"/>
    </row>
    <row r="359" spans="1:12" x14ac:dyDescent="0.2">
      <c r="A359" s="3"/>
      <c r="B359" s="3"/>
      <c r="C359" s="3"/>
      <c r="D359" s="3"/>
      <c r="E359" s="3"/>
      <c r="F359" s="3"/>
      <c r="G359" s="3"/>
      <c r="J359" s="3"/>
      <c r="L359" s="3"/>
    </row>
    <row r="360" spans="1:12" x14ac:dyDescent="0.2">
      <c r="A360" s="3"/>
      <c r="B360" s="3"/>
      <c r="C360" s="3"/>
      <c r="D360" s="3"/>
      <c r="E360" s="3"/>
      <c r="F360" s="3"/>
      <c r="G360" s="3"/>
      <c r="J360" s="3"/>
      <c r="L360" s="3"/>
    </row>
    <row r="361" spans="1:12" x14ac:dyDescent="0.2">
      <c r="A361" s="3"/>
      <c r="B361" s="3"/>
      <c r="C361" s="3"/>
      <c r="D361" s="3"/>
      <c r="E361" s="3"/>
      <c r="F361" s="3"/>
      <c r="G361" s="3"/>
      <c r="J361" s="3"/>
      <c r="L361" s="3"/>
    </row>
    <row r="362" spans="1:12" x14ac:dyDescent="0.2">
      <c r="A362" s="3"/>
      <c r="B362" s="3"/>
      <c r="C362" s="3"/>
      <c r="D362" s="3"/>
      <c r="E362" s="3"/>
      <c r="F362" s="3"/>
      <c r="G362" s="3"/>
      <c r="J362" s="3"/>
      <c r="L362" s="3"/>
    </row>
    <row r="363" spans="1:12" x14ac:dyDescent="0.2">
      <c r="A363" s="3"/>
      <c r="B363" s="3"/>
      <c r="C363" s="3"/>
      <c r="D363" s="3"/>
      <c r="E363" s="3"/>
      <c r="F363" s="3"/>
      <c r="G363" s="3"/>
      <c r="J363" s="3"/>
      <c r="L363" s="3"/>
    </row>
    <row r="364" spans="1:12" x14ac:dyDescent="0.2">
      <c r="A364" s="3"/>
      <c r="B364" s="3"/>
      <c r="C364" s="3"/>
      <c r="D364" s="3"/>
      <c r="E364" s="3"/>
      <c r="F364" s="3"/>
      <c r="G364" s="3"/>
      <c r="J364" s="3"/>
      <c r="L364" s="3"/>
    </row>
    <row r="365" spans="1:12" x14ac:dyDescent="0.2">
      <c r="A365" s="3"/>
      <c r="B365" s="3"/>
      <c r="C365" s="3"/>
      <c r="D365" s="3"/>
      <c r="E365" s="3"/>
      <c r="F365" s="3"/>
      <c r="G365" s="3"/>
      <c r="J365" s="3"/>
      <c r="L365" s="3"/>
    </row>
    <row r="366" spans="1:12" x14ac:dyDescent="0.2">
      <c r="A366" s="3"/>
      <c r="B366" s="3"/>
      <c r="C366" s="3"/>
      <c r="D366" s="3"/>
      <c r="E366" s="3"/>
      <c r="F366" s="3"/>
      <c r="G366" s="3"/>
      <c r="J366" s="3"/>
      <c r="L366" s="3"/>
    </row>
    <row r="367" spans="1:12" x14ac:dyDescent="0.2">
      <c r="A367" s="3"/>
      <c r="B367" s="3"/>
      <c r="C367" s="3"/>
      <c r="D367" s="3"/>
      <c r="E367" s="3"/>
      <c r="F367" s="3"/>
      <c r="G367" s="3"/>
      <c r="J367" s="3"/>
      <c r="L367" s="3"/>
    </row>
    <row r="368" spans="1:12" x14ac:dyDescent="0.2">
      <c r="A368" s="3"/>
      <c r="B368" s="3"/>
      <c r="C368" s="3"/>
      <c r="D368" s="3"/>
      <c r="E368" s="3"/>
      <c r="F368" s="3"/>
      <c r="G368" s="3"/>
      <c r="J368" s="3"/>
      <c r="L368" s="3"/>
    </row>
    <row r="369" spans="1:12" x14ac:dyDescent="0.2">
      <c r="A369" s="3"/>
      <c r="B369" s="3"/>
      <c r="C369" s="3"/>
      <c r="D369" s="3"/>
      <c r="E369" s="3"/>
      <c r="F369" s="3"/>
      <c r="G369" s="3"/>
      <c r="J369" s="3"/>
      <c r="L369" s="3"/>
    </row>
    <row r="370" spans="1:12" x14ac:dyDescent="0.2">
      <c r="A370" s="3"/>
      <c r="B370" s="3"/>
      <c r="C370" s="3"/>
      <c r="D370" s="3"/>
      <c r="E370" s="3"/>
      <c r="F370" s="3"/>
      <c r="G370" s="3"/>
      <c r="J370" s="3"/>
      <c r="L370" s="3"/>
    </row>
    <row r="371" spans="1:12" x14ac:dyDescent="0.2">
      <c r="A371" s="3"/>
      <c r="B371" s="3"/>
      <c r="C371" s="3"/>
      <c r="D371" s="3"/>
      <c r="E371" s="3"/>
      <c r="F371" s="3"/>
      <c r="G371" s="3"/>
      <c r="J371" s="3"/>
      <c r="L371" s="3"/>
    </row>
    <row r="372" spans="1:12" x14ac:dyDescent="0.2">
      <c r="A372" s="3"/>
      <c r="B372" s="3"/>
      <c r="C372" s="3"/>
      <c r="D372" s="3"/>
      <c r="E372" s="3"/>
      <c r="F372" s="3"/>
      <c r="G372" s="3"/>
      <c r="J372" s="3"/>
      <c r="L372" s="3"/>
    </row>
    <row r="373" spans="1:12" x14ac:dyDescent="0.2">
      <c r="A373" s="3"/>
      <c r="B373" s="3"/>
      <c r="C373" s="3"/>
      <c r="D373" s="3"/>
      <c r="E373" s="3"/>
      <c r="F373" s="3"/>
      <c r="G373" s="3"/>
      <c r="J373" s="3"/>
      <c r="L373" s="3"/>
    </row>
    <row r="374" spans="1:12" x14ac:dyDescent="0.2">
      <c r="A374" s="3"/>
      <c r="B374" s="3"/>
      <c r="C374" s="3"/>
      <c r="D374" s="3"/>
      <c r="E374" s="3"/>
      <c r="F374" s="3"/>
      <c r="G374" s="3"/>
      <c r="J374" s="3"/>
      <c r="L374" s="3"/>
    </row>
    <row r="375" spans="1:12" x14ac:dyDescent="0.2">
      <c r="A375" s="3"/>
      <c r="B375" s="3"/>
      <c r="C375" s="3"/>
      <c r="D375" s="3"/>
      <c r="E375" s="3"/>
      <c r="F375" s="3"/>
      <c r="G375" s="3"/>
      <c r="J375" s="3"/>
      <c r="L375" s="3"/>
    </row>
    <row r="376" spans="1:12" x14ac:dyDescent="0.2">
      <c r="A376" s="3"/>
      <c r="B376" s="3"/>
      <c r="C376" s="3"/>
      <c r="D376" s="3"/>
      <c r="E376" s="3"/>
      <c r="F376" s="3"/>
      <c r="G376" s="3"/>
      <c r="J376" s="3"/>
      <c r="L376" s="3"/>
    </row>
    <row r="377" spans="1:12" x14ac:dyDescent="0.2">
      <c r="A377" s="3"/>
      <c r="B377" s="3"/>
      <c r="C377" s="3"/>
      <c r="D377" s="3"/>
      <c r="E377" s="3"/>
      <c r="F377" s="3"/>
      <c r="G377" s="3"/>
      <c r="J377" s="3"/>
      <c r="L377" s="3"/>
    </row>
    <row r="378" spans="1:12" x14ac:dyDescent="0.2">
      <c r="A378" s="3"/>
      <c r="B378" s="3"/>
      <c r="C378" s="3"/>
      <c r="D378" s="3"/>
      <c r="E378" s="3"/>
      <c r="F378" s="3"/>
      <c r="G378" s="3"/>
      <c r="J378" s="3"/>
      <c r="L378" s="3"/>
    </row>
    <row r="379" spans="1:12" x14ac:dyDescent="0.2">
      <c r="A379" s="3"/>
      <c r="B379" s="3"/>
      <c r="C379" s="3"/>
      <c r="D379" s="3"/>
      <c r="E379" s="3"/>
      <c r="F379" s="3"/>
      <c r="G379" s="3"/>
      <c r="J379" s="3"/>
      <c r="L379" s="3"/>
    </row>
    <row r="380" spans="1:12" x14ac:dyDescent="0.2">
      <c r="A380" s="3"/>
      <c r="B380" s="3"/>
      <c r="C380" s="3"/>
      <c r="D380" s="3"/>
      <c r="E380" s="3"/>
      <c r="F380" s="3"/>
      <c r="G380" s="3"/>
      <c r="J380" s="3"/>
      <c r="L380" s="3"/>
    </row>
    <row r="381" spans="1:12" x14ac:dyDescent="0.2">
      <c r="A381" s="3"/>
      <c r="B381" s="3"/>
      <c r="C381" s="3"/>
      <c r="D381" s="3"/>
      <c r="E381" s="3"/>
      <c r="F381" s="3"/>
      <c r="G381" s="3"/>
      <c r="J381" s="3"/>
      <c r="L381" s="3"/>
    </row>
    <row r="382" spans="1:12" x14ac:dyDescent="0.2">
      <c r="A382" s="3"/>
      <c r="B382" s="3"/>
      <c r="C382" s="3"/>
      <c r="D382" s="3"/>
      <c r="E382" s="3"/>
      <c r="F382" s="3"/>
      <c r="G382" s="3"/>
      <c r="J382" s="3"/>
      <c r="L382" s="3"/>
    </row>
    <row r="383" spans="1:12" x14ac:dyDescent="0.2">
      <c r="A383" s="3"/>
      <c r="B383" s="3"/>
      <c r="C383" s="3"/>
      <c r="D383" s="3"/>
      <c r="E383" s="3"/>
      <c r="F383" s="3"/>
      <c r="G383" s="3"/>
      <c r="J383" s="3"/>
      <c r="L383" s="3"/>
    </row>
    <row r="384" spans="1:12" x14ac:dyDescent="0.2">
      <c r="A384" s="3"/>
      <c r="B384" s="3"/>
      <c r="C384" s="3"/>
      <c r="D384" s="3"/>
      <c r="E384" s="3"/>
      <c r="F384" s="3"/>
      <c r="G384" s="3"/>
      <c r="J384" s="3"/>
      <c r="L384" s="3"/>
    </row>
    <row r="385" spans="1:12" x14ac:dyDescent="0.2">
      <c r="A385" s="3"/>
      <c r="B385" s="3"/>
      <c r="C385" s="3"/>
      <c r="D385" s="3"/>
      <c r="E385" s="3"/>
      <c r="F385" s="3"/>
      <c r="G385" s="3"/>
      <c r="J385" s="3"/>
      <c r="L385" s="3"/>
    </row>
    <row r="386" spans="1:12" x14ac:dyDescent="0.2">
      <c r="A386" s="3"/>
      <c r="B386" s="3"/>
      <c r="C386" s="3"/>
      <c r="D386" s="3"/>
      <c r="E386" s="3"/>
      <c r="F386" s="3"/>
      <c r="G386" s="3"/>
      <c r="J386" s="3"/>
      <c r="L386" s="3"/>
    </row>
    <row r="387" spans="1:12" x14ac:dyDescent="0.2">
      <c r="A387" s="3"/>
      <c r="B387" s="3"/>
      <c r="C387" s="3"/>
      <c r="D387" s="3"/>
      <c r="E387" s="3"/>
      <c r="F387" s="3"/>
      <c r="G387" s="3"/>
      <c r="J387" s="3"/>
      <c r="L387" s="3"/>
    </row>
    <row r="388" spans="1:12" x14ac:dyDescent="0.2">
      <c r="A388" s="3"/>
      <c r="B388" s="3"/>
      <c r="C388" s="3"/>
      <c r="D388" s="3"/>
      <c r="E388" s="3"/>
      <c r="F388" s="3"/>
      <c r="G388" s="3"/>
      <c r="J388" s="3"/>
      <c r="L388" s="3"/>
    </row>
    <row r="389" spans="1:12" x14ac:dyDescent="0.2">
      <c r="A389" s="3"/>
      <c r="B389" s="3"/>
      <c r="C389" s="3"/>
      <c r="D389" s="3"/>
      <c r="E389" s="3"/>
      <c r="F389" s="3"/>
      <c r="G389" s="3"/>
      <c r="J389" s="3"/>
      <c r="L389" s="3"/>
    </row>
    <row r="390" spans="1:12" x14ac:dyDescent="0.2">
      <c r="A390" s="3"/>
      <c r="B390" s="3"/>
      <c r="C390" s="3"/>
      <c r="D390" s="3"/>
      <c r="E390" s="3"/>
      <c r="F390" s="3"/>
      <c r="G390" s="3"/>
      <c r="J390" s="3"/>
      <c r="L390" s="3"/>
    </row>
    <row r="391" spans="1:12" x14ac:dyDescent="0.2">
      <c r="A391" s="3"/>
      <c r="B391" s="3"/>
      <c r="C391" s="3"/>
      <c r="D391" s="3"/>
      <c r="E391" s="3"/>
      <c r="F391" s="3"/>
      <c r="G391" s="3"/>
      <c r="J391" s="3"/>
      <c r="L391" s="3"/>
    </row>
    <row r="392" spans="1:12" x14ac:dyDescent="0.2">
      <c r="A392" s="3"/>
      <c r="B392" s="3"/>
      <c r="C392" s="3"/>
      <c r="D392" s="3"/>
      <c r="E392" s="3"/>
      <c r="F392" s="3"/>
      <c r="G392" s="3"/>
      <c r="J392" s="3"/>
      <c r="L392" s="3"/>
    </row>
    <row r="393" spans="1:12" x14ac:dyDescent="0.2">
      <c r="A393" s="3"/>
      <c r="B393" s="3"/>
      <c r="C393" s="3"/>
      <c r="D393" s="3"/>
      <c r="E393" s="3"/>
      <c r="F393" s="3"/>
      <c r="G393" s="3"/>
      <c r="J393" s="3"/>
      <c r="L393" s="3"/>
    </row>
    <row r="394" spans="1:12" x14ac:dyDescent="0.2">
      <c r="A394" s="3"/>
      <c r="B394" s="3"/>
      <c r="C394" s="3"/>
      <c r="D394" s="3"/>
      <c r="E394" s="3"/>
      <c r="F394" s="3"/>
      <c r="G394" s="3"/>
      <c r="J394" s="3"/>
      <c r="L394" s="3"/>
    </row>
    <row r="395" spans="1:12" x14ac:dyDescent="0.2">
      <c r="A395" s="3"/>
      <c r="B395" s="3"/>
      <c r="C395" s="3"/>
      <c r="D395" s="3"/>
      <c r="E395" s="3"/>
      <c r="F395" s="3"/>
      <c r="G395" s="3"/>
      <c r="J395" s="3"/>
      <c r="L395" s="3"/>
    </row>
    <row r="396" spans="1:12" x14ac:dyDescent="0.2">
      <c r="A396" s="3"/>
      <c r="B396" s="3"/>
      <c r="C396" s="3"/>
      <c r="D396" s="3"/>
      <c r="E396" s="3"/>
      <c r="F396" s="3"/>
      <c r="G396" s="3"/>
      <c r="J396" s="3"/>
      <c r="L396" s="3"/>
    </row>
    <row r="397" spans="1:12" x14ac:dyDescent="0.2">
      <c r="A397" s="3"/>
      <c r="B397" s="3"/>
      <c r="C397" s="3"/>
      <c r="D397" s="3"/>
      <c r="E397" s="3"/>
      <c r="F397" s="3"/>
      <c r="G397" s="3"/>
      <c r="J397" s="3"/>
      <c r="L397" s="3"/>
    </row>
    <row r="398" spans="1:12" x14ac:dyDescent="0.2">
      <c r="A398" s="3"/>
      <c r="B398" s="3"/>
      <c r="C398" s="3"/>
      <c r="D398" s="3"/>
      <c r="E398" s="3"/>
      <c r="F398" s="3"/>
      <c r="G398" s="3"/>
      <c r="J398" s="3"/>
      <c r="L398" s="3"/>
    </row>
    <row r="399" spans="1:12" x14ac:dyDescent="0.2">
      <c r="A399" s="3"/>
      <c r="B399" s="3"/>
      <c r="C399" s="3"/>
      <c r="D399" s="3"/>
      <c r="E399" s="3"/>
      <c r="F399" s="3"/>
      <c r="G399" s="3"/>
      <c r="J399" s="3"/>
      <c r="L399" s="3"/>
    </row>
    <row r="400" spans="1:12" x14ac:dyDescent="0.2">
      <c r="A400" s="3"/>
      <c r="B400" s="3"/>
      <c r="C400" s="3"/>
      <c r="D400" s="3"/>
      <c r="E400" s="3"/>
      <c r="F400" s="3"/>
      <c r="G400" s="3"/>
      <c r="J400" s="3"/>
      <c r="L400" s="3"/>
    </row>
    <row r="401" spans="1:12" x14ac:dyDescent="0.2">
      <c r="A401" s="3"/>
      <c r="B401" s="3"/>
      <c r="C401" s="3"/>
      <c r="D401" s="3"/>
      <c r="E401" s="3"/>
      <c r="F401" s="3"/>
      <c r="G401" s="3"/>
      <c r="J401" s="3"/>
      <c r="L401" s="3"/>
    </row>
    <row r="402" spans="1:12" x14ac:dyDescent="0.2">
      <c r="A402" s="3"/>
      <c r="B402" s="3"/>
      <c r="C402" s="3"/>
      <c r="D402" s="3"/>
      <c r="E402" s="3"/>
      <c r="F402" s="3"/>
      <c r="G402" s="3"/>
      <c r="J402" s="3"/>
      <c r="L402" s="3"/>
    </row>
    <row r="403" spans="1:12" x14ac:dyDescent="0.2">
      <c r="A403" s="3"/>
      <c r="B403" s="3"/>
      <c r="C403" s="3"/>
      <c r="D403" s="3"/>
      <c r="E403" s="3"/>
      <c r="F403" s="3"/>
      <c r="G403" s="3"/>
      <c r="J403" s="3"/>
      <c r="L403" s="3"/>
    </row>
    <row r="404" spans="1:12" x14ac:dyDescent="0.2">
      <c r="A404" s="3"/>
      <c r="B404" s="3"/>
      <c r="C404" s="3"/>
      <c r="D404" s="3"/>
      <c r="E404" s="3"/>
      <c r="F404" s="3"/>
      <c r="G404" s="3"/>
      <c r="J404" s="3"/>
      <c r="L404" s="3"/>
    </row>
    <row r="405" spans="1:12" x14ac:dyDescent="0.2">
      <c r="A405" s="3"/>
      <c r="B405" s="3"/>
      <c r="C405" s="3"/>
      <c r="D405" s="3"/>
      <c r="E405" s="3"/>
      <c r="F405" s="3"/>
      <c r="G405" s="3"/>
      <c r="J405" s="3"/>
      <c r="L405" s="3"/>
    </row>
    <row r="406" spans="1:12" x14ac:dyDescent="0.2">
      <c r="A406" s="3"/>
      <c r="B406" s="3"/>
      <c r="C406" s="3"/>
      <c r="D406" s="3"/>
      <c r="E406" s="3"/>
      <c r="F406" s="3"/>
      <c r="G406" s="3"/>
      <c r="J406" s="3"/>
      <c r="L406" s="3"/>
    </row>
    <row r="407" spans="1:12" x14ac:dyDescent="0.2">
      <c r="A407" s="3"/>
      <c r="B407" s="3"/>
      <c r="C407" s="3"/>
      <c r="D407" s="3"/>
      <c r="E407" s="3"/>
      <c r="F407" s="3"/>
      <c r="G407" s="3"/>
      <c r="J407" s="3"/>
      <c r="L407" s="3"/>
    </row>
    <row r="408" spans="1:12" x14ac:dyDescent="0.2">
      <c r="A408" s="3"/>
      <c r="B408" s="3"/>
      <c r="C408" s="3"/>
      <c r="D408" s="3"/>
      <c r="E408" s="3"/>
      <c r="F408" s="3"/>
      <c r="G408" s="3"/>
      <c r="J408" s="3"/>
      <c r="L408" s="3"/>
    </row>
    <row r="409" spans="1:12" x14ac:dyDescent="0.2">
      <c r="A409" s="3"/>
      <c r="B409" s="3"/>
      <c r="C409" s="3"/>
      <c r="D409" s="3"/>
      <c r="E409" s="3"/>
      <c r="F409" s="3"/>
      <c r="G409" s="3"/>
      <c r="J409" s="3"/>
      <c r="L409" s="3"/>
    </row>
    <row r="410" spans="1:12" x14ac:dyDescent="0.2">
      <c r="A410" s="3"/>
      <c r="B410" s="3"/>
      <c r="C410" s="3"/>
      <c r="D410" s="3"/>
      <c r="E410" s="3"/>
      <c r="F410" s="3"/>
      <c r="G410" s="3"/>
      <c r="J410" s="3"/>
      <c r="L410" s="3"/>
    </row>
    <row r="411" spans="1:12" x14ac:dyDescent="0.2">
      <c r="A411" s="3"/>
      <c r="B411" s="3"/>
      <c r="C411" s="3"/>
      <c r="D411" s="3"/>
      <c r="E411" s="3"/>
      <c r="F411" s="3"/>
      <c r="G411" s="3"/>
      <c r="J411" s="3"/>
      <c r="L411" s="3"/>
    </row>
    <row r="412" spans="1:12" x14ac:dyDescent="0.2">
      <c r="A412" s="3"/>
      <c r="B412" s="3"/>
      <c r="C412" s="3"/>
      <c r="D412" s="3"/>
      <c r="E412" s="3"/>
      <c r="F412" s="3"/>
      <c r="G412" s="3"/>
      <c r="J412" s="3"/>
      <c r="L412" s="3"/>
    </row>
    <row r="413" spans="1:12" x14ac:dyDescent="0.2">
      <c r="A413" s="3"/>
      <c r="B413" s="3"/>
      <c r="C413" s="3"/>
      <c r="D413" s="3"/>
      <c r="E413" s="3"/>
      <c r="F413" s="3"/>
      <c r="G413" s="3"/>
      <c r="J413" s="3"/>
      <c r="L413" s="3"/>
    </row>
    <row r="414" spans="1:12" x14ac:dyDescent="0.2">
      <c r="A414" s="3"/>
      <c r="B414" s="3"/>
      <c r="C414" s="3"/>
      <c r="D414" s="3"/>
      <c r="E414" s="3"/>
      <c r="F414" s="3"/>
      <c r="G414" s="3"/>
      <c r="J414" s="3"/>
      <c r="L414" s="3"/>
    </row>
    <row r="415" spans="1:12" x14ac:dyDescent="0.2">
      <c r="A415" s="3"/>
      <c r="B415" s="3"/>
      <c r="C415" s="3"/>
      <c r="D415" s="3"/>
      <c r="E415" s="3"/>
      <c r="F415" s="3"/>
      <c r="G415" s="3"/>
      <c r="J415" s="3"/>
      <c r="L415" s="3"/>
    </row>
    <row r="416" spans="1:12" x14ac:dyDescent="0.2">
      <c r="A416" s="3"/>
      <c r="B416" s="3"/>
      <c r="C416" s="3"/>
      <c r="D416" s="3"/>
      <c r="E416" s="3"/>
      <c r="F416" s="3"/>
      <c r="G416" s="3"/>
      <c r="J416" s="3"/>
      <c r="L416" s="3"/>
    </row>
    <row r="417" spans="1:12" x14ac:dyDescent="0.2">
      <c r="A417" s="3"/>
      <c r="B417" s="3"/>
      <c r="C417" s="3"/>
      <c r="D417" s="3"/>
      <c r="E417" s="3"/>
      <c r="F417" s="3"/>
      <c r="G417" s="3"/>
      <c r="J417" s="3"/>
      <c r="L417" s="3"/>
    </row>
    <row r="418" spans="1:12" x14ac:dyDescent="0.2">
      <c r="A418" s="3"/>
      <c r="B418" s="3"/>
      <c r="C418" s="3"/>
      <c r="D418" s="3"/>
      <c r="E418" s="3"/>
      <c r="F418" s="3"/>
      <c r="G418" s="3"/>
      <c r="J418" s="3"/>
      <c r="L418" s="3"/>
    </row>
    <row r="419" spans="1:12" x14ac:dyDescent="0.2">
      <c r="A419" s="3"/>
      <c r="B419" s="3"/>
      <c r="C419" s="3"/>
      <c r="D419" s="3"/>
      <c r="E419" s="3"/>
      <c r="F419" s="3"/>
      <c r="G419" s="3"/>
      <c r="J419" s="3"/>
      <c r="L419" s="3"/>
    </row>
    <row r="420" spans="1:12" x14ac:dyDescent="0.2">
      <c r="A420" s="3"/>
      <c r="B420" s="3"/>
      <c r="C420" s="3"/>
      <c r="D420" s="3"/>
      <c r="E420" s="3"/>
      <c r="F420" s="3"/>
      <c r="G420" s="3"/>
      <c r="J420" s="3"/>
      <c r="L420" s="3"/>
    </row>
    <row r="421" spans="1:12" x14ac:dyDescent="0.2">
      <c r="A421" s="3"/>
      <c r="B421" s="3"/>
      <c r="C421" s="3"/>
      <c r="D421" s="3"/>
      <c r="E421" s="3"/>
      <c r="F421" s="3"/>
      <c r="G421" s="3"/>
      <c r="J421" s="3"/>
      <c r="L421" s="3"/>
    </row>
    <row r="422" spans="1:12" x14ac:dyDescent="0.2">
      <c r="A422" s="3"/>
      <c r="B422" s="3"/>
      <c r="C422" s="3"/>
      <c r="D422" s="3"/>
      <c r="E422" s="3"/>
      <c r="F422" s="3"/>
      <c r="G422" s="3"/>
      <c r="J422" s="3"/>
      <c r="L422" s="3"/>
    </row>
    <row r="423" spans="1:12" x14ac:dyDescent="0.2">
      <c r="A423" s="3"/>
      <c r="B423" s="3"/>
      <c r="C423" s="3"/>
      <c r="D423" s="3"/>
      <c r="E423" s="3"/>
      <c r="F423" s="3"/>
      <c r="G423" s="3"/>
      <c r="J423" s="3"/>
      <c r="L423" s="3"/>
    </row>
    <row r="424" spans="1:12" x14ac:dyDescent="0.2">
      <c r="A424" s="3"/>
      <c r="B424" s="3"/>
      <c r="C424" s="3"/>
      <c r="D424" s="3"/>
      <c r="E424" s="3"/>
      <c r="F424" s="3"/>
      <c r="G424" s="3"/>
      <c r="J424" s="3"/>
      <c r="L424" s="3"/>
    </row>
    <row r="425" spans="1:12" x14ac:dyDescent="0.2">
      <c r="A425" s="3"/>
      <c r="B425" s="3"/>
      <c r="C425" s="3"/>
      <c r="D425" s="3"/>
      <c r="E425" s="3"/>
      <c r="F425" s="3"/>
      <c r="G425" s="3"/>
      <c r="J425" s="3"/>
      <c r="L425" s="3"/>
    </row>
    <row r="426" spans="1:12" x14ac:dyDescent="0.2">
      <c r="A426" s="3"/>
      <c r="B426" s="3"/>
      <c r="C426" s="3"/>
      <c r="D426" s="3"/>
      <c r="E426" s="3"/>
      <c r="F426" s="3"/>
      <c r="G426" s="3"/>
      <c r="J426" s="3"/>
      <c r="L426" s="3"/>
    </row>
    <row r="427" spans="1:12" x14ac:dyDescent="0.2">
      <c r="A427" s="3"/>
      <c r="B427" s="3"/>
      <c r="C427" s="3"/>
      <c r="D427" s="3"/>
      <c r="E427" s="3"/>
      <c r="F427" s="3"/>
      <c r="G427" s="3"/>
      <c r="J427" s="3"/>
      <c r="L427" s="3"/>
    </row>
    <row r="428" spans="1:12" x14ac:dyDescent="0.2">
      <c r="A428" s="3"/>
      <c r="B428" s="3"/>
      <c r="C428" s="3"/>
      <c r="D428" s="3"/>
      <c r="E428" s="3"/>
      <c r="F428" s="3"/>
      <c r="G428" s="3"/>
      <c r="J428" s="3"/>
      <c r="L428" s="3"/>
    </row>
    <row r="429" spans="1:12" x14ac:dyDescent="0.2">
      <c r="A429" s="3"/>
      <c r="B429" s="3"/>
      <c r="C429" s="3"/>
      <c r="D429" s="3"/>
      <c r="E429" s="3"/>
      <c r="F429" s="3"/>
      <c r="G429" s="3"/>
      <c r="J429" s="3"/>
      <c r="L429" s="3"/>
    </row>
    <row r="430" spans="1:12" x14ac:dyDescent="0.2">
      <c r="A430" s="3"/>
      <c r="B430" s="3"/>
      <c r="C430" s="3"/>
      <c r="D430" s="3"/>
      <c r="E430" s="3"/>
      <c r="F430" s="3"/>
      <c r="G430" s="3"/>
      <c r="J430" s="3"/>
      <c r="L430" s="3"/>
    </row>
    <row r="431" spans="1:12" x14ac:dyDescent="0.2">
      <c r="A431" s="3"/>
      <c r="B431" s="3"/>
      <c r="C431" s="3"/>
      <c r="D431" s="3"/>
      <c r="E431" s="3"/>
      <c r="F431" s="3"/>
      <c r="G431" s="3"/>
      <c r="J431" s="3"/>
      <c r="L431" s="3"/>
    </row>
    <row r="432" spans="1:12" x14ac:dyDescent="0.2">
      <c r="A432" s="3"/>
      <c r="B432" s="3"/>
      <c r="C432" s="3"/>
      <c r="D432" s="3"/>
      <c r="E432" s="3"/>
      <c r="F432" s="3"/>
      <c r="G432" s="3"/>
      <c r="J432" s="3"/>
      <c r="L432" s="3"/>
    </row>
    <row r="433" spans="1:12" x14ac:dyDescent="0.2">
      <c r="A433" s="3"/>
      <c r="B433" s="3"/>
      <c r="C433" s="3"/>
      <c r="D433" s="3"/>
      <c r="E433" s="3"/>
      <c r="F433" s="3"/>
      <c r="G433" s="3"/>
      <c r="J433" s="3"/>
      <c r="L433" s="3"/>
    </row>
    <row r="434" spans="1:12" x14ac:dyDescent="0.2">
      <c r="A434" s="3"/>
      <c r="B434" s="3"/>
      <c r="C434" s="3"/>
      <c r="D434" s="3"/>
      <c r="E434" s="3"/>
      <c r="F434" s="3"/>
      <c r="G434" s="3"/>
      <c r="J434" s="3"/>
      <c r="L434" s="3"/>
    </row>
    <row r="435" spans="1:12" x14ac:dyDescent="0.2">
      <c r="A435" s="3"/>
      <c r="B435" s="3"/>
      <c r="C435" s="3"/>
      <c r="D435" s="3"/>
      <c r="E435" s="3"/>
      <c r="F435" s="3"/>
      <c r="G435" s="3"/>
      <c r="J435" s="3"/>
      <c r="L435" s="3"/>
    </row>
    <row r="436" spans="1:12" x14ac:dyDescent="0.2">
      <c r="A436" s="3"/>
      <c r="B436" s="3"/>
      <c r="C436" s="3"/>
      <c r="D436" s="3"/>
      <c r="E436" s="3"/>
      <c r="F436" s="3"/>
      <c r="G436" s="3"/>
      <c r="J436" s="3"/>
      <c r="L436" s="3"/>
    </row>
    <row r="437" spans="1:12" x14ac:dyDescent="0.2">
      <c r="A437" s="3"/>
      <c r="B437" s="3"/>
      <c r="C437" s="3"/>
      <c r="D437" s="3"/>
      <c r="E437" s="3"/>
      <c r="F437" s="3"/>
      <c r="G437" s="3"/>
      <c r="J437" s="3"/>
      <c r="L437" s="3"/>
    </row>
    <row r="438" spans="1:12" x14ac:dyDescent="0.2">
      <c r="A438" s="3"/>
      <c r="B438" s="3"/>
      <c r="C438" s="3"/>
      <c r="D438" s="3"/>
      <c r="E438" s="3"/>
      <c r="F438" s="3"/>
      <c r="G438" s="3"/>
      <c r="J438" s="3"/>
      <c r="L438" s="3"/>
    </row>
    <row r="439" spans="1:12" x14ac:dyDescent="0.2">
      <c r="A439" s="3"/>
      <c r="B439" s="3"/>
      <c r="C439" s="3"/>
      <c r="D439" s="3"/>
      <c r="E439" s="3"/>
      <c r="F439" s="3"/>
      <c r="G439" s="3"/>
      <c r="J439" s="3"/>
      <c r="L439" s="3"/>
    </row>
    <row r="440" spans="1:12" x14ac:dyDescent="0.2">
      <c r="A440" s="3"/>
      <c r="B440" s="3"/>
      <c r="C440" s="3"/>
      <c r="D440" s="3"/>
      <c r="E440" s="3"/>
      <c r="F440" s="3"/>
      <c r="G440" s="3"/>
      <c r="J440" s="3"/>
      <c r="L440" s="3"/>
    </row>
    <row r="441" spans="1:12" x14ac:dyDescent="0.2">
      <c r="A441" s="3"/>
      <c r="B441" s="3"/>
      <c r="C441" s="3"/>
      <c r="D441" s="3"/>
      <c r="E441" s="3"/>
      <c r="F441" s="3"/>
      <c r="G441" s="3"/>
      <c r="J441" s="3"/>
      <c r="L441" s="3"/>
    </row>
    <row r="442" spans="1:12" x14ac:dyDescent="0.2">
      <c r="A442" s="3"/>
      <c r="B442" s="3"/>
      <c r="C442" s="3"/>
      <c r="D442" s="3"/>
      <c r="E442" s="3"/>
      <c r="F442" s="3"/>
      <c r="G442" s="3"/>
      <c r="J442" s="3"/>
      <c r="L442" s="3"/>
    </row>
    <row r="443" spans="1:12" x14ac:dyDescent="0.2">
      <c r="A443" s="3"/>
      <c r="B443" s="3"/>
      <c r="C443" s="3"/>
      <c r="D443" s="3"/>
      <c r="E443" s="3"/>
      <c r="F443" s="3"/>
      <c r="G443" s="3"/>
      <c r="J443" s="3"/>
      <c r="L443" s="3"/>
    </row>
    <row r="444" spans="1:12" x14ac:dyDescent="0.2">
      <c r="A444" s="3"/>
      <c r="B444" s="3"/>
      <c r="C444" s="3"/>
      <c r="D444" s="3"/>
      <c r="E444" s="3"/>
      <c r="F444" s="3"/>
      <c r="G444" s="3"/>
      <c r="J444" s="3"/>
      <c r="L444" s="3"/>
    </row>
    <row r="445" spans="1:12" x14ac:dyDescent="0.2">
      <c r="A445" s="3"/>
      <c r="B445" s="3"/>
      <c r="C445" s="3"/>
      <c r="D445" s="3"/>
      <c r="E445" s="3"/>
      <c r="F445" s="3"/>
      <c r="G445" s="3"/>
      <c r="J445" s="3"/>
      <c r="L445" s="3"/>
    </row>
    <row r="446" spans="1:12" x14ac:dyDescent="0.2">
      <c r="A446" s="3"/>
      <c r="B446" s="3"/>
      <c r="C446" s="3"/>
      <c r="D446" s="3"/>
      <c r="E446" s="3"/>
      <c r="F446" s="3"/>
      <c r="G446" s="3"/>
      <c r="J446" s="3"/>
      <c r="L446" s="3"/>
    </row>
    <row r="447" spans="1:12" x14ac:dyDescent="0.2">
      <c r="A447" s="3"/>
      <c r="B447" s="3"/>
      <c r="C447" s="3"/>
      <c r="D447" s="3"/>
      <c r="E447" s="3"/>
      <c r="F447" s="3"/>
      <c r="G447" s="3"/>
      <c r="J447" s="3"/>
      <c r="L447" s="3"/>
    </row>
    <row r="448" spans="1:12" x14ac:dyDescent="0.2">
      <c r="A448" s="3"/>
      <c r="B448" s="3"/>
      <c r="C448" s="3"/>
      <c r="D448" s="3"/>
      <c r="E448" s="3"/>
      <c r="F448" s="3"/>
      <c r="G448" s="3"/>
      <c r="J448" s="3"/>
      <c r="L448" s="3"/>
    </row>
    <row r="449" spans="1:12" x14ac:dyDescent="0.2">
      <c r="A449" s="3"/>
      <c r="B449" s="3"/>
      <c r="C449" s="3"/>
      <c r="D449" s="3"/>
      <c r="E449" s="3"/>
      <c r="F449" s="3"/>
      <c r="G449" s="3"/>
      <c r="J449" s="3"/>
      <c r="L449" s="3"/>
    </row>
    <row r="450" spans="1:12" x14ac:dyDescent="0.2">
      <c r="A450" s="3"/>
      <c r="B450" s="3"/>
      <c r="C450" s="3"/>
      <c r="D450" s="3"/>
      <c r="E450" s="3"/>
      <c r="F450" s="3"/>
      <c r="G450" s="3"/>
      <c r="J450" s="3"/>
      <c r="L450" s="3"/>
    </row>
    <row r="451" spans="1:12" x14ac:dyDescent="0.2">
      <c r="A451" s="3"/>
      <c r="B451" s="3"/>
      <c r="C451" s="3"/>
      <c r="D451" s="3"/>
      <c r="E451" s="3"/>
      <c r="F451" s="3"/>
      <c r="G451" s="3"/>
      <c r="J451" s="3"/>
      <c r="L451" s="3"/>
    </row>
    <row r="452" spans="1:12" x14ac:dyDescent="0.2">
      <c r="A452" s="3"/>
      <c r="B452" s="3"/>
      <c r="C452" s="3"/>
      <c r="D452" s="3"/>
      <c r="E452" s="3"/>
      <c r="F452" s="3"/>
      <c r="G452" s="3"/>
      <c r="J452" s="3"/>
      <c r="L452" s="3"/>
    </row>
    <row r="453" spans="1:12" x14ac:dyDescent="0.2">
      <c r="A453" s="3"/>
      <c r="B453" s="3"/>
      <c r="C453" s="3"/>
      <c r="D453" s="3"/>
      <c r="E453" s="3"/>
      <c r="F453" s="3"/>
      <c r="G453" s="3"/>
      <c r="J453" s="3"/>
      <c r="L453" s="3"/>
    </row>
    <row r="454" spans="1:12" x14ac:dyDescent="0.2">
      <c r="A454" s="3"/>
      <c r="B454" s="3"/>
      <c r="C454" s="3"/>
      <c r="D454" s="3"/>
      <c r="E454" s="3"/>
      <c r="F454" s="3"/>
      <c r="G454" s="3"/>
      <c r="J454" s="3"/>
      <c r="L454" s="3"/>
    </row>
    <row r="455" spans="1:12" x14ac:dyDescent="0.2">
      <c r="A455" s="3"/>
      <c r="B455" s="3"/>
      <c r="C455" s="3"/>
      <c r="D455" s="3"/>
      <c r="E455" s="3"/>
      <c r="F455" s="3"/>
      <c r="G455" s="3"/>
      <c r="J455" s="3"/>
      <c r="L455" s="3"/>
    </row>
    <row r="456" spans="1:12" x14ac:dyDescent="0.2">
      <c r="A456" s="3"/>
      <c r="B456" s="3"/>
      <c r="C456" s="3"/>
      <c r="D456" s="3"/>
      <c r="E456" s="3"/>
      <c r="F456" s="3"/>
      <c r="G456" s="3"/>
      <c r="J456" s="3"/>
      <c r="L456" s="3"/>
    </row>
    <row r="457" spans="1:12" x14ac:dyDescent="0.2">
      <c r="A457" s="3"/>
      <c r="B457" s="3"/>
      <c r="C457" s="3"/>
      <c r="D457" s="3"/>
      <c r="E457" s="3"/>
      <c r="F457" s="3"/>
      <c r="G457" s="3"/>
      <c r="J457" s="3"/>
      <c r="L457" s="3"/>
    </row>
    <row r="458" spans="1:12" x14ac:dyDescent="0.2">
      <c r="A458" s="3"/>
      <c r="B458" s="3"/>
      <c r="C458" s="3"/>
      <c r="D458" s="3"/>
      <c r="E458" s="3"/>
      <c r="F458" s="3"/>
      <c r="G458" s="3"/>
      <c r="J458" s="3"/>
      <c r="L458" s="3"/>
    </row>
    <row r="459" spans="1:12" x14ac:dyDescent="0.2">
      <c r="A459" s="3"/>
      <c r="B459" s="3"/>
      <c r="C459" s="3"/>
      <c r="D459" s="3"/>
      <c r="E459" s="3"/>
      <c r="F459" s="3"/>
      <c r="G459" s="3"/>
      <c r="J459" s="3"/>
      <c r="L459" s="3"/>
    </row>
    <row r="460" spans="1:12" x14ac:dyDescent="0.2">
      <c r="A460" s="3"/>
      <c r="B460" s="3"/>
      <c r="C460" s="3"/>
      <c r="D460" s="3"/>
      <c r="E460" s="3"/>
      <c r="F460" s="3"/>
      <c r="G460" s="3"/>
      <c r="J460" s="3"/>
      <c r="L460" s="3"/>
    </row>
    <row r="461" spans="1:12" x14ac:dyDescent="0.2">
      <c r="A461" s="3"/>
      <c r="B461" s="3"/>
      <c r="C461" s="3"/>
      <c r="D461" s="3"/>
      <c r="E461" s="3"/>
      <c r="F461" s="3"/>
      <c r="G461" s="3"/>
      <c r="J461" s="3"/>
      <c r="L461" s="3"/>
    </row>
    <row r="462" spans="1:12" x14ac:dyDescent="0.2">
      <c r="A462" s="3"/>
      <c r="B462" s="3"/>
      <c r="C462" s="3"/>
      <c r="D462" s="3"/>
      <c r="E462" s="3"/>
      <c r="F462" s="3"/>
      <c r="G462" s="3"/>
      <c r="J462" s="3"/>
      <c r="L462" s="3"/>
    </row>
    <row r="463" spans="1:12" x14ac:dyDescent="0.2">
      <c r="A463" s="3"/>
      <c r="B463" s="3"/>
      <c r="C463" s="3"/>
      <c r="D463" s="3"/>
      <c r="E463" s="3"/>
      <c r="F463" s="3"/>
      <c r="G463" s="3"/>
      <c r="J463" s="3"/>
      <c r="L463" s="3"/>
    </row>
    <row r="464" spans="1:12" x14ac:dyDescent="0.2">
      <c r="A464" s="3"/>
      <c r="B464" s="3"/>
      <c r="C464" s="3"/>
      <c r="D464" s="3"/>
      <c r="E464" s="3"/>
      <c r="F464" s="3"/>
      <c r="G464" s="3"/>
      <c r="J464" s="3"/>
      <c r="L464" s="3"/>
    </row>
    <row r="465" spans="1:12" x14ac:dyDescent="0.2">
      <c r="A465" s="3"/>
      <c r="B465" s="3"/>
      <c r="C465" s="3"/>
      <c r="D465" s="3"/>
      <c r="E465" s="3"/>
      <c r="F465" s="3"/>
      <c r="G465" s="3"/>
      <c r="J465" s="3"/>
      <c r="L465" s="3"/>
    </row>
    <row r="466" spans="1:12" x14ac:dyDescent="0.2">
      <c r="A466" s="3"/>
      <c r="B466" s="3"/>
      <c r="C466" s="3"/>
      <c r="D466" s="3"/>
      <c r="E466" s="3"/>
      <c r="F466" s="3"/>
      <c r="G466" s="3"/>
      <c r="J466" s="3"/>
      <c r="L466" s="3"/>
    </row>
    <row r="467" spans="1:12" x14ac:dyDescent="0.2">
      <c r="A467" s="3"/>
      <c r="B467" s="3"/>
      <c r="C467" s="3"/>
      <c r="D467" s="3"/>
      <c r="E467" s="3"/>
      <c r="F467" s="3"/>
      <c r="G467" s="3"/>
      <c r="J467" s="3"/>
      <c r="L467" s="3"/>
    </row>
    <row r="468" spans="1:12" x14ac:dyDescent="0.2">
      <c r="A468" s="3"/>
      <c r="B468" s="3"/>
      <c r="C468" s="3"/>
      <c r="D468" s="3"/>
      <c r="E468" s="3"/>
      <c r="F468" s="3"/>
      <c r="G468" s="3"/>
      <c r="J468" s="3"/>
      <c r="L468" s="3"/>
    </row>
    <row r="469" spans="1:12" x14ac:dyDescent="0.2">
      <c r="A469" s="3"/>
      <c r="B469" s="3"/>
      <c r="C469" s="3"/>
      <c r="D469" s="3"/>
      <c r="E469" s="3"/>
      <c r="F469" s="3"/>
      <c r="G469" s="3"/>
      <c r="J469" s="3"/>
      <c r="L469" s="3"/>
    </row>
    <row r="470" spans="1:12" x14ac:dyDescent="0.2">
      <c r="A470" s="3"/>
      <c r="B470" s="3"/>
      <c r="C470" s="3"/>
      <c r="D470" s="3"/>
      <c r="E470" s="3"/>
      <c r="F470" s="3"/>
      <c r="G470" s="3"/>
      <c r="J470" s="3"/>
      <c r="L470" s="3"/>
    </row>
    <row r="471" spans="1:12" x14ac:dyDescent="0.2">
      <c r="A471" s="3"/>
      <c r="B471" s="3"/>
      <c r="C471" s="3"/>
      <c r="D471" s="3"/>
      <c r="E471" s="3"/>
      <c r="F471" s="3"/>
      <c r="G471" s="3"/>
      <c r="J471" s="3"/>
      <c r="L471" s="3"/>
    </row>
    <row r="472" spans="1:12" x14ac:dyDescent="0.2">
      <c r="A472" s="3"/>
      <c r="B472" s="3"/>
      <c r="C472" s="3"/>
      <c r="D472" s="3"/>
      <c r="E472" s="3"/>
      <c r="F472" s="3"/>
      <c r="G472" s="3"/>
      <c r="J472" s="3"/>
      <c r="L472" s="3"/>
    </row>
    <row r="473" spans="1:12" x14ac:dyDescent="0.2">
      <c r="A473" s="3"/>
      <c r="B473" s="3"/>
      <c r="C473" s="3"/>
      <c r="D473" s="3"/>
      <c r="E473" s="3"/>
      <c r="F473" s="3"/>
      <c r="G473" s="3"/>
      <c r="J473" s="3"/>
      <c r="L473" s="3"/>
    </row>
    <row r="474" spans="1:12" x14ac:dyDescent="0.2">
      <c r="A474" s="3"/>
      <c r="B474" s="3"/>
      <c r="C474" s="3"/>
      <c r="D474" s="3"/>
      <c r="E474" s="3"/>
      <c r="F474" s="3"/>
      <c r="G474" s="3"/>
      <c r="J474" s="3"/>
      <c r="L474" s="3"/>
    </row>
    <row r="475" spans="1:12" x14ac:dyDescent="0.2">
      <c r="A475" s="3"/>
      <c r="B475" s="3"/>
      <c r="C475" s="3"/>
      <c r="D475" s="3"/>
      <c r="E475" s="3"/>
      <c r="F475" s="3"/>
      <c r="G475" s="3"/>
      <c r="J475" s="3"/>
      <c r="L475" s="3"/>
    </row>
    <row r="476" spans="1:12" x14ac:dyDescent="0.2">
      <c r="A476" s="3"/>
      <c r="B476" s="3"/>
      <c r="C476" s="3"/>
      <c r="D476" s="3"/>
      <c r="E476" s="3"/>
      <c r="F476" s="3"/>
      <c r="G476" s="3"/>
      <c r="J476" s="3"/>
      <c r="L476" s="3"/>
    </row>
    <row r="477" spans="1:12" x14ac:dyDescent="0.2">
      <c r="A477" s="3"/>
      <c r="B477" s="3"/>
      <c r="C477" s="3"/>
      <c r="D477" s="3"/>
      <c r="E477" s="3"/>
      <c r="F477" s="3"/>
      <c r="G477" s="3"/>
      <c r="J477" s="3"/>
      <c r="L477" s="3"/>
    </row>
    <row r="478" spans="1:12" x14ac:dyDescent="0.2">
      <c r="A478" s="3"/>
      <c r="B478" s="3"/>
      <c r="C478" s="3"/>
      <c r="D478" s="3"/>
      <c r="E478" s="3"/>
      <c r="F478" s="3"/>
      <c r="G478" s="3"/>
      <c r="J478" s="3"/>
      <c r="L478" s="3"/>
    </row>
    <row r="479" spans="1:12" x14ac:dyDescent="0.2">
      <c r="A479" s="3"/>
      <c r="B479" s="3"/>
      <c r="C479" s="3"/>
      <c r="D479" s="3"/>
      <c r="E479" s="3"/>
      <c r="F479" s="3"/>
      <c r="G479" s="3"/>
      <c r="J479" s="3"/>
      <c r="L479" s="3"/>
    </row>
    <row r="480" spans="1:12" x14ac:dyDescent="0.2">
      <c r="A480" s="3"/>
      <c r="B480" s="3"/>
      <c r="C480" s="3"/>
      <c r="D480" s="3"/>
      <c r="E480" s="3"/>
      <c r="F480" s="3"/>
      <c r="G480" s="3"/>
      <c r="J480" s="3"/>
      <c r="L480" s="3"/>
    </row>
    <row r="481" spans="1:12" x14ac:dyDescent="0.2">
      <c r="A481" s="3"/>
      <c r="B481" s="3"/>
      <c r="C481" s="3"/>
      <c r="D481" s="3"/>
      <c r="E481" s="3"/>
      <c r="F481" s="3"/>
      <c r="G481" s="3"/>
      <c r="J481" s="3"/>
      <c r="L481" s="3"/>
    </row>
    <row r="482" spans="1:12" x14ac:dyDescent="0.2">
      <c r="A482" s="3"/>
      <c r="B482" s="3"/>
      <c r="C482" s="3"/>
      <c r="D482" s="3"/>
      <c r="E482" s="3"/>
      <c r="F482" s="3"/>
      <c r="G482" s="3"/>
      <c r="J482" s="3"/>
      <c r="L482" s="3"/>
    </row>
    <row r="483" spans="1:12" x14ac:dyDescent="0.2">
      <c r="A483" s="3"/>
      <c r="B483" s="3"/>
      <c r="C483" s="3"/>
      <c r="D483" s="3"/>
      <c r="E483" s="3"/>
      <c r="F483" s="3"/>
      <c r="G483" s="3"/>
      <c r="J483" s="3"/>
      <c r="L483" s="3"/>
    </row>
    <row r="484" spans="1:12" x14ac:dyDescent="0.2">
      <c r="A484" s="3"/>
      <c r="B484" s="3"/>
      <c r="C484" s="3"/>
      <c r="D484" s="3"/>
      <c r="E484" s="3"/>
      <c r="F484" s="3"/>
      <c r="G484" s="3"/>
      <c r="J484" s="3"/>
      <c r="L484" s="3"/>
    </row>
    <row r="485" spans="1:12" x14ac:dyDescent="0.2">
      <c r="A485" s="3"/>
      <c r="B485" s="3"/>
      <c r="C485" s="3"/>
      <c r="D485" s="3"/>
      <c r="E485" s="3"/>
      <c r="F485" s="3"/>
      <c r="G485" s="3"/>
      <c r="J485" s="3"/>
      <c r="L485" s="3"/>
    </row>
    <row r="486" spans="1:12" x14ac:dyDescent="0.2">
      <c r="A486" s="3"/>
      <c r="B486" s="3"/>
      <c r="C486" s="3"/>
      <c r="D486" s="3"/>
      <c r="E486" s="3"/>
      <c r="F486" s="3"/>
      <c r="G486" s="3"/>
      <c r="J486" s="3"/>
      <c r="L486" s="3"/>
    </row>
    <row r="487" spans="1:12" x14ac:dyDescent="0.2">
      <c r="A487" s="3"/>
      <c r="B487" s="3"/>
      <c r="C487" s="3"/>
      <c r="D487" s="3"/>
      <c r="E487" s="3"/>
      <c r="F487" s="3"/>
      <c r="G487" s="3"/>
      <c r="J487" s="3"/>
      <c r="L487" s="3"/>
    </row>
    <row r="488" spans="1:12" x14ac:dyDescent="0.2">
      <c r="A488" s="3"/>
      <c r="B488" s="3"/>
      <c r="C488" s="3"/>
      <c r="D488" s="3"/>
      <c r="E488" s="3"/>
      <c r="F488" s="3"/>
      <c r="G488" s="3"/>
      <c r="J488" s="3"/>
      <c r="L488" s="3"/>
    </row>
    <row r="489" spans="1:12" x14ac:dyDescent="0.2">
      <c r="A489" s="3"/>
      <c r="B489" s="3"/>
      <c r="C489" s="3"/>
      <c r="D489" s="3"/>
      <c r="E489" s="3"/>
      <c r="F489" s="3"/>
      <c r="G489" s="3"/>
      <c r="J489" s="3"/>
      <c r="L489" s="3"/>
    </row>
    <row r="490" spans="1:12" x14ac:dyDescent="0.2">
      <c r="A490" s="3"/>
      <c r="B490" s="3"/>
      <c r="C490" s="3"/>
      <c r="D490" s="3"/>
      <c r="E490" s="3"/>
      <c r="F490" s="3"/>
      <c r="G490" s="3"/>
      <c r="J490" s="3"/>
      <c r="L490" s="3"/>
    </row>
    <row r="491" spans="1:12" x14ac:dyDescent="0.2">
      <c r="A491" s="3"/>
      <c r="B491" s="3"/>
      <c r="C491" s="3"/>
      <c r="D491" s="3"/>
      <c r="E491" s="3"/>
      <c r="F491" s="3"/>
      <c r="G491" s="3"/>
      <c r="J491" s="3"/>
      <c r="L491" s="3"/>
    </row>
    <row r="492" spans="1:12" x14ac:dyDescent="0.2">
      <c r="A492" s="3"/>
      <c r="B492" s="3"/>
      <c r="C492" s="3"/>
      <c r="D492" s="3"/>
      <c r="E492" s="3"/>
      <c r="F492" s="3"/>
      <c r="G492" s="3"/>
      <c r="J492" s="3"/>
      <c r="L492" s="3"/>
    </row>
    <row r="493" spans="1:12" x14ac:dyDescent="0.2">
      <c r="A493" s="3"/>
      <c r="B493" s="3"/>
      <c r="C493" s="3"/>
      <c r="D493" s="3"/>
      <c r="E493" s="3"/>
      <c r="F493" s="3"/>
      <c r="G493" s="3"/>
      <c r="J493" s="3"/>
      <c r="L493" s="3"/>
    </row>
    <row r="494" spans="1:12" x14ac:dyDescent="0.2">
      <c r="A494" s="3"/>
      <c r="B494" s="3"/>
      <c r="C494" s="3"/>
      <c r="D494" s="3"/>
      <c r="E494" s="3"/>
      <c r="F494" s="3"/>
      <c r="G494" s="3"/>
      <c r="J494" s="3"/>
      <c r="L494" s="3"/>
    </row>
    <row r="495" spans="1:12" x14ac:dyDescent="0.2">
      <c r="A495" s="3"/>
      <c r="B495" s="3"/>
      <c r="C495" s="3"/>
      <c r="D495" s="3"/>
      <c r="E495" s="3"/>
      <c r="F495" s="3"/>
      <c r="G495" s="3"/>
      <c r="J495" s="3"/>
      <c r="L495" s="3"/>
    </row>
    <row r="496" spans="1:12" x14ac:dyDescent="0.2">
      <c r="A496" s="3"/>
      <c r="B496" s="3"/>
      <c r="C496" s="3"/>
      <c r="D496" s="3"/>
      <c r="E496" s="3"/>
      <c r="F496" s="3"/>
      <c r="G496" s="3"/>
      <c r="J496" s="3"/>
      <c r="L496" s="3"/>
    </row>
    <row r="497" spans="1:12" x14ac:dyDescent="0.2">
      <c r="A497" s="3"/>
      <c r="B497" s="3"/>
      <c r="C497" s="3"/>
      <c r="D497" s="3"/>
      <c r="E497" s="3"/>
      <c r="F497" s="3"/>
      <c r="G497" s="3"/>
      <c r="J497" s="3"/>
      <c r="L497" s="3"/>
    </row>
  </sheetData>
  <mergeCells count="18">
    <mergeCell ref="A8:L8"/>
    <mergeCell ref="A26:L26"/>
    <mergeCell ref="A22:L22"/>
    <mergeCell ref="A16:L16"/>
    <mergeCell ref="A11:L11"/>
    <mergeCell ref="A1:L2"/>
    <mergeCell ref="H3:I3"/>
    <mergeCell ref="G3:G4"/>
    <mergeCell ref="L3:L4"/>
    <mergeCell ref="D3:D4"/>
    <mergeCell ref="J3:J4"/>
    <mergeCell ref="A5:L5"/>
    <mergeCell ref="A3:A4"/>
    <mergeCell ref="B3:B4"/>
    <mergeCell ref="C3:C4"/>
    <mergeCell ref="K3:K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topLeftCell="A67" zoomScale="80" zoomScaleNormal="80" workbookViewId="0">
      <selection activeCell="A85" sqref="A85:XFD85"/>
    </sheetView>
  </sheetViews>
  <sheetFormatPr defaultRowHeight="12.75" x14ac:dyDescent="0.2"/>
  <cols>
    <col min="1" max="1" width="26" style="4" bestFit="1" customWidth="1"/>
    <col min="2" max="2" width="14.285156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6.7109375" style="4" bestFit="1" customWidth="1"/>
    <col min="8" max="11" width="5.5703125" style="3" bestFit="1" customWidth="1"/>
    <col min="12" max="12" width="10.7109375" style="4" customWidth="1"/>
    <col min="13" max="13" width="8.5703125" style="3" bestFit="1" customWidth="1"/>
    <col min="14" max="14" width="31.4257812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6.7109375" style="3" bestFit="1" customWidth="1"/>
    <col min="264" max="267" width="5.5703125" style="3" bestFit="1" customWidth="1"/>
    <col min="268" max="268" width="10.7109375" style="3" customWidth="1"/>
    <col min="269" max="269" width="8.5703125" style="3" bestFit="1" customWidth="1"/>
    <col min="270" max="270" width="31.4257812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6.7109375" style="3" bestFit="1" customWidth="1"/>
    <col min="520" max="523" width="5.5703125" style="3" bestFit="1" customWidth="1"/>
    <col min="524" max="524" width="10.7109375" style="3" customWidth="1"/>
    <col min="525" max="525" width="8.5703125" style="3" bestFit="1" customWidth="1"/>
    <col min="526" max="526" width="31.4257812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6.7109375" style="3" bestFit="1" customWidth="1"/>
    <col min="776" max="779" width="5.5703125" style="3" bestFit="1" customWidth="1"/>
    <col min="780" max="780" width="10.7109375" style="3" customWidth="1"/>
    <col min="781" max="781" width="8.5703125" style="3" bestFit="1" customWidth="1"/>
    <col min="782" max="782" width="31.4257812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6.7109375" style="3" bestFit="1" customWidth="1"/>
    <col min="1032" max="1035" width="5.5703125" style="3" bestFit="1" customWidth="1"/>
    <col min="1036" max="1036" width="10.7109375" style="3" customWidth="1"/>
    <col min="1037" max="1037" width="8.5703125" style="3" bestFit="1" customWidth="1"/>
    <col min="1038" max="1038" width="31.4257812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6.7109375" style="3" bestFit="1" customWidth="1"/>
    <col min="1288" max="1291" width="5.5703125" style="3" bestFit="1" customWidth="1"/>
    <col min="1292" max="1292" width="10.7109375" style="3" customWidth="1"/>
    <col min="1293" max="1293" width="8.5703125" style="3" bestFit="1" customWidth="1"/>
    <col min="1294" max="1294" width="31.4257812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6.7109375" style="3" bestFit="1" customWidth="1"/>
    <col min="1544" max="1547" width="5.5703125" style="3" bestFit="1" customWidth="1"/>
    <col min="1548" max="1548" width="10.7109375" style="3" customWidth="1"/>
    <col min="1549" max="1549" width="8.5703125" style="3" bestFit="1" customWidth="1"/>
    <col min="1550" max="1550" width="31.4257812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6.7109375" style="3" bestFit="1" customWidth="1"/>
    <col min="1800" max="1803" width="5.5703125" style="3" bestFit="1" customWidth="1"/>
    <col min="1804" max="1804" width="10.7109375" style="3" customWidth="1"/>
    <col min="1805" max="1805" width="8.5703125" style="3" bestFit="1" customWidth="1"/>
    <col min="1806" max="1806" width="31.4257812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6.7109375" style="3" bestFit="1" customWidth="1"/>
    <col min="2056" max="2059" width="5.5703125" style="3" bestFit="1" customWidth="1"/>
    <col min="2060" max="2060" width="10.7109375" style="3" customWidth="1"/>
    <col min="2061" max="2061" width="8.5703125" style="3" bestFit="1" customWidth="1"/>
    <col min="2062" max="2062" width="31.4257812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6.7109375" style="3" bestFit="1" customWidth="1"/>
    <col min="2312" max="2315" width="5.5703125" style="3" bestFit="1" customWidth="1"/>
    <col min="2316" max="2316" width="10.7109375" style="3" customWidth="1"/>
    <col min="2317" max="2317" width="8.5703125" style="3" bestFit="1" customWidth="1"/>
    <col min="2318" max="2318" width="31.4257812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6.7109375" style="3" bestFit="1" customWidth="1"/>
    <col min="2568" max="2571" width="5.5703125" style="3" bestFit="1" customWidth="1"/>
    <col min="2572" max="2572" width="10.7109375" style="3" customWidth="1"/>
    <col min="2573" max="2573" width="8.5703125" style="3" bestFit="1" customWidth="1"/>
    <col min="2574" max="2574" width="31.4257812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6.7109375" style="3" bestFit="1" customWidth="1"/>
    <col min="2824" max="2827" width="5.5703125" style="3" bestFit="1" customWidth="1"/>
    <col min="2828" max="2828" width="10.7109375" style="3" customWidth="1"/>
    <col min="2829" max="2829" width="8.5703125" style="3" bestFit="1" customWidth="1"/>
    <col min="2830" max="2830" width="31.4257812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6.7109375" style="3" bestFit="1" customWidth="1"/>
    <col min="3080" max="3083" width="5.5703125" style="3" bestFit="1" customWidth="1"/>
    <col min="3084" max="3084" width="10.7109375" style="3" customWidth="1"/>
    <col min="3085" max="3085" width="8.5703125" style="3" bestFit="1" customWidth="1"/>
    <col min="3086" max="3086" width="31.4257812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6.7109375" style="3" bestFit="1" customWidth="1"/>
    <col min="3336" max="3339" width="5.5703125" style="3" bestFit="1" customWidth="1"/>
    <col min="3340" max="3340" width="10.7109375" style="3" customWidth="1"/>
    <col min="3341" max="3341" width="8.5703125" style="3" bestFit="1" customWidth="1"/>
    <col min="3342" max="3342" width="31.4257812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6.7109375" style="3" bestFit="1" customWidth="1"/>
    <col min="3592" max="3595" width="5.5703125" style="3" bestFit="1" customWidth="1"/>
    <col min="3596" max="3596" width="10.7109375" style="3" customWidth="1"/>
    <col min="3597" max="3597" width="8.5703125" style="3" bestFit="1" customWidth="1"/>
    <col min="3598" max="3598" width="31.4257812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6.7109375" style="3" bestFit="1" customWidth="1"/>
    <col min="3848" max="3851" width="5.5703125" style="3" bestFit="1" customWidth="1"/>
    <col min="3852" max="3852" width="10.7109375" style="3" customWidth="1"/>
    <col min="3853" max="3853" width="8.5703125" style="3" bestFit="1" customWidth="1"/>
    <col min="3854" max="3854" width="31.4257812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6.7109375" style="3" bestFit="1" customWidth="1"/>
    <col min="4104" max="4107" width="5.5703125" style="3" bestFit="1" customWidth="1"/>
    <col min="4108" max="4108" width="10.7109375" style="3" customWidth="1"/>
    <col min="4109" max="4109" width="8.5703125" style="3" bestFit="1" customWidth="1"/>
    <col min="4110" max="4110" width="31.4257812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6.7109375" style="3" bestFit="1" customWidth="1"/>
    <col min="4360" max="4363" width="5.5703125" style="3" bestFit="1" customWidth="1"/>
    <col min="4364" max="4364" width="10.7109375" style="3" customWidth="1"/>
    <col min="4365" max="4365" width="8.5703125" style="3" bestFit="1" customWidth="1"/>
    <col min="4366" max="4366" width="31.4257812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6.7109375" style="3" bestFit="1" customWidth="1"/>
    <col min="4616" max="4619" width="5.5703125" style="3" bestFit="1" customWidth="1"/>
    <col min="4620" max="4620" width="10.7109375" style="3" customWidth="1"/>
    <col min="4621" max="4621" width="8.5703125" style="3" bestFit="1" customWidth="1"/>
    <col min="4622" max="4622" width="31.4257812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6.7109375" style="3" bestFit="1" customWidth="1"/>
    <col min="4872" max="4875" width="5.5703125" style="3" bestFit="1" customWidth="1"/>
    <col min="4876" max="4876" width="10.7109375" style="3" customWidth="1"/>
    <col min="4877" max="4877" width="8.5703125" style="3" bestFit="1" customWidth="1"/>
    <col min="4878" max="4878" width="31.4257812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6.7109375" style="3" bestFit="1" customWidth="1"/>
    <col min="5128" max="5131" width="5.5703125" style="3" bestFit="1" customWidth="1"/>
    <col min="5132" max="5132" width="10.7109375" style="3" customWidth="1"/>
    <col min="5133" max="5133" width="8.5703125" style="3" bestFit="1" customWidth="1"/>
    <col min="5134" max="5134" width="31.4257812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6.7109375" style="3" bestFit="1" customWidth="1"/>
    <col min="5384" max="5387" width="5.5703125" style="3" bestFit="1" customWidth="1"/>
    <col min="5388" max="5388" width="10.7109375" style="3" customWidth="1"/>
    <col min="5389" max="5389" width="8.5703125" style="3" bestFit="1" customWidth="1"/>
    <col min="5390" max="5390" width="31.4257812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6.7109375" style="3" bestFit="1" customWidth="1"/>
    <col min="5640" max="5643" width="5.5703125" style="3" bestFit="1" customWidth="1"/>
    <col min="5644" max="5644" width="10.7109375" style="3" customWidth="1"/>
    <col min="5645" max="5645" width="8.5703125" style="3" bestFit="1" customWidth="1"/>
    <col min="5646" max="5646" width="31.4257812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6.7109375" style="3" bestFit="1" customWidth="1"/>
    <col min="5896" max="5899" width="5.5703125" style="3" bestFit="1" customWidth="1"/>
    <col min="5900" max="5900" width="10.7109375" style="3" customWidth="1"/>
    <col min="5901" max="5901" width="8.5703125" style="3" bestFit="1" customWidth="1"/>
    <col min="5902" max="5902" width="31.4257812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6.7109375" style="3" bestFit="1" customWidth="1"/>
    <col min="6152" max="6155" width="5.5703125" style="3" bestFit="1" customWidth="1"/>
    <col min="6156" max="6156" width="10.7109375" style="3" customWidth="1"/>
    <col min="6157" max="6157" width="8.5703125" style="3" bestFit="1" customWidth="1"/>
    <col min="6158" max="6158" width="31.4257812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6.7109375" style="3" bestFit="1" customWidth="1"/>
    <col min="6408" max="6411" width="5.5703125" style="3" bestFit="1" customWidth="1"/>
    <col min="6412" max="6412" width="10.7109375" style="3" customWidth="1"/>
    <col min="6413" max="6413" width="8.5703125" style="3" bestFit="1" customWidth="1"/>
    <col min="6414" max="6414" width="31.4257812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6.7109375" style="3" bestFit="1" customWidth="1"/>
    <col min="6664" max="6667" width="5.5703125" style="3" bestFit="1" customWidth="1"/>
    <col min="6668" max="6668" width="10.7109375" style="3" customWidth="1"/>
    <col min="6669" max="6669" width="8.5703125" style="3" bestFit="1" customWidth="1"/>
    <col min="6670" max="6670" width="31.4257812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6.7109375" style="3" bestFit="1" customWidth="1"/>
    <col min="6920" max="6923" width="5.5703125" style="3" bestFit="1" customWidth="1"/>
    <col min="6924" max="6924" width="10.7109375" style="3" customWidth="1"/>
    <col min="6925" max="6925" width="8.5703125" style="3" bestFit="1" customWidth="1"/>
    <col min="6926" max="6926" width="31.4257812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6.7109375" style="3" bestFit="1" customWidth="1"/>
    <col min="7176" max="7179" width="5.5703125" style="3" bestFit="1" customWidth="1"/>
    <col min="7180" max="7180" width="10.7109375" style="3" customWidth="1"/>
    <col min="7181" max="7181" width="8.5703125" style="3" bestFit="1" customWidth="1"/>
    <col min="7182" max="7182" width="31.4257812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6.7109375" style="3" bestFit="1" customWidth="1"/>
    <col min="7432" max="7435" width="5.5703125" style="3" bestFit="1" customWidth="1"/>
    <col min="7436" max="7436" width="10.7109375" style="3" customWidth="1"/>
    <col min="7437" max="7437" width="8.5703125" style="3" bestFit="1" customWidth="1"/>
    <col min="7438" max="7438" width="31.4257812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6.7109375" style="3" bestFit="1" customWidth="1"/>
    <col min="7688" max="7691" width="5.5703125" style="3" bestFit="1" customWidth="1"/>
    <col min="7692" max="7692" width="10.7109375" style="3" customWidth="1"/>
    <col min="7693" max="7693" width="8.5703125" style="3" bestFit="1" customWidth="1"/>
    <col min="7694" max="7694" width="31.4257812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6.7109375" style="3" bestFit="1" customWidth="1"/>
    <col min="7944" max="7947" width="5.5703125" style="3" bestFit="1" customWidth="1"/>
    <col min="7948" max="7948" width="10.7109375" style="3" customWidth="1"/>
    <col min="7949" max="7949" width="8.5703125" style="3" bestFit="1" customWidth="1"/>
    <col min="7950" max="7950" width="31.4257812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6.7109375" style="3" bestFit="1" customWidth="1"/>
    <col min="8200" max="8203" width="5.5703125" style="3" bestFit="1" customWidth="1"/>
    <col min="8204" max="8204" width="10.7109375" style="3" customWidth="1"/>
    <col min="8205" max="8205" width="8.5703125" style="3" bestFit="1" customWidth="1"/>
    <col min="8206" max="8206" width="31.4257812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6.7109375" style="3" bestFit="1" customWidth="1"/>
    <col min="8456" max="8459" width="5.5703125" style="3" bestFit="1" customWidth="1"/>
    <col min="8460" max="8460" width="10.7109375" style="3" customWidth="1"/>
    <col min="8461" max="8461" width="8.5703125" style="3" bestFit="1" customWidth="1"/>
    <col min="8462" max="8462" width="31.4257812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6.7109375" style="3" bestFit="1" customWidth="1"/>
    <col min="8712" max="8715" width="5.5703125" style="3" bestFit="1" customWidth="1"/>
    <col min="8716" max="8716" width="10.7109375" style="3" customWidth="1"/>
    <col min="8717" max="8717" width="8.5703125" style="3" bestFit="1" customWidth="1"/>
    <col min="8718" max="8718" width="31.4257812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6.7109375" style="3" bestFit="1" customWidth="1"/>
    <col min="8968" max="8971" width="5.5703125" style="3" bestFit="1" customWidth="1"/>
    <col min="8972" max="8972" width="10.7109375" style="3" customWidth="1"/>
    <col min="8973" max="8973" width="8.5703125" style="3" bestFit="1" customWidth="1"/>
    <col min="8974" max="8974" width="31.4257812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6.7109375" style="3" bestFit="1" customWidth="1"/>
    <col min="9224" max="9227" width="5.5703125" style="3" bestFit="1" customWidth="1"/>
    <col min="9228" max="9228" width="10.7109375" style="3" customWidth="1"/>
    <col min="9229" max="9229" width="8.5703125" style="3" bestFit="1" customWidth="1"/>
    <col min="9230" max="9230" width="31.4257812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6.7109375" style="3" bestFit="1" customWidth="1"/>
    <col min="9480" max="9483" width="5.5703125" style="3" bestFit="1" customWidth="1"/>
    <col min="9484" max="9484" width="10.7109375" style="3" customWidth="1"/>
    <col min="9485" max="9485" width="8.5703125" style="3" bestFit="1" customWidth="1"/>
    <col min="9486" max="9486" width="31.4257812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6.7109375" style="3" bestFit="1" customWidth="1"/>
    <col min="9736" max="9739" width="5.5703125" style="3" bestFit="1" customWidth="1"/>
    <col min="9740" max="9740" width="10.7109375" style="3" customWidth="1"/>
    <col min="9741" max="9741" width="8.5703125" style="3" bestFit="1" customWidth="1"/>
    <col min="9742" max="9742" width="31.4257812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6.7109375" style="3" bestFit="1" customWidth="1"/>
    <col min="9992" max="9995" width="5.5703125" style="3" bestFit="1" customWidth="1"/>
    <col min="9996" max="9996" width="10.7109375" style="3" customWidth="1"/>
    <col min="9997" max="9997" width="8.5703125" style="3" bestFit="1" customWidth="1"/>
    <col min="9998" max="9998" width="31.4257812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6.7109375" style="3" bestFit="1" customWidth="1"/>
    <col min="10248" max="10251" width="5.5703125" style="3" bestFit="1" customWidth="1"/>
    <col min="10252" max="10252" width="10.7109375" style="3" customWidth="1"/>
    <col min="10253" max="10253" width="8.5703125" style="3" bestFit="1" customWidth="1"/>
    <col min="10254" max="10254" width="31.4257812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6.7109375" style="3" bestFit="1" customWidth="1"/>
    <col min="10504" max="10507" width="5.5703125" style="3" bestFit="1" customWidth="1"/>
    <col min="10508" max="10508" width="10.7109375" style="3" customWidth="1"/>
    <col min="10509" max="10509" width="8.5703125" style="3" bestFit="1" customWidth="1"/>
    <col min="10510" max="10510" width="31.4257812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6.7109375" style="3" bestFit="1" customWidth="1"/>
    <col min="10760" max="10763" width="5.5703125" style="3" bestFit="1" customWidth="1"/>
    <col min="10764" max="10764" width="10.7109375" style="3" customWidth="1"/>
    <col min="10765" max="10765" width="8.5703125" style="3" bestFit="1" customWidth="1"/>
    <col min="10766" max="10766" width="31.4257812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6.7109375" style="3" bestFit="1" customWidth="1"/>
    <col min="11016" max="11019" width="5.5703125" style="3" bestFit="1" customWidth="1"/>
    <col min="11020" max="11020" width="10.7109375" style="3" customWidth="1"/>
    <col min="11021" max="11021" width="8.5703125" style="3" bestFit="1" customWidth="1"/>
    <col min="11022" max="11022" width="31.4257812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6.7109375" style="3" bestFit="1" customWidth="1"/>
    <col min="11272" max="11275" width="5.5703125" style="3" bestFit="1" customWidth="1"/>
    <col min="11276" max="11276" width="10.7109375" style="3" customWidth="1"/>
    <col min="11277" max="11277" width="8.5703125" style="3" bestFit="1" customWidth="1"/>
    <col min="11278" max="11278" width="31.4257812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6.7109375" style="3" bestFit="1" customWidth="1"/>
    <col min="11528" max="11531" width="5.5703125" style="3" bestFit="1" customWidth="1"/>
    <col min="11532" max="11532" width="10.7109375" style="3" customWidth="1"/>
    <col min="11533" max="11533" width="8.5703125" style="3" bestFit="1" customWidth="1"/>
    <col min="11534" max="11534" width="31.4257812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6.7109375" style="3" bestFit="1" customWidth="1"/>
    <col min="11784" max="11787" width="5.5703125" style="3" bestFit="1" customWidth="1"/>
    <col min="11788" max="11788" width="10.7109375" style="3" customWidth="1"/>
    <col min="11789" max="11789" width="8.5703125" style="3" bestFit="1" customWidth="1"/>
    <col min="11790" max="11790" width="31.4257812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6.7109375" style="3" bestFit="1" customWidth="1"/>
    <col min="12040" max="12043" width="5.5703125" style="3" bestFit="1" customWidth="1"/>
    <col min="12044" max="12044" width="10.7109375" style="3" customWidth="1"/>
    <col min="12045" max="12045" width="8.5703125" style="3" bestFit="1" customWidth="1"/>
    <col min="12046" max="12046" width="31.4257812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6.7109375" style="3" bestFit="1" customWidth="1"/>
    <col min="12296" max="12299" width="5.5703125" style="3" bestFit="1" customWidth="1"/>
    <col min="12300" max="12300" width="10.7109375" style="3" customWidth="1"/>
    <col min="12301" max="12301" width="8.5703125" style="3" bestFit="1" customWidth="1"/>
    <col min="12302" max="12302" width="31.4257812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6.7109375" style="3" bestFit="1" customWidth="1"/>
    <col min="12552" max="12555" width="5.5703125" style="3" bestFit="1" customWidth="1"/>
    <col min="12556" max="12556" width="10.7109375" style="3" customWidth="1"/>
    <col min="12557" max="12557" width="8.5703125" style="3" bestFit="1" customWidth="1"/>
    <col min="12558" max="12558" width="31.4257812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6.7109375" style="3" bestFit="1" customWidth="1"/>
    <col min="12808" max="12811" width="5.5703125" style="3" bestFit="1" customWidth="1"/>
    <col min="12812" max="12812" width="10.7109375" style="3" customWidth="1"/>
    <col min="12813" max="12813" width="8.5703125" style="3" bestFit="1" customWidth="1"/>
    <col min="12814" max="12814" width="31.4257812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6.7109375" style="3" bestFit="1" customWidth="1"/>
    <col min="13064" max="13067" width="5.5703125" style="3" bestFit="1" customWidth="1"/>
    <col min="13068" max="13068" width="10.7109375" style="3" customWidth="1"/>
    <col min="13069" max="13069" width="8.5703125" style="3" bestFit="1" customWidth="1"/>
    <col min="13070" max="13070" width="31.4257812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6.7109375" style="3" bestFit="1" customWidth="1"/>
    <col min="13320" max="13323" width="5.5703125" style="3" bestFit="1" customWidth="1"/>
    <col min="13324" max="13324" width="10.7109375" style="3" customWidth="1"/>
    <col min="13325" max="13325" width="8.5703125" style="3" bestFit="1" customWidth="1"/>
    <col min="13326" max="13326" width="31.4257812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6.7109375" style="3" bestFit="1" customWidth="1"/>
    <col min="13576" max="13579" width="5.5703125" style="3" bestFit="1" customWidth="1"/>
    <col min="13580" max="13580" width="10.7109375" style="3" customWidth="1"/>
    <col min="13581" max="13581" width="8.5703125" style="3" bestFit="1" customWidth="1"/>
    <col min="13582" max="13582" width="31.4257812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6.7109375" style="3" bestFit="1" customWidth="1"/>
    <col min="13832" max="13835" width="5.5703125" style="3" bestFit="1" customWidth="1"/>
    <col min="13836" max="13836" width="10.7109375" style="3" customWidth="1"/>
    <col min="13837" max="13837" width="8.5703125" style="3" bestFit="1" customWidth="1"/>
    <col min="13838" max="13838" width="31.4257812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6.7109375" style="3" bestFit="1" customWidth="1"/>
    <col min="14088" max="14091" width="5.5703125" style="3" bestFit="1" customWidth="1"/>
    <col min="14092" max="14092" width="10.7109375" style="3" customWidth="1"/>
    <col min="14093" max="14093" width="8.5703125" style="3" bestFit="1" customWidth="1"/>
    <col min="14094" max="14094" width="31.4257812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6.7109375" style="3" bestFit="1" customWidth="1"/>
    <col min="14344" max="14347" width="5.5703125" style="3" bestFit="1" customWidth="1"/>
    <col min="14348" max="14348" width="10.7109375" style="3" customWidth="1"/>
    <col min="14349" max="14349" width="8.5703125" style="3" bestFit="1" customWidth="1"/>
    <col min="14350" max="14350" width="31.4257812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6.7109375" style="3" bestFit="1" customWidth="1"/>
    <col min="14600" max="14603" width="5.5703125" style="3" bestFit="1" customWidth="1"/>
    <col min="14604" max="14604" width="10.7109375" style="3" customWidth="1"/>
    <col min="14605" max="14605" width="8.5703125" style="3" bestFit="1" customWidth="1"/>
    <col min="14606" max="14606" width="31.4257812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6.7109375" style="3" bestFit="1" customWidth="1"/>
    <col min="14856" max="14859" width="5.5703125" style="3" bestFit="1" customWidth="1"/>
    <col min="14860" max="14860" width="10.7109375" style="3" customWidth="1"/>
    <col min="14861" max="14861" width="8.5703125" style="3" bestFit="1" customWidth="1"/>
    <col min="14862" max="14862" width="31.4257812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6.7109375" style="3" bestFit="1" customWidth="1"/>
    <col min="15112" max="15115" width="5.5703125" style="3" bestFit="1" customWidth="1"/>
    <col min="15116" max="15116" width="10.7109375" style="3" customWidth="1"/>
    <col min="15117" max="15117" width="8.5703125" style="3" bestFit="1" customWidth="1"/>
    <col min="15118" max="15118" width="31.4257812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6.7109375" style="3" bestFit="1" customWidth="1"/>
    <col min="15368" max="15371" width="5.5703125" style="3" bestFit="1" customWidth="1"/>
    <col min="15372" max="15372" width="10.7109375" style="3" customWidth="1"/>
    <col min="15373" max="15373" width="8.5703125" style="3" bestFit="1" customWidth="1"/>
    <col min="15374" max="15374" width="31.4257812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6.7109375" style="3" bestFit="1" customWidth="1"/>
    <col min="15624" max="15627" width="5.5703125" style="3" bestFit="1" customWidth="1"/>
    <col min="15628" max="15628" width="10.7109375" style="3" customWidth="1"/>
    <col min="15629" max="15629" width="8.5703125" style="3" bestFit="1" customWidth="1"/>
    <col min="15630" max="15630" width="31.4257812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6.7109375" style="3" bestFit="1" customWidth="1"/>
    <col min="15880" max="15883" width="5.5703125" style="3" bestFit="1" customWidth="1"/>
    <col min="15884" max="15884" width="10.7109375" style="3" customWidth="1"/>
    <col min="15885" max="15885" width="8.5703125" style="3" bestFit="1" customWidth="1"/>
    <col min="15886" max="15886" width="31.4257812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6.7109375" style="3" bestFit="1" customWidth="1"/>
    <col min="16136" max="16139" width="5.5703125" style="3" bestFit="1" customWidth="1"/>
    <col min="16140" max="16140" width="10.7109375" style="3" customWidth="1"/>
    <col min="16141" max="16141" width="8.5703125" style="3" bestFit="1" customWidth="1"/>
    <col min="16142" max="16142" width="31.42578125" style="3" bestFit="1" customWidth="1"/>
    <col min="16143" max="16384" width="9.140625" style="3"/>
  </cols>
  <sheetData>
    <row r="1" spans="1:14" s="2" customFormat="1" ht="29.1" customHeight="1" x14ac:dyDescent="0.2">
      <c r="A1" s="40" t="s">
        <v>294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295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31" t="s">
        <v>296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6" t="s">
        <v>297</v>
      </c>
      <c r="B6" s="6" t="s">
        <v>1442</v>
      </c>
      <c r="C6" s="6" t="s">
        <v>298</v>
      </c>
      <c r="D6" s="6" t="s">
        <v>299</v>
      </c>
      <c r="E6" s="6" t="str">
        <f>"1,3244"</f>
        <v>1,3244</v>
      </c>
      <c r="F6" s="6" t="s">
        <v>65</v>
      </c>
      <c r="G6" s="6" t="s">
        <v>66</v>
      </c>
      <c r="H6" s="8" t="s">
        <v>68</v>
      </c>
      <c r="I6" s="8" t="s">
        <v>79</v>
      </c>
      <c r="J6" s="8" t="s">
        <v>114</v>
      </c>
      <c r="K6" s="7"/>
      <c r="L6" s="6" t="str">
        <f>"100,0"</f>
        <v>100,0</v>
      </c>
      <c r="M6" s="8" t="str">
        <f>"132,4400"</f>
        <v>132,4400</v>
      </c>
      <c r="N6" s="6" t="s">
        <v>300</v>
      </c>
    </row>
    <row r="8" spans="1:14" ht="15" x14ac:dyDescent="0.2">
      <c r="A8" s="32" t="s">
        <v>190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A9" s="9" t="s">
        <v>301</v>
      </c>
      <c r="B9" s="9" t="s">
        <v>1443</v>
      </c>
      <c r="C9" s="9" t="s">
        <v>302</v>
      </c>
      <c r="D9" s="9" t="s">
        <v>303</v>
      </c>
      <c r="E9" s="9" t="str">
        <f>"1,2635"</f>
        <v>1,2635</v>
      </c>
      <c r="F9" s="9" t="s">
        <v>65</v>
      </c>
      <c r="G9" s="9" t="s">
        <v>66</v>
      </c>
      <c r="H9" s="10" t="s">
        <v>88</v>
      </c>
      <c r="I9" s="10" t="s">
        <v>304</v>
      </c>
      <c r="J9" s="25" t="s">
        <v>183</v>
      </c>
      <c r="K9" s="25"/>
      <c r="L9" s="9" t="str">
        <f>"125,0"</f>
        <v>125,0</v>
      </c>
      <c r="M9" s="10" t="str">
        <f>"157,9375"</f>
        <v>157,9375</v>
      </c>
      <c r="N9" s="9" t="s">
        <v>62</v>
      </c>
    </row>
    <row r="10" spans="1:14" x14ac:dyDescent="0.2">
      <c r="A10" s="11" t="s">
        <v>305</v>
      </c>
      <c r="B10" s="11" t="s">
        <v>1442</v>
      </c>
      <c r="C10" s="11" t="s">
        <v>306</v>
      </c>
      <c r="D10" s="11" t="s">
        <v>307</v>
      </c>
      <c r="E10" s="11" t="str">
        <f>"1,2541"</f>
        <v>1,2541</v>
      </c>
      <c r="F10" s="11" t="s">
        <v>65</v>
      </c>
      <c r="G10" s="11" t="s">
        <v>66</v>
      </c>
      <c r="H10" s="13" t="s">
        <v>179</v>
      </c>
      <c r="I10" s="13" t="s">
        <v>308</v>
      </c>
      <c r="J10" s="12" t="s">
        <v>94</v>
      </c>
      <c r="K10" s="12"/>
      <c r="L10" s="11" t="str">
        <f>"112,5"</f>
        <v>112,5</v>
      </c>
      <c r="M10" s="13" t="str">
        <f>"141,0862"</f>
        <v>141,0862</v>
      </c>
      <c r="N10" s="11" t="s">
        <v>309</v>
      </c>
    </row>
    <row r="11" spans="1:14" x14ac:dyDescent="0.2">
      <c r="A11" s="14" t="s">
        <v>310</v>
      </c>
      <c r="B11" s="14" t="s">
        <v>1442</v>
      </c>
      <c r="C11" s="14" t="s">
        <v>311</v>
      </c>
      <c r="D11" s="14" t="s">
        <v>312</v>
      </c>
      <c r="E11" s="14" t="str">
        <f>"1,2654"</f>
        <v>1,2654</v>
      </c>
      <c r="F11" s="14" t="s">
        <v>65</v>
      </c>
      <c r="G11" s="14" t="s">
        <v>66</v>
      </c>
      <c r="H11" s="16" t="s">
        <v>114</v>
      </c>
      <c r="I11" s="16" t="s">
        <v>313</v>
      </c>
      <c r="J11" s="15"/>
      <c r="K11" s="15"/>
      <c r="L11" s="14" t="str">
        <f>"105,0"</f>
        <v>105,0</v>
      </c>
      <c r="M11" s="16" t="str">
        <f>"132,8670"</f>
        <v>132,8670</v>
      </c>
      <c r="N11" s="14" t="s">
        <v>314</v>
      </c>
    </row>
    <row r="13" spans="1:14" ht="15" x14ac:dyDescent="0.2">
      <c r="A13" s="32" t="s">
        <v>225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x14ac:dyDescent="0.2">
      <c r="A14" s="9" t="s">
        <v>315</v>
      </c>
      <c r="B14" s="9" t="s">
        <v>1442</v>
      </c>
      <c r="C14" s="9" t="s">
        <v>316</v>
      </c>
      <c r="D14" s="9" t="s">
        <v>317</v>
      </c>
      <c r="E14" s="9" t="str">
        <f>"1,1967"</f>
        <v>1,1967</v>
      </c>
      <c r="F14" s="9" t="s">
        <v>65</v>
      </c>
      <c r="G14" s="9" t="s">
        <v>66</v>
      </c>
      <c r="H14" s="10" t="s">
        <v>68</v>
      </c>
      <c r="I14" s="10" t="s">
        <v>318</v>
      </c>
      <c r="J14" s="10" t="s">
        <v>179</v>
      </c>
      <c r="K14" s="25"/>
      <c r="L14" s="9" t="str">
        <f>"107,5"</f>
        <v>107,5</v>
      </c>
      <c r="M14" s="10" t="str">
        <f>"128,6452"</f>
        <v>128,6452</v>
      </c>
      <c r="N14" s="9" t="s">
        <v>319</v>
      </c>
    </row>
    <row r="15" spans="1:14" x14ac:dyDescent="0.2">
      <c r="A15" s="11" t="s">
        <v>320</v>
      </c>
      <c r="B15" s="11" t="s">
        <v>1443</v>
      </c>
      <c r="C15" s="11" t="s">
        <v>321</v>
      </c>
      <c r="D15" s="11" t="s">
        <v>317</v>
      </c>
      <c r="E15" s="11" t="str">
        <f>"1,1967"</f>
        <v>1,1967</v>
      </c>
      <c r="F15" s="11" t="s">
        <v>14</v>
      </c>
      <c r="G15" s="11" t="s">
        <v>322</v>
      </c>
      <c r="H15" s="13" t="s">
        <v>323</v>
      </c>
      <c r="I15" s="13" t="s">
        <v>183</v>
      </c>
      <c r="J15" s="13" t="s">
        <v>324</v>
      </c>
      <c r="K15" s="12"/>
      <c r="L15" s="11" t="str">
        <f>"137,5"</f>
        <v>137,5</v>
      </c>
      <c r="M15" s="13" t="str">
        <f>"164,5462"</f>
        <v>164,5462</v>
      </c>
      <c r="N15" s="11" t="s">
        <v>325</v>
      </c>
    </row>
    <row r="16" spans="1:14" x14ac:dyDescent="0.2">
      <c r="A16" s="11" t="s">
        <v>326</v>
      </c>
      <c r="B16" s="11" t="s">
        <v>1443</v>
      </c>
      <c r="C16" s="11" t="s">
        <v>327</v>
      </c>
      <c r="D16" s="11" t="s">
        <v>328</v>
      </c>
      <c r="E16" s="11" t="str">
        <f>"1,1933"</f>
        <v>1,1933</v>
      </c>
      <c r="F16" s="11" t="s">
        <v>65</v>
      </c>
      <c r="G16" s="11" t="s">
        <v>66</v>
      </c>
      <c r="H16" s="13" t="s">
        <v>179</v>
      </c>
      <c r="I16" s="13" t="s">
        <v>329</v>
      </c>
      <c r="J16" s="13" t="s">
        <v>183</v>
      </c>
      <c r="K16" s="12"/>
      <c r="L16" s="11" t="str">
        <f>"130,0"</f>
        <v>130,0</v>
      </c>
      <c r="M16" s="13" t="str">
        <f>"155,1290"</f>
        <v>155,1290</v>
      </c>
      <c r="N16" s="11" t="s">
        <v>34</v>
      </c>
    </row>
    <row r="17" spans="1:14" x14ac:dyDescent="0.2">
      <c r="A17" s="14" t="s">
        <v>330</v>
      </c>
      <c r="B17" s="14" t="s">
        <v>1446</v>
      </c>
      <c r="C17" s="14" t="s">
        <v>331</v>
      </c>
      <c r="D17" s="14" t="s">
        <v>332</v>
      </c>
      <c r="E17" s="14" t="str">
        <f>"1,1950"</f>
        <v>1,1950</v>
      </c>
      <c r="F17" s="14" t="s">
        <v>65</v>
      </c>
      <c r="G17" s="14" t="s">
        <v>66</v>
      </c>
      <c r="H17" s="16" t="s">
        <v>333</v>
      </c>
      <c r="I17" s="15" t="s">
        <v>230</v>
      </c>
      <c r="J17" s="15" t="s">
        <v>236</v>
      </c>
      <c r="K17" s="15"/>
      <c r="L17" s="14" t="str">
        <f>"40,0"</f>
        <v>40,0</v>
      </c>
      <c r="M17" s="16" t="str">
        <f>"67,9238"</f>
        <v>67,9238</v>
      </c>
      <c r="N17" s="14" t="s">
        <v>334</v>
      </c>
    </row>
    <row r="19" spans="1:14" ht="15" x14ac:dyDescent="0.2">
      <c r="A19" s="32" t="s">
        <v>196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x14ac:dyDescent="0.2">
      <c r="A20" s="9" t="s">
        <v>335</v>
      </c>
      <c r="B20" s="9" t="s">
        <v>1437</v>
      </c>
      <c r="C20" s="9" t="s">
        <v>336</v>
      </c>
      <c r="D20" s="9" t="s">
        <v>337</v>
      </c>
      <c r="E20" s="9" t="str">
        <f>"1,1401"</f>
        <v>1,1401</v>
      </c>
      <c r="F20" s="9" t="s">
        <v>65</v>
      </c>
      <c r="G20" s="9" t="s">
        <v>66</v>
      </c>
      <c r="H20" s="10" t="s">
        <v>32</v>
      </c>
      <c r="I20" s="10" t="s">
        <v>74</v>
      </c>
      <c r="J20" s="10" t="s">
        <v>313</v>
      </c>
      <c r="K20" s="25"/>
      <c r="L20" s="9" t="str">
        <f>"105,0"</f>
        <v>105,0</v>
      </c>
      <c r="M20" s="10" t="str">
        <f>"119,7105"</f>
        <v>119,7105</v>
      </c>
      <c r="N20" s="9" t="s">
        <v>338</v>
      </c>
    </row>
    <row r="21" spans="1:14" x14ac:dyDescent="0.2">
      <c r="A21" s="11" t="s">
        <v>339</v>
      </c>
      <c r="B21" s="11" t="s">
        <v>1437</v>
      </c>
      <c r="C21" s="11" t="s">
        <v>340</v>
      </c>
      <c r="D21" s="11" t="s">
        <v>341</v>
      </c>
      <c r="E21" s="11" t="str">
        <f>"1,1432"</f>
        <v>1,1432</v>
      </c>
      <c r="F21" s="11" t="s">
        <v>65</v>
      </c>
      <c r="G21" s="11" t="s">
        <v>66</v>
      </c>
      <c r="H21" s="13" t="s">
        <v>68</v>
      </c>
      <c r="I21" s="13" t="s">
        <v>79</v>
      </c>
      <c r="J21" s="13" t="s">
        <v>114</v>
      </c>
      <c r="K21" s="12"/>
      <c r="L21" s="11" t="str">
        <f>"100,0"</f>
        <v>100,0</v>
      </c>
      <c r="M21" s="13" t="str">
        <f>"114,3200"</f>
        <v>114,3200</v>
      </c>
      <c r="N21" s="11" t="s">
        <v>342</v>
      </c>
    </row>
    <row r="22" spans="1:14" x14ac:dyDescent="0.2">
      <c r="A22" s="14" t="s">
        <v>343</v>
      </c>
      <c r="B22" s="14" t="s">
        <v>1441</v>
      </c>
      <c r="C22" s="14" t="s">
        <v>344</v>
      </c>
      <c r="D22" s="14" t="s">
        <v>345</v>
      </c>
      <c r="E22" s="14" t="str">
        <f>"1,1178"</f>
        <v>1,1178</v>
      </c>
      <c r="F22" s="14" t="s">
        <v>65</v>
      </c>
      <c r="G22" s="14" t="s">
        <v>66</v>
      </c>
      <c r="H22" s="16" t="s">
        <v>48</v>
      </c>
      <c r="I22" s="16" t="s">
        <v>55</v>
      </c>
      <c r="J22" s="16" t="s">
        <v>74</v>
      </c>
      <c r="K22" s="15"/>
      <c r="L22" s="14" t="str">
        <f>"92,5"</f>
        <v>92,5</v>
      </c>
      <c r="M22" s="16" t="str">
        <f>"103,3965"</f>
        <v>103,3965</v>
      </c>
      <c r="N22" s="14" t="s">
        <v>34</v>
      </c>
    </row>
    <row r="24" spans="1:14" ht="15" x14ac:dyDescent="0.2">
      <c r="A24" s="32" t="s">
        <v>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x14ac:dyDescent="0.2">
      <c r="A25" s="6" t="s">
        <v>346</v>
      </c>
      <c r="B25" s="6" t="s">
        <v>1442</v>
      </c>
      <c r="C25" s="6" t="s">
        <v>347</v>
      </c>
      <c r="D25" s="6" t="s">
        <v>348</v>
      </c>
      <c r="E25" s="6" t="str">
        <f>"1,0317"</f>
        <v>1,0317</v>
      </c>
      <c r="F25" s="6" t="s">
        <v>14</v>
      </c>
      <c r="G25" s="6" t="s">
        <v>349</v>
      </c>
      <c r="H25" s="8" t="s">
        <v>88</v>
      </c>
      <c r="I25" s="8" t="s">
        <v>350</v>
      </c>
      <c r="J25" s="7" t="s">
        <v>183</v>
      </c>
      <c r="K25" s="7"/>
      <c r="L25" s="6" t="str">
        <f>"122,5"</f>
        <v>122,5</v>
      </c>
      <c r="M25" s="8" t="str">
        <f>"126,3833"</f>
        <v>126,3833</v>
      </c>
      <c r="N25" s="6" t="s">
        <v>351</v>
      </c>
    </row>
    <row r="27" spans="1:14" ht="15" x14ac:dyDescent="0.2">
      <c r="A27" s="32" t="s">
        <v>19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x14ac:dyDescent="0.2">
      <c r="A28" s="6" t="s">
        <v>352</v>
      </c>
      <c r="B28" s="6" t="s">
        <v>1442</v>
      </c>
      <c r="C28" s="6" t="s">
        <v>353</v>
      </c>
      <c r="D28" s="6" t="s">
        <v>354</v>
      </c>
      <c r="E28" s="6" t="str">
        <f>"0,9707"</f>
        <v>0,9707</v>
      </c>
      <c r="F28" s="6" t="s">
        <v>65</v>
      </c>
      <c r="G28" s="6" t="s">
        <v>66</v>
      </c>
      <c r="H28" s="8" t="s">
        <v>355</v>
      </c>
      <c r="I28" s="8" t="s">
        <v>356</v>
      </c>
      <c r="J28" s="7" t="s">
        <v>357</v>
      </c>
      <c r="K28" s="7"/>
      <c r="L28" s="6" t="str">
        <f>"140,0"</f>
        <v>140,0</v>
      </c>
      <c r="M28" s="8" t="str">
        <f>"137,2570"</f>
        <v>137,2570</v>
      </c>
      <c r="N28" s="6" t="s">
        <v>34</v>
      </c>
    </row>
    <row r="30" spans="1:14" ht="15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x14ac:dyDescent="0.2">
      <c r="A31" s="6" t="s">
        <v>358</v>
      </c>
      <c r="B31" s="6" t="s">
        <v>1441</v>
      </c>
      <c r="C31" s="6" t="s">
        <v>359</v>
      </c>
      <c r="D31" s="6" t="s">
        <v>360</v>
      </c>
      <c r="E31" s="6" t="str">
        <f>"0,9112"</f>
        <v>0,9112</v>
      </c>
      <c r="F31" s="6" t="s">
        <v>65</v>
      </c>
      <c r="G31" s="6" t="s">
        <v>66</v>
      </c>
      <c r="H31" s="8" t="s">
        <v>68</v>
      </c>
      <c r="I31" s="8" t="s">
        <v>114</v>
      </c>
      <c r="J31" s="8" t="s">
        <v>83</v>
      </c>
      <c r="K31" s="8" t="s">
        <v>88</v>
      </c>
      <c r="L31" s="6" t="str">
        <f>"110,0"</f>
        <v>110,0</v>
      </c>
      <c r="M31" s="8" t="str">
        <f>"100,2320"</f>
        <v>100,2320</v>
      </c>
      <c r="N31" s="6" t="s">
        <v>361</v>
      </c>
    </row>
    <row r="33" spans="1:14" ht="15" x14ac:dyDescent="0.2">
      <c r="A33" s="32" t="s">
        <v>362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2">
      <c r="A34" s="6" t="s">
        <v>363</v>
      </c>
      <c r="B34" s="6" t="s">
        <v>1438</v>
      </c>
      <c r="C34" s="6" t="s">
        <v>364</v>
      </c>
      <c r="D34" s="6" t="s">
        <v>365</v>
      </c>
      <c r="E34" s="6" t="str">
        <f>"0,8193"</f>
        <v>0,8193</v>
      </c>
      <c r="F34" s="6" t="s">
        <v>65</v>
      </c>
      <c r="G34" s="6" t="s">
        <v>66</v>
      </c>
      <c r="H34" s="8" t="s">
        <v>68</v>
      </c>
      <c r="I34" s="8" t="s">
        <v>114</v>
      </c>
      <c r="J34" s="7" t="s">
        <v>83</v>
      </c>
      <c r="K34" s="7"/>
      <c r="L34" s="6" t="str">
        <f>"100,0"</f>
        <v>100,0</v>
      </c>
      <c r="M34" s="8" t="str">
        <f>"81,9300"</f>
        <v>81,9300</v>
      </c>
      <c r="N34" s="6" t="s">
        <v>342</v>
      </c>
    </row>
    <row r="36" spans="1:14" ht="15" x14ac:dyDescent="0.2">
      <c r="A36" s="32" t="s">
        <v>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x14ac:dyDescent="0.2">
      <c r="A37" s="9" t="s">
        <v>366</v>
      </c>
      <c r="B37" s="9" t="s">
        <v>1439</v>
      </c>
      <c r="C37" s="9" t="s">
        <v>367</v>
      </c>
      <c r="D37" s="9" t="s">
        <v>215</v>
      </c>
      <c r="E37" s="9" t="str">
        <f>"0,8133"</f>
        <v>0,8133</v>
      </c>
      <c r="F37" s="9" t="s">
        <v>65</v>
      </c>
      <c r="G37" s="9" t="s">
        <v>66</v>
      </c>
      <c r="H37" s="10" t="s">
        <v>318</v>
      </c>
      <c r="I37" s="25" t="s">
        <v>83</v>
      </c>
      <c r="J37" s="10" t="s">
        <v>83</v>
      </c>
      <c r="K37" s="25"/>
      <c r="L37" s="9" t="str">
        <f>"110,0"</f>
        <v>110,0</v>
      </c>
      <c r="M37" s="10" t="str">
        <f>"89,4630"</f>
        <v>89,4630</v>
      </c>
      <c r="N37" s="9" t="s">
        <v>216</v>
      </c>
    </row>
    <row r="38" spans="1:14" x14ac:dyDescent="0.2">
      <c r="A38" s="11" t="s">
        <v>368</v>
      </c>
      <c r="B38" s="11" t="s">
        <v>1438</v>
      </c>
      <c r="C38" s="11" t="s">
        <v>369</v>
      </c>
      <c r="D38" s="11" t="s">
        <v>235</v>
      </c>
      <c r="E38" s="11" t="str">
        <f>"0,7891"</f>
        <v>0,7891</v>
      </c>
      <c r="F38" s="11" t="s">
        <v>14</v>
      </c>
      <c r="G38" s="11" t="s">
        <v>370</v>
      </c>
      <c r="H38" s="12" t="s">
        <v>83</v>
      </c>
      <c r="I38" s="13" t="s">
        <v>88</v>
      </c>
      <c r="J38" s="13" t="s">
        <v>329</v>
      </c>
      <c r="K38" s="12"/>
      <c r="L38" s="11" t="str">
        <f>"127,5"</f>
        <v>127,5</v>
      </c>
      <c r="M38" s="13" t="str">
        <f>"100,6102"</f>
        <v>100,6102</v>
      </c>
      <c r="N38" s="11" t="s">
        <v>371</v>
      </c>
    </row>
    <row r="39" spans="1:14" x14ac:dyDescent="0.2">
      <c r="A39" s="11" t="s">
        <v>372</v>
      </c>
      <c r="B39" s="11" t="s">
        <v>1443</v>
      </c>
      <c r="C39" s="11" t="s">
        <v>373</v>
      </c>
      <c r="D39" s="11" t="s">
        <v>374</v>
      </c>
      <c r="E39" s="11" t="str">
        <f>"0,7785"</f>
        <v>0,7785</v>
      </c>
      <c r="F39" s="11" t="s">
        <v>375</v>
      </c>
      <c r="G39" s="11" t="s">
        <v>376</v>
      </c>
      <c r="H39" s="13" t="s">
        <v>242</v>
      </c>
      <c r="I39" s="13" t="s">
        <v>270</v>
      </c>
      <c r="J39" s="13" t="s">
        <v>280</v>
      </c>
      <c r="K39" s="12"/>
      <c r="L39" s="11" t="str">
        <f>"200,0"</f>
        <v>200,0</v>
      </c>
      <c r="M39" s="13" t="str">
        <f>"155,7000"</f>
        <v>155,7000</v>
      </c>
      <c r="N39" s="11" t="s">
        <v>377</v>
      </c>
    </row>
    <row r="40" spans="1:14" x14ac:dyDescent="0.2">
      <c r="A40" s="14" t="s">
        <v>378</v>
      </c>
      <c r="B40" s="14" t="s">
        <v>1442</v>
      </c>
      <c r="C40" s="14" t="s">
        <v>379</v>
      </c>
      <c r="D40" s="14" t="s">
        <v>380</v>
      </c>
      <c r="E40" s="14" t="str">
        <f>"0,7710"</f>
        <v>0,7710</v>
      </c>
      <c r="F40" s="14" t="s">
        <v>14</v>
      </c>
      <c r="G40" s="14" t="s">
        <v>381</v>
      </c>
      <c r="H40" s="15" t="s">
        <v>241</v>
      </c>
      <c r="I40" s="16" t="s">
        <v>382</v>
      </c>
      <c r="J40" s="15" t="s">
        <v>383</v>
      </c>
      <c r="K40" s="15"/>
      <c r="L40" s="14" t="str">
        <f>"180,0"</f>
        <v>180,0</v>
      </c>
      <c r="M40" s="16" t="str">
        <f>"138,7800"</f>
        <v>138,7800</v>
      </c>
      <c r="N40" s="14" t="s">
        <v>62</v>
      </c>
    </row>
    <row r="42" spans="1:14" ht="15" x14ac:dyDescent="0.2">
      <c r="A42" s="32" t="s">
        <v>19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x14ac:dyDescent="0.2">
      <c r="A43" s="9" t="s">
        <v>384</v>
      </c>
      <c r="B43" s="9" t="s">
        <v>1443</v>
      </c>
      <c r="C43" s="9" t="s">
        <v>385</v>
      </c>
      <c r="D43" s="9" t="s">
        <v>386</v>
      </c>
      <c r="E43" s="9" t="str">
        <f>"0,7621"</f>
        <v>0,7621</v>
      </c>
      <c r="F43" s="9" t="s">
        <v>14</v>
      </c>
      <c r="G43" s="9" t="s">
        <v>387</v>
      </c>
      <c r="H43" s="10" t="s">
        <v>270</v>
      </c>
      <c r="I43" s="25" t="s">
        <v>388</v>
      </c>
      <c r="J43" s="10" t="s">
        <v>388</v>
      </c>
      <c r="K43" s="25"/>
      <c r="L43" s="9" t="str">
        <f>"210,0"</f>
        <v>210,0</v>
      </c>
      <c r="M43" s="10" t="str">
        <f>"160,0410"</f>
        <v>160,0410</v>
      </c>
      <c r="N43" s="9" t="s">
        <v>34</v>
      </c>
    </row>
    <row r="44" spans="1:14" x14ac:dyDescent="0.2">
      <c r="A44" s="11" t="s">
        <v>389</v>
      </c>
      <c r="B44" s="11" t="s">
        <v>1444</v>
      </c>
      <c r="C44" s="11" t="s">
        <v>390</v>
      </c>
      <c r="D44" s="11" t="s">
        <v>391</v>
      </c>
      <c r="E44" s="11" t="str">
        <f>"0,7186"</f>
        <v>0,7186</v>
      </c>
      <c r="F44" s="11" t="s">
        <v>392</v>
      </c>
      <c r="G44" s="11" t="s">
        <v>393</v>
      </c>
      <c r="H44" s="13" t="s">
        <v>394</v>
      </c>
      <c r="I44" s="12" t="s">
        <v>395</v>
      </c>
      <c r="J44" s="12" t="s">
        <v>395</v>
      </c>
      <c r="K44" s="12"/>
      <c r="L44" s="11" t="str">
        <f>"240,0"</f>
        <v>240,0</v>
      </c>
      <c r="M44" s="13" t="str">
        <f>"172,4640"</f>
        <v>172,4640</v>
      </c>
      <c r="N44" s="11" t="s">
        <v>396</v>
      </c>
    </row>
    <row r="45" spans="1:14" x14ac:dyDescent="0.2">
      <c r="A45" s="11" t="s">
        <v>397</v>
      </c>
      <c r="B45" s="11" t="s">
        <v>1437</v>
      </c>
      <c r="C45" s="11" t="s">
        <v>398</v>
      </c>
      <c r="D45" s="11" t="s">
        <v>399</v>
      </c>
      <c r="E45" s="11" t="str">
        <f>"0,7535"</f>
        <v>0,7535</v>
      </c>
      <c r="F45" s="11" t="s">
        <v>14</v>
      </c>
      <c r="G45" s="11" t="s">
        <v>381</v>
      </c>
      <c r="H45" s="13" t="s">
        <v>400</v>
      </c>
      <c r="I45" s="13" t="s">
        <v>241</v>
      </c>
      <c r="J45" s="12" t="s">
        <v>243</v>
      </c>
      <c r="K45" s="12"/>
      <c r="L45" s="11" t="str">
        <f>"170,0"</f>
        <v>170,0</v>
      </c>
      <c r="M45" s="13" t="str">
        <f>"128,0950"</f>
        <v>128,0950</v>
      </c>
      <c r="N45" s="11" t="s">
        <v>62</v>
      </c>
    </row>
    <row r="46" spans="1:14" x14ac:dyDescent="0.2">
      <c r="A46" s="11" t="s">
        <v>401</v>
      </c>
      <c r="B46" s="11" t="s">
        <v>1445</v>
      </c>
      <c r="C46" s="11" t="s">
        <v>402</v>
      </c>
      <c r="D46" s="11" t="s">
        <v>403</v>
      </c>
      <c r="E46" s="11" t="str">
        <f>"0,7228"</f>
        <v>0,7228</v>
      </c>
      <c r="F46" s="11" t="s">
        <v>65</v>
      </c>
      <c r="G46" s="11" t="s">
        <v>66</v>
      </c>
      <c r="H46" s="13" t="s">
        <v>395</v>
      </c>
      <c r="I46" s="13" t="s">
        <v>404</v>
      </c>
      <c r="J46" s="13" t="s">
        <v>405</v>
      </c>
      <c r="K46" s="12"/>
      <c r="L46" s="11" t="str">
        <f>"275,0"</f>
        <v>275,0</v>
      </c>
      <c r="M46" s="13" t="str">
        <f>"198,7700"</f>
        <v>198,7700</v>
      </c>
      <c r="N46" s="11" t="s">
        <v>406</v>
      </c>
    </row>
    <row r="47" spans="1:14" x14ac:dyDescent="0.2">
      <c r="A47" s="11" t="s">
        <v>407</v>
      </c>
      <c r="B47" s="11" t="s">
        <v>1443</v>
      </c>
      <c r="C47" s="11" t="s">
        <v>408</v>
      </c>
      <c r="D47" s="11" t="s">
        <v>409</v>
      </c>
      <c r="E47" s="11" t="str">
        <f>"0,7330"</f>
        <v>0,7330</v>
      </c>
      <c r="F47" s="11" t="s">
        <v>410</v>
      </c>
      <c r="G47" s="11" t="s">
        <v>411</v>
      </c>
      <c r="H47" s="13" t="s">
        <v>412</v>
      </c>
      <c r="I47" s="13" t="s">
        <v>388</v>
      </c>
      <c r="J47" s="13" t="s">
        <v>413</v>
      </c>
      <c r="K47" s="12"/>
      <c r="L47" s="11" t="str">
        <f>"215,0"</f>
        <v>215,0</v>
      </c>
      <c r="M47" s="13" t="str">
        <f>"157,5950"</f>
        <v>157,5950</v>
      </c>
      <c r="N47" s="11" t="s">
        <v>414</v>
      </c>
    </row>
    <row r="48" spans="1:14" x14ac:dyDescent="0.2">
      <c r="A48" s="11" t="s">
        <v>415</v>
      </c>
      <c r="B48" s="11" t="s">
        <v>1437</v>
      </c>
      <c r="C48" s="11" t="s">
        <v>416</v>
      </c>
      <c r="D48" s="11" t="s">
        <v>128</v>
      </c>
      <c r="E48" s="11" t="str">
        <f>"0,7249"</f>
        <v>0,7249</v>
      </c>
      <c r="F48" s="11" t="s">
        <v>14</v>
      </c>
      <c r="G48" s="11" t="s">
        <v>417</v>
      </c>
      <c r="H48" s="13" t="s">
        <v>269</v>
      </c>
      <c r="I48" s="12" t="s">
        <v>290</v>
      </c>
      <c r="J48" s="13" t="s">
        <v>290</v>
      </c>
      <c r="K48" s="12"/>
      <c r="L48" s="11" t="str">
        <f>"172,5"</f>
        <v>172,5</v>
      </c>
      <c r="M48" s="13" t="str">
        <f>"128,9217"</f>
        <v>128,9217</v>
      </c>
      <c r="N48" s="11" t="s">
        <v>418</v>
      </c>
    </row>
    <row r="49" spans="1:14" x14ac:dyDescent="0.2">
      <c r="A49" s="11" t="s">
        <v>419</v>
      </c>
      <c r="B49" s="11" t="s">
        <v>1444</v>
      </c>
      <c r="C49" s="11" t="s">
        <v>420</v>
      </c>
      <c r="D49" s="11" t="s">
        <v>421</v>
      </c>
      <c r="E49" s="11" t="str">
        <f>"0,7159"</f>
        <v>0,7159</v>
      </c>
      <c r="F49" s="11" t="s">
        <v>65</v>
      </c>
      <c r="G49" s="11" t="s">
        <v>66</v>
      </c>
      <c r="H49" s="13" t="s">
        <v>255</v>
      </c>
      <c r="I49" s="13" t="s">
        <v>280</v>
      </c>
      <c r="J49" s="13" t="s">
        <v>422</v>
      </c>
      <c r="K49" s="12"/>
      <c r="L49" s="11" t="str">
        <f>"202,5"</f>
        <v>202,5</v>
      </c>
      <c r="M49" s="13" t="str">
        <f>"180,6323"</f>
        <v>180,6323</v>
      </c>
      <c r="N49" s="11" t="s">
        <v>62</v>
      </c>
    </row>
    <row r="50" spans="1:14" x14ac:dyDescent="0.2">
      <c r="A50" s="14" t="s">
        <v>423</v>
      </c>
      <c r="B50" s="14" t="s">
        <v>1442</v>
      </c>
      <c r="C50" s="14" t="s">
        <v>424</v>
      </c>
      <c r="D50" s="14" t="s">
        <v>425</v>
      </c>
      <c r="E50" s="14" t="str">
        <f>"0,7179"</f>
        <v>0,7179</v>
      </c>
      <c r="F50" s="14" t="s">
        <v>14</v>
      </c>
      <c r="G50" s="14" t="s">
        <v>15</v>
      </c>
      <c r="H50" s="16" t="s">
        <v>264</v>
      </c>
      <c r="I50" s="16" t="s">
        <v>426</v>
      </c>
      <c r="J50" s="15" t="s">
        <v>400</v>
      </c>
      <c r="K50" s="15"/>
      <c r="L50" s="14" t="str">
        <f>"155,0"</f>
        <v>155,0</v>
      </c>
      <c r="M50" s="16" t="str">
        <f>"191,1696"</f>
        <v>191,1696</v>
      </c>
      <c r="N50" s="14" t="s">
        <v>427</v>
      </c>
    </row>
    <row r="52" spans="1:14" ht="15" x14ac:dyDescent="0.2">
      <c r="A52" s="32" t="s">
        <v>26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x14ac:dyDescent="0.2">
      <c r="A53" s="9" t="s">
        <v>428</v>
      </c>
      <c r="B53" s="9" t="s">
        <v>1442</v>
      </c>
      <c r="C53" s="9" t="s">
        <v>429</v>
      </c>
      <c r="D53" s="9" t="s">
        <v>430</v>
      </c>
      <c r="E53" s="9" t="str">
        <f>"0,6754"</f>
        <v>0,6754</v>
      </c>
      <c r="F53" s="9" t="s">
        <v>14</v>
      </c>
      <c r="G53" s="9" t="s">
        <v>431</v>
      </c>
      <c r="H53" s="10" t="s">
        <v>382</v>
      </c>
      <c r="I53" s="25" t="s">
        <v>279</v>
      </c>
      <c r="J53" s="10" t="s">
        <v>280</v>
      </c>
      <c r="K53" s="25" t="s">
        <v>432</v>
      </c>
      <c r="L53" s="9" t="str">
        <f>"200,0"</f>
        <v>200,0</v>
      </c>
      <c r="M53" s="10" t="str">
        <f>"135,0800"</f>
        <v>135,0800</v>
      </c>
      <c r="N53" s="9" t="s">
        <v>433</v>
      </c>
    </row>
    <row r="54" spans="1:14" x14ac:dyDescent="0.2">
      <c r="A54" s="11" t="s">
        <v>434</v>
      </c>
      <c r="B54" s="11" t="s">
        <v>1437</v>
      </c>
      <c r="C54" s="11" t="s">
        <v>435</v>
      </c>
      <c r="D54" s="11" t="s">
        <v>436</v>
      </c>
      <c r="E54" s="11" t="str">
        <f>"0,6854"</f>
        <v>0,6854</v>
      </c>
      <c r="F54" s="11" t="s">
        <v>14</v>
      </c>
      <c r="G54" s="11" t="s">
        <v>437</v>
      </c>
      <c r="H54" s="13" t="s">
        <v>270</v>
      </c>
      <c r="I54" s="12" t="s">
        <v>388</v>
      </c>
      <c r="J54" s="12" t="s">
        <v>438</v>
      </c>
      <c r="K54" s="12"/>
      <c r="L54" s="11" t="str">
        <f>"190,0"</f>
        <v>190,0</v>
      </c>
      <c r="M54" s="13" t="str">
        <f>"130,2260"</f>
        <v>130,2260</v>
      </c>
      <c r="N54" s="11" t="s">
        <v>34</v>
      </c>
    </row>
    <row r="55" spans="1:14" x14ac:dyDescent="0.2">
      <c r="A55" s="11" t="s">
        <v>439</v>
      </c>
      <c r="B55" s="11" t="s">
        <v>1443</v>
      </c>
      <c r="C55" s="11" t="s">
        <v>440</v>
      </c>
      <c r="D55" s="11" t="s">
        <v>441</v>
      </c>
      <c r="E55" s="11" t="str">
        <f>"0,6865"</f>
        <v>0,6865</v>
      </c>
      <c r="F55" s="11" t="s">
        <v>65</v>
      </c>
      <c r="G55" s="11" t="s">
        <v>66</v>
      </c>
      <c r="H55" s="13" t="s">
        <v>388</v>
      </c>
      <c r="I55" s="13" t="s">
        <v>442</v>
      </c>
      <c r="J55" s="12"/>
      <c r="K55" s="12"/>
      <c r="L55" s="11" t="str">
        <f>"220,0"</f>
        <v>220,0</v>
      </c>
      <c r="M55" s="13" t="str">
        <f>"151,0300"</f>
        <v>151,0300</v>
      </c>
      <c r="N55" s="11" t="s">
        <v>62</v>
      </c>
    </row>
    <row r="56" spans="1:14" x14ac:dyDescent="0.2">
      <c r="A56" s="11" t="s">
        <v>443</v>
      </c>
      <c r="B56" s="11" t="s">
        <v>1442</v>
      </c>
      <c r="C56" s="11" t="s">
        <v>444</v>
      </c>
      <c r="D56" s="11" t="s">
        <v>445</v>
      </c>
      <c r="E56" s="11" t="str">
        <f>"0,6785"</f>
        <v>0,6785</v>
      </c>
      <c r="F56" s="11" t="s">
        <v>14</v>
      </c>
      <c r="G56" s="11" t="s">
        <v>370</v>
      </c>
      <c r="H56" s="13" t="s">
        <v>412</v>
      </c>
      <c r="I56" s="12" t="s">
        <v>438</v>
      </c>
      <c r="J56" s="12" t="s">
        <v>438</v>
      </c>
      <c r="K56" s="12"/>
      <c r="L56" s="11" t="str">
        <f>"205,0"</f>
        <v>205,0</v>
      </c>
      <c r="M56" s="13" t="str">
        <f>"139,0925"</f>
        <v>139,0925</v>
      </c>
      <c r="N56" s="11" t="s">
        <v>446</v>
      </c>
    </row>
    <row r="57" spans="1:14" x14ac:dyDescent="0.2">
      <c r="A57" s="11" t="s">
        <v>447</v>
      </c>
      <c r="B57" s="11" t="s">
        <v>1437</v>
      </c>
      <c r="C57" s="11" t="s">
        <v>448</v>
      </c>
      <c r="D57" s="11" t="s">
        <v>441</v>
      </c>
      <c r="E57" s="11" t="str">
        <f>"0,6865"</f>
        <v>0,6865</v>
      </c>
      <c r="F57" s="11" t="s">
        <v>65</v>
      </c>
      <c r="G57" s="11" t="s">
        <v>66</v>
      </c>
      <c r="H57" s="12" t="s">
        <v>242</v>
      </c>
      <c r="I57" s="13" t="s">
        <v>255</v>
      </c>
      <c r="J57" s="12" t="s">
        <v>449</v>
      </c>
      <c r="K57" s="12"/>
      <c r="L57" s="11" t="str">
        <f>"185,0"</f>
        <v>185,0</v>
      </c>
      <c r="M57" s="13" t="str">
        <f>"127,0025"</f>
        <v>127,0025</v>
      </c>
      <c r="N57" s="11" t="s">
        <v>450</v>
      </c>
    </row>
    <row r="58" spans="1:14" x14ac:dyDescent="0.2">
      <c r="A58" s="11" t="s">
        <v>451</v>
      </c>
      <c r="B58" s="11" t="s">
        <v>1437</v>
      </c>
      <c r="C58" s="11" t="s">
        <v>452</v>
      </c>
      <c r="D58" s="11" t="s">
        <v>453</v>
      </c>
      <c r="E58" s="11" t="str">
        <f>"0,6719"</f>
        <v>0,6719</v>
      </c>
      <c r="F58" s="11" t="s">
        <v>65</v>
      </c>
      <c r="G58" s="11" t="s">
        <v>66</v>
      </c>
      <c r="H58" s="13" t="s">
        <v>382</v>
      </c>
      <c r="I58" s="12" t="s">
        <v>449</v>
      </c>
      <c r="J58" s="12" t="s">
        <v>449</v>
      </c>
      <c r="K58" s="12"/>
      <c r="L58" s="11" t="str">
        <f>"180,0"</f>
        <v>180,0</v>
      </c>
      <c r="M58" s="13" t="str">
        <f>"120,9420"</f>
        <v>120,9420</v>
      </c>
      <c r="N58" s="11" t="s">
        <v>338</v>
      </c>
    </row>
    <row r="59" spans="1:14" x14ac:dyDescent="0.2">
      <c r="A59" s="11" t="s">
        <v>454</v>
      </c>
      <c r="B59" s="11" t="s">
        <v>1436</v>
      </c>
      <c r="C59" s="11" t="s">
        <v>455</v>
      </c>
      <c r="D59" s="11" t="s">
        <v>453</v>
      </c>
      <c r="E59" s="11" t="str">
        <f>"0,6719"</f>
        <v>0,6719</v>
      </c>
      <c r="F59" s="11" t="s">
        <v>456</v>
      </c>
      <c r="G59" s="11" t="s">
        <v>457</v>
      </c>
      <c r="H59" s="12" t="s">
        <v>438</v>
      </c>
      <c r="I59" s="12" t="s">
        <v>438</v>
      </c>
      <c r="J59" s="12" t="s">
        <v>438</v>
      </c>
      <c r="K59" s="12"/>
      <c r="L59" s="11" t="str">
        <f>"0,0"</f>
        <v>0,0</v>
      </c>
      <c r="M59" s="13" t="str">
        <f>"0,0000"</f>
        <v>0,0000</v>
      </c>
      <c r="N59" s="11" t="s">
        <v>62</v>
      </c>
    </row>
    <row r="60" spans="1:14" x14ac:dyDescent="0.2">
      <c r="A60" s="11" t="s">
        <v>439</v>
      </c>
      <c r="B60" s="11" t="s">
        <v>1443</v>
      </c>
      <c r="C60" s="11" t="s">
        <v>458</v>
      </c>
      <c r="D60" s="11" t="s">
        <v>441</v>
      </c>
      <c r="E60" s="11" t="str">
        <f>"0,6865"</f>
        <v>0,6865</v>
      </c>
      <c r="F60" s="11" t="s">
        <v>65</v>
      </c>
      <c r="G60" s="11" t="s">
        <v>66</v>
      </c>
      <c r="H60" s="13" t="s">
        <v>388</v>
      </c>
      <c r="I60" s="13" t="s">
        <v>442</v>
      </c>
      <c r="J60" s="12"/>
      <c r="K60" s="12"/>
      <c r="L60" s="11" t="str">
        <f>"220,0"</f>
        <v>220,0</v>
      </c>
      <c r="M60" s="13" t="str">
        <f>"154,0506"</f>
        <v>154,0506</v>
      </c>
      <c r="N60" s="11" t="s">
        <v>62</v>
      </c>
    </row>
    <row r="61" spans="1:14" x14ac:dyDescent="0.2">
      <c r="A61" s="11" t="s">
        <v>459</v>
      </c>
      <c r="B61" s="11" t="s">
        <v>1443</v>
      </c>
      <c r="C61" s="11" t="s">
        <v>460</v>
      </c>
      <c r="D61" s="11" t="s">
        <v>461</v>
      </c>
      <c r="E61" s="11" t="str">
        <f>"0,6714"</f>
        <v>0,6714</v>
      </c>
      <c r="F61" s="11" t="s">
        <v>65</v>
      </c>
      <c r="G61" s="11" t="s">
        <v>66</v>
      </c>
      <c r="H61" s="13" t="s">
        <v>462</v>
      </c>
      <c r="I61" s="12" t="s">
        <v>442</v>
      </c>
      <c r="J61" s="12" t="s">
        <v>442</v>
      </c>
      <c r="K61" s="12"/>
      <c r="L61" s="11" t="str">
        <f>"212,5"</f>
        <v>212,5</v>
      </c>
      <c r="M61" s="13" t="str">
        <f>"144,0992"</f>
        <v>144,0992</v>
      </c>
      <c r="N61" s="11" t="s">
        <v>314</v>
      </c>
    </row>
    <row r="62" spans="1:14" x14ac:dyDescent="0.2">
      <c r="A62" s="11" t="s">
        <v>463</v>
      </c>
      <c r="B62" s="11" t="s">
        <v>1437</v>
      </c>
      <c r="C62" s="11" t="s">
        <v>464</v>
      </c>
      <c r="D62" s="11" t="s">
        <v>465</v>
      </c>
      <c r="E62" s="11" t="str">
        <f>"0,6764"</f>
        <v>0,6764</v>
      </c>
      <c r="F62" s="11" t="s">
        <v>14</v>
      </c>
      <c r="G62" s="11" t="s">
        <v>322</v>
      </c>
      <c r="H62" s="13" t="s">
        <v>356</v>
      </c>
      <c r="I62" s="13" t="s">
        <v>466</v>
      </c>
      <c r="J62" s="13" t="s">
        <v>467</v>
      </c>
      <c r="K62" s="12"/>
      <c r="L62" s="11" t="str">
        <f>"162,5"</f>
        <v>162,5</v>
      </c>
      <c r="M62" s="13" t="str">
        <f>"112,1133"</f>
        <v>112,1133</v>
      </c>
      <c r="N62" s="11" t="s">
        <v>34</v>
      </c>
    </row>
    <row r="63" spans="1:14" x14ac:dyDescent="0.2">
      <c r="A63" s="11" t="s">
        <v>468</v>
      </c>
      <c r="B63" s="11" t="s">
        <v>1444</v>
      </c>
      <c r="C63" s="11" t="s">
        <v>469</v>
      </c>
      <c r="D63" s="11" t="s">
        <v>38</v>
      </c>
      <c r="E63" s="11" t="str">
        <f>"0,6779"</f>
        <v>0,6779</v>
      </c>
      <c r="F63" s="11" t="s">
        <v>14</v>
      </c>
      <c r="G63" s="11" t="s">
        <v>470</v>
      </c>
      <c r="H63" s="13" t="s">
        <v>462</v>
      </c>
      <c r="I63" s="13" t="s">
        <v>471</v>
      </c>
      <c r="J63" s="12" t="s">
        <v>472</v>
      </c>
      <c r="K63" s="12"/>
      <c r="L63" s="11" t="str">
        <f>"227,5"</f>
        <v>227,5</v>
      </c>
      <c r="M63" s="13" t="str">
        <f>"206,6578"</f>
        <v>206,6578</v>
      </c>
      <c r="N63" s="11" t="s">
        <v>473</v>
      </c>
    </row>
    <row r="64" spans="1:14" x14ac:dyDescent="0.2">
      <c r="A64" s="14" t="s">
        <v>474</v>
      </c>
      <c r="B64" s="14" t="s">
        <v>1437</v>
      </c>
      <c r="C64" s="14" t="s">
        <v>475</v>
      </c>
      <c r="D64" s="14" t="s">
        <v>476</v>
      </c>
      <c r="E64" s="14" t="str">
        <f>"0,6899"</f>
        <v>0,6899</v>
      </c>
      <c r="F64" s="14" t="s">
        <v>14</v>
      </c>
      <c r="G64" s="14" t="s">
        <v>15</v>
      </c>
      <c r="H64" s="16" t="s">
        <v>304</v>
      </c>
      <c r="I64" s="15" t="s">
        <v>329</v>
      </c>
      <c r="J64" s="15"/>
      <c r="K64" s="15"/>
      <c r="L64" s="14" t="str">
        <f>"125,0"</f>
        <v>125,0</v>
      </c>
      <c r="M64" s="16" t="str">
        <f>"172,9062"</f>
        <v>172,9062</v>
      </c>
      <c r="N64" s="14" t="s">
        <v>34</v>
      </c>
    </row>
    <row r="66" spans="1:14" ht="15" x14ac:dyDescent="0.2">
      <c r="A66" s="32" t="s">
        <v>50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</row>
    <row r="67" spans="1:14" x14ac:dyDescent="0.2">
      <c r="A67" s="9" t="s">
        <v>477</v>
      </c>
      <c r="B67" s="9" t="s">
        <v>1445</v>
      </c>
      <c r="C67" s="9" t="s">
        <v>478</v>
      </c>
      <c r="D67" s="9" t="s">
        <v>479</v>
      </c>
      <c r="E67" s="9" t="str">
        <f>"0,6417"</f>
        <v>0,6417</v>
      </c>
      <c r="F67" s="9" t="s">
        <v>65</v>
      </c>
      <c r="G67" s="9" t="s">
        <v>66</v>
      </c>
      <c r="H67" s="25" t="s">
        <v>480</v>
      </c>
      <c r="I67" s="25" t="s">
        <v>481</v>
      </c>
      <c r="J67" s="10" t="s">
        <v>482</v>
      </c>
      <c r="K67" s="10" t="s">
        <v>483</v>
      </c>
      <c r="L67" s="9" t="str">
        <f>"317,5"</f>
        <v>317,5</v>
      </c>
      <c r="M67" s="10" t="str">
        <f>"203,7398"</f>
        <v>203,7398</v>
      </c>
      <c r="N67" s="9" t="s">
        <v>62</v>
      </c>
    </row>
    <row r="68" spans="1:14" x14ac:dyDescent="0.2">
      <c r="A68" s="11" t="s">
        <v>484</v>
      </c>
      <c r="B68" s="11" t="s">
        <v>1442</v>
      </c>
      <c r="C68" s="11" t="s">
        <v>485</v>
      </c>
      <c r="D68" s="11" t="s">
        <v>240</v>
      </c>
      <c r="E68" s="11" t="str">
        <f>"0,6471"</f>
        <v>0,6471</v>
      </c>
      <c r="F68" s="11" t="s">
        <v>65</v>
      </c>
      <c r="G68" s="11" t="s">
        <v>66</v>
      </c>
      <c r="H68" s="13" t="s">
        <v>422</v>
      </c>
      <c r="I68" s="12" t="s">
        <v>388</v>
      </c>
      <c r="J68" s="12"/>
      <c r="K68" s="12"/>
      <c r="L68" s="11" t="str">
        <f>"202,5"</f>
        <v>202,5</v>
      </c>
      <c r="M68" s="13" t="str">
        <f>"131,0377"</f>
        <v>131,0377</v>
      </c>
      <c r="N68" s="11" t="s">
        <v>169</v>
      </c>
    </row>
    <row r="69" spans="1:14" x14ac:dyDescent="0.2">
      <c r="A69" s="11" t="s">
        <v>486</v>
      </c>
      <c r="B69" s="11" t="s">
        <v>1436</v>
      </c>
      <c r="C69" s="11" t="s">
        <v>487</v>
      </c>
      <c r="D69" s="11" t="s">
        <v>488</v>
      </c>
      <c r="E69" s="11" t="str">
        <f>"0,6503"</f>
        <v>0,6503</v>
      </c>
      <c r="F69" s="11" t="s">
        <v>65</v>
      </c>
      <c r="G69" s="11" t="s">
        <v>66</v>
      </c>
      <c r="H69" s="12" t="s">
        <v>270</v>
      </c>
      <c r="I69" s="12" t="s">
        <v>270</v>
      </c>
      <c r="J69" s="12" t="s">
        <v>270</v>
      </c>
      <c r="K69" s="12"/>
      <c r="L69" s="11" t="str">
        <f>"0,0"</f>
        <v>0,0</v>
      </c>
      <c r="M69" s="13" t="str">
        <f>"0,0000"</f>
        <v>0,0000</v>
      </c>
      <c r="N69" s="11" t="s">
        <v>489</v>
      </c>
    </row>
    <row r="70" spans="1:14" x14ac:dyDescent="0.2">
      <c r="A70" s="14" t="s">
        <v>490</v>
      </c>
      <c r="B70" s="14" t="s">
        <v>1442</v>
      </c>
      <c r="C70" s="14" t="s">
        <v>491</v>
      </c>
      <c r="D70" s="14" t="s">
        <v>492</v>
      </c>
      <c r="E70" s="14" t="str">
        <f>"0,6475"</f>
        <v>0,6475</v>
      </c>
      <c r="F70" s="14" t="s">
        <v>65</v>
      </c>
      <c r="G70" s="14" t="s">
        <v>66</v>
      </c>
      <c r="H70" s="15" t="s">
        <v>290</v>
      </c>
      <c r="I70" s="16" t="s">
        <v>290</v>
      </c>
      <c r="J70" s="16" t="s">
        <v>243</v>
      </c>
      <c r="K70" s="15"/>
      <c r="L70" s="14" t="str">
        <f>"182,5"</f>
        <v>182,5</v>
      </c>
      <c r="M70" s="16" t="str">
        <f>"137,6666"</f>
        <v>137,6666</v>
      </c>
      <c r="N70" s="14" t="s">
        <v>169</v>
      </c>
    </row>
    <row r="72" spans="1:14" ht="15" x14ac:dyDescent="0.2">
      <c r="A72" s="32" t="s">
        <v>70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</row>
    <row r="73" spans="1:14" x14ac:dyDescent="0.2">
      <c r="A73" s="9" t="s">
        <v>493</v>
      </c>
      <c r="B73" s="9" t="s">
        <v>1444</v>
      </c>
      <c r="C73" s="9" t="s">
        <v>494</v>
      </c>
      <c r="D73" s="9" t="s">
        <v>164</v>
      </c>
      <c r="E73" s="9" t="str">
        <f>"0,6111"</f>
        <v>0,6111</v>
      </c>
      <c r="F73" s="9" t="s">
        <v>14</v>
      </c>
      <c r="G73" s="9" t="s">
        <v>495</v>
      </c>
      <c r="H73" s="10" t="s">
        <v>496</v>
      </c>
      <c r="I73" s="25" t="s">
        <v>497</v>
      </c>
      <c r="J73" s="25" t="s">
        <v>497</v>
      </c>
      <c r="K73" s="25"/>
      <c r="L73" s="9" t="str">
        <f>"300,0"</f>
        <v>300,0</v>
      </c>
      <c r="M73" s="10" t="str">
        <f>"183,3300"</f>
        <v>183,3300</v>
      </c>
      <c r="N73" s="9" t="s">
        <v>498</v>
      </c>
    </row>
    <row r="74" spans="1:14" x14ac:dyDescent="0.2">
      <c r="A74" s="11" t="s">
        <v>499</v>
      </c>
      <c r="B74" s="11" t="s">
        <v>1443</v>
      </c>
      <c r="C74" s="11" t="s">
        <v>500</v>
      </c>
      <c r="D74" s="11" t="s">
        <v>501</v>
      </c>
      <c r="E74" s="11" t="str">
        <f>"0,6272"</f>
        <v>0,6272</v>
      </c>
      <c r="F74" s="11" t="s">
        <v>14</v>
      </c>
      <c r="G74" s="11" t="s">
        <v>470</v>
      </c>
      <c r="H74" s="13" t="s">
        <v>502</v>
      </c>
      <c r="I74" s="12" t="s">
        <v>503</v>
      </c>
      <c r="J74" s="12" t="s">
        <v>503</v>
      </c>
      <c r="K74" s="12"/>
      <c r="L74" s="11" t="str">
        <f>"265,0"</f>
        <v>265,0</v>
      </c>
      <c r="M74" s="13" t="str">
        <f>"166,2080"</f>
        <v>166,2080</v>
      </c>
      <c r="N74" s="11" t="s">
        <v>473</v>
      </c>
    </row>
    <row r="75" spans="1:14" x14ac:dyDescent="0.2">
      <c r="A75" s="11" t="s">
        <v>504</v>
      </c>
      <c r="B75" s="11" t="s">
        <v>1443</v>
      </c>
      <c r="C75" s="11" t="s">
        <v>505</v>
      </c>
      <c r="D75" s="11" t="s">
        <v>506</v>
      </c>
      <c r="E75" s="11" t="str">
        <f>"0,6150"</f>
        <v>0,6150</v>
      </c>
      <c r="F75" s="11" t="s">
        <v>65</v>
      </c>
      <c r="G75" s="11" t="s">
        <v>66</v>
      </c>
      <c r="H75" s="13" t="s">
        <v>507</v>
      </c>
      <c r="I75" s="13" t="s">
        <v>394</v>
      </c>
      <c r="J75" s="12" t="s">
        <v>508</v>
      </c>
      <c r="K75" s="12"/>
      <c r="L75" s="11" t="str">
        <f>"240,0"</f>
        <v>240,0</v>
      </c>
      <c r="M75" s="13" t="str">
        <f>"147,6000"</f>
        <v>147,6000</v>
      </c>
      <c r="N75" s="11" t="s">
        <v>62</v>
      </c>
    </row>
    <row r="76" spans="1:14" x14ac:dyDescent="0.2">
      <c r="A76" s="11" t="s">
        <v>509</v>
      </c>
      <c r="B76" s="11" t="s">
        <v>1442</v>
      </c>
      <c r="C76" s="11" t="s">
        <v>510</v>
      </c>
      <c r="D76" s="11" t="s">
        <v>511</v>
      </c>
      <c r="E76" s="11" t="str">
        <f>"0,6200"</f>
        <v>0,6200</v>
      </c>
      <c r="F76" s="11" t="s">
        <v>14</v>
      </c>
      <c r="G76" s="11" t="s">
        <v>512</v>
      </c>
      <c r="H76" s="13" t="s">
        <v>270</v>
      </c>
      <c r="I76" s="13" t="s">
        <v>280</v>
      </c>
      <c r="J76" s="13" t="s">
        <v>388</v>
      </c>
      <c r="K76" s="12"/>
      <c r="L76" s="11" t="str">
        <f>"210,0"</f>
        <v>210,0</v>
      </c>
      <c r="M76" s="13" t="str">
        <f>"130,2000"</f>
        <v>130,2000</v>
      </c>
      <c r="N76" s="11" t="s">
        <v>513</v>
      </c>
    </row>
    <row r="77" spans="1:14" x14ac:dyDescent="0.2">
      <c r="A77" s="14" t="s">
        <v>165</v>
      </c>
      <c r="B77" s="14" t="s">
        <v>1443</v>
      </c>
      <c r="C77" s="14" t="s">
        <v>514</v>
      </c>
      <c r="D77" s="14" t="s">
        <v>167</v>
      </c>
      <c r="E77" s="14" t="str">
        <f>"0,6123"</f>
        <v>0,6123</v>
      </c>
      <c r="F77" s="14" t="s">
        <v>65</v>
      </c>
      <c r="G77" s="14" t="s">
        <v>66</v>
      </c>
      <c r="H77" s="16" t="s">
        <v>388</v>
      </c>
      <c r="I77" s="16" t="s">
        <v>442</v>
      </c>
      <c r="J77" s="16" t="s">
        <v>507</v>
      </c>
      <c r="K77" s="15"/>
      <c r="L77" s="14" t="str">
        <f>"230,0"</f>
        <v>230,0</v>
      </c>
      <c r="M77" s="16" t="str">
        <f>"150,4054"</f>
        <v>150,4054</v>
      </c>
      <c r="N77" s="14" t="s">
        <v>169</v>
      </c>
    </row>
    <row r="79" spans="1:14" ht="15" x14ac:dyDescent="0.2">
      <c r="A79" s="32" t="s">
        <v>81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x14ac:dyDescent="0.2">
      <c r="A80" s="9" t="s">
        <v>515</v>
      </c>
      <c r="B80" s="9" t="s">
        <v>1443</v>
      </c>
      <c r="C80" s="9" t="s">
        <v>516</v>
      </c>
      <c r="D80" s="9" t="s">
        <v>517</v>
      </c>
      <c r="E80" s="9" t="str">
        <f>"0,6062"</f>
        <v>0,6062</v>
      </c>
      <c r="F80" s="9" t="s">
        <v>65</v>
      </c>
      <c r="G80" s="9" t="s">
        <v>66</v>
      </c>
      <c r="H80" s="10" t="s">
        <v>442</v>
      </c>
      <c r="I80" s="10" t="s">
        <v>518</v>
      </c>
      <c r="J80" s="25" t="s">
        <v>519</v>
      </c>
      <c r="K80" s="25"/>
      <c r="L80" s="9" t="str">
        <f>"247,5"</f>
        <v>247,5</v>
      </c>
      <c r="M80" s="10" t="str">
        <f>"150,0345"</f>
        <v>150,0345</v>
      </c>
      <c r="N80" s="9" t="s">
        <v>520</v>
      </c>
    </row>
    <row r="81" spans="1:14" x14ac:dyDescent="0.2">
      <c r="A81" s="11" t="s">
        <v>521</v>
      </c>
      <c r="B81" s="11" t="s">
        <v>1443</v>
      </c>
      <c r="C81" s="11" t="s">
        <v>522</v>
      </c>
      <c r="D81" s="11" t="s">
        <v>523</v>
      </c>
      <c r="E81" s="11" t="str">
        <f>"0,5885"</f>
        <v>0,5885</v>
      </c>
      <c r="F81" s="11" t="s">
        <v>524</v>
      </c>
      <c r="G81" s="11" t="s">
        <v>525</v>
      </c>
      <c r="H81" s="13" t="s">
        <v>508</v>
      </c>
      <c r="I81" s="13" t="s">
        <v>395</v>
      </c>
      <c r="J81" s="13" t="s">
        <v>502</v>
      </c>
      <c r="K81" s="12"/>
      <c r="L81" s="11" t="str">
        <f>"265,0"</f>
        <v>265,0</v>
      </c>
      <c r="M81" s="13" t="str">
        <f>"155,9525"</f>
        <v>155,9525</v>
      </c>
      <c r="N81" s="11" t="s">
        <v>526</v>
      </c>
    </row>
    <row r="82" spans="1:14" x14ac:dyDescent="0.2">
      <c r="A82" s="11" t="s">
        <v>527</v>
      </c>
      <c r="B82" s="11" t="s">
        <v>1443</v>
      </c>
      <c r="C82" s="11" t="s">
        <v>528</v>
      </c>
      <c r="D82" s="11" t="s">
        <v>529</v>
      </c>
      <c r="E82" s="11" t="str">
        <f>"0,5984"</f>
        <v>0,5984</v>
      </c>
      <c r="F82" s="11" t="s">
        <v>14</v>
      </c>
      <c r="G82" s="11" t="s">
        <v>530</v>
      </c>
      <c r="H82" s="13" t="s">
        <v>518</v>
      </c>
      <c r="I82" s="13" t="s">
        <v>531</v>
      </c>
      <c r="J82" s="13" t="s">
        <v>395</v>
      </c>
      <c r="K82" s="12"/>
      <c r="L82" s="11" t="str">
        <f>"260,0"</f>
        <v>260,0</v>
      </c>
      <c r="M82" s="13" t="str">
        <f>"155,5840"</f>
        <v>155,5840</v>
      </c>
      <c r="N82" s="11" t="s">
        <v>62</v>
      </c>
    </row>
    <row r="83" spans="1:14" x14ac:dyDescent="0.2">
      <c r="A83" s="11" t="s">
        <v>532</v>
      </c>
      <c r="B83" s="11" t="s">
        <v>1442</v>
      </c>
      <c r="C83" s="11" t="s">
        <v>533</v>
      </c>
      <c r="D83" s="11" t="s">
        <v>534</v>
      </c>
      <c r="E83" s="11" t="str">
        <f>"0,5939"</f>
        <v>0,5939</v>
      </c>
      <c r="F83" s="11" t="s">
        <v>65</v>
      </c>
      <c r="G83" s="11" t="s">
        <v>66</v>
      </c>
      <c r="H83" s="13" t="s">
        <v>413</v>
      </c>
      <c r="I83" s="13" t="s">
        <v>535</v>
      </c>
      <c r="J83" s="13" t="s">
        <v>536</v>
      </c>
      <c r="K83" s="12"/>
      <c r="L83" s="11" t="str">
        <f>"235,0"</f>
        <v>235,0</v>
      </c>
      <c r="M83" s="13" t="str">
        <f>"139,5665"</f>
        <v>139,5665</v>
      </c>
      <c r="N83" s="11" t="s">
        <v>34</v>
      </c>
    </row>
    <row r="84" spans="1:14" x14ac:dyDescent="0.2">
      <c r="A84" s="11" t="s">
        <v>537</v>
      </c>
      <c r="B84" s="11" t="s">
        <v>1437</v>
      </c>
      <c r="C84" s="11" t="s">
        <v>538</v>
      </c>
      <c r="D84" s="11" t="s">
        <v>539</v>
      </c>
      <c r="E84" s="11" t="str">
        <f>"0,5954"</f>
        <v>0,5954</v>
      </c>
      <c r="F84" s="11" t="s">
        <v>65</v>
      </c>
      <c r="G84" s="11" t="s">
        <v>66</v>
      </c>
      <c r="H84" s="13" t="s">
        <v>279</v>
      </c>
      <c r="I84" s="13" t="s">
        <v>412</v>
      </c>
      <c r="J84" s="12" t="s">
        <v>413</v>
      </c>
      <c r="K84" s="12"/>
      <c r="L84" s="11" t="str">
        <f>"205,0"</f>
        <v>205,0</v>
      </c>
      <c r="M84" s="13" t="str">
        <f>"122,0570"</f>
        <v>122,0570</v>
      </c>
      <c r="N84" s="11" t="s">
        <v>34</v>
      </c>
    </row>
    <row r="85" spans="1:14" x14ac:dyDescent="0.2">
      <c r="A85" s="14" t="s">
        <v>540</v>
      </c>
      <c r="B85" s="14" t="s">
        <v>1444</v>
      </c>
      <c r="C85" s="14" t="s">
        <v>541</v>
      </c>
      <c r="D85" s="14" t="s">
        <v>542</v>
      </c>
      <c r="E85" s="14" t="str">
        <f>"0,5898"</f>
        <v>0,5898</v>
      </c>
      <c r="F85" s="14" t="s">
        <v>65</v>
      </c>
      <c r="G85" s="14" t="s">
        <v>66</v>
      </c>
      <c r="H85" s="16" t="s">
        <v>412</v>
      </c>
      <c r="I85" s="16" t="s">
        <v>394</v>
      </c>
      <c r="J85" s="15" t="s">
        <v>543</v>
      </c>
      <c r="K85" s="15"/>
      <c r="L85" s="14" t="str">
        <f>"240,0"</f>
        <v>240,0</v>
      </c>
      <c r="M85" s="16" t="str">
        <f>"173,4012"</f>
        <v>173,4012</v>
      </c>
      <c r="N85" s="14" t="s">
        <v>34</v>
      </c>
    </row>
    <row r="87" spans="1:14" ht="15" x14ac:dyDescent="0.2">
      <c r="A87" s="32" t="s">
        <v>84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 x14ac:dyDescent="0.2">
      <c r="A88" s="6" t="s">
        <v>544</v>
      </c>
      <c r="B88" s="6" t="s">
        <v>1441</v>
      </c>
      <c r="C88" s="6" t="s">
        <v>545</v>
      </c>
      <c r="D88" s="6" t="s">
        <v>546</v>
      </c>
      <c r="E88" s="6" t="str">
        <f>"0,5788"</f>
        <v>0,5788</v>
      </c>
      <c r="F88" s="6" t="s">
        <v>65</v>
      </c>
      <c r="G88" s="6" t="s">
        <v>66</v>
      </c>
      <c r="H88" s="8" t="s">
        <v>400</v>
      </c>
      <c r="I88" s="7" t="s">
        <v>382</v>
      </c>
      <c r="J88" s="8" t="s">
        <v>382</v>
      </c>
      <c r="K88" s="7"/>
      <c r="L88" s="6" t="str">
        <f>"180,0"</f>
        <v>180,0</v>
      </c>
      <c r="M88" s="8" t="str">
        <f>"107,4137"</f>
        <v>107,4137</v>
      </c>
      <c r="N88" s="6" t="s">
        <v>342</v>
      </c>
    </row>
    <row r="90" spans="1:14" ht="15" x14ac:dyDescent="0.2">
      <c r="F90" s="17" t="s">
        <v>96</v>
      </c>
    </row>
    <row r="91" spans="1:14" ht="15" x14ac:dyDescent="0.2">
      <c r="F91" s="17" t="s">
        <v>97</v>
      </c>
    </row>
    <row r="92" spans="1:14" ht="15" x14ac:dyDescent="0.2">
      <c r="F92" s="17" t="s">
        <v>98</v>
      </c>
    </row>
    <row r="93" spans="1:14" ht="15" x14ac:dyDescent="0.2">
      <c r="F93" s="17"/>
    </row>
    <row r="95" spans="1:14" ht="18" x14ac:dyDescent="0.25">
      <c r="A95" s="18" t="s">
        <v>99</v>
      </c>
      <c r="B95" s="18"/>
      <c r="C95" s="18"/>
      <c r="G95" s="3"/>
      <c r="L95" s="3"/>
      <c r="N95" s="3"/>
    </row>
    <row r="96" spans="1:14" ht="15" x14ac:dyDescent="0.2">
      <c r="A96" s="19" t="s">
        <v>547</v>
      </c>
      <c r="B96" s="19"/>
      <c r="C96" s="19"/>
      <c r="G96" s="3"/>
      <c r="L96" s="3"/>
      <c r="N96" s="3"/>
    </row>
    <row r="97" spans="1:14" ht="14.25" x14ac:dyDescent="0.2">
      <c r="A97" s="21"/>
      <c r="B97" s="21"/>
      <c r="C97" s="22" t="s">
        <v>107</v>
      </c>
      <c r="G97" s="3"/>
      <c r="L97" s="3"/>
      <c r="N97" s="3"/>
    </row>
    <row r="98" spans="1:14" ht="15" x14ac:dyDescent="0.2">
      <c r="A98" s="23" t="s">
        <v>101</v>
      </c>
      <c r="B98" s="23"/>
      <c r="C98" s="23" t="s">
        <v>102</v>
      </c>
      <c r="D98" s="23" t="s">
        <v>103</v>
      </c>
      <c r="E98" s="23" t="s">
        <v>104</v>
      </c>
      <c r="F98" s="23" t="s">
        <v>291</v>
      </c>
      <c r="G98" s="3"/>
      <c r="L98" s="3"/>
      <c r="N98" s="3"/>
    </row>
    <row r="99" spans="1:14" x14ac:dyDescent="0.2">
      <c r="A99" s="20" t="s">
        <v>548</v>
      </c>
      <c r="B99" s="20"/>
      <c r="C99" s="4" t="s">
        <v>107</v>
      </c>
      <c r="D99" s="4" t="s">
        <v>549</v>
      </c>
      <c r="E99" s="4" t="s">
        <v>550</v>
      </c>
      <c r="F99" s="24" t="s">
        <v>551</v>
      </c>
      <c r="G99" s="3"/>
      <c r="L99" s="3"/>
      <c r="N99" s="3"/>
    </row>
    <row r="100" spans="1:14" x14ac:dyDescent="0.2">
      <c r="G100" s="3"/>
      <c r="L100" s="3"/>
      <c r="N100" s="3"/>
    </row>
    <row r="101" spans="1:14" ht="15" x14ac:dyDescent="0.2">
      <c r="A101" s="19" t="s">
        <v>100</v>
      </c>
      <c r="B101" s="19"/>
      <c r="C101" s="19"/>
      <c r="G101" s="3"/>
      <c r="L101" s="3"/>
      <c r="N101" s="3"/>
    </row>
    <row r="102" spans="1:14" ht="14.25" x14ac:dyDescent="0.2">
      <c r="A102" s="21"/>
      <c r="B102" s="21"/>
      <c r="C102" s="22" t="s">
        <v>552</v>
      </c>
      <c r="G102" s="3"/>
      <c r="L102" s="3"/>
      <c r="N102" s="3"/>
    </row>
    <row r="103" spans="1:14" ht="15" x14ac:dyDescent="0.2">
      <c r="A103" s="23" t="s">
        <v>101</v>
      </c>
      <c r="B103" s="23"/>
      <c r="C103" s="23" t="s">
        <v>102</v>
      </c>
      <c r="D103" s="23" t="s">
        <v>103</v>
      </c>
      <c r="E103" s="23" t="s">
        <v>104</v>
      </c>
      <c r="F103" s="23" t="s">
        <v>291</v>
      </c>
      <c r="G103" s="3"/>
      <c r="L103" s="3"/>
      <c r="N103" s="3"/>
    </row>
    <row r="104" spans="1:14" x14ac:dyDescent="0.2">
      <c r="A104" s="20" t="s">
        <v>553</v>
      </c>
      <c r="B104" s="20"/>
      <c r="C104" s="4" t="s">
        <v>554</v>
      </c>
      <c r="D104" s="4" t="s">
        <v>106</v>
      </c>
      <c r="E104" s="4" t="s">
        <v>394</v>
      </c>
      <c r="F104" s="24" t="s">
        <v>555</v>
      </c>
      <c r="G104" s="3"/>
      <c r="L104" s="3"/>
      <c r="N104" s="3"/>
    </row>
    <row r="105" spans="1:14" x14ac:dyDescent="0.2">
      <c r="G105" s="3"/>
      <c r="L105" s="3"/>
      <c r="N105" s="3"/>
    </row>
    <row r="106" spans="1:14" ht="14.25" x14ac:dyDescent="0.2">
      <c r="A106" s="21"/>
      <c r="B106" s="21"/>
      <c r="C106" s="22" t="s">
        <v>107</v>
      </c>
      <c r="G106" s="3"/>
      <c r="L106" s="3"/>
      <c r="N106" s="3"/>
    </row>
    <row r="107" spans="1:14" ht="15" x14ac:dyDescent="0.2">
      <c r="A107" s="23" t="s">
        <v>101</v>
      </c>
      <c r="B107" s="23"/>
      <c r="C107" s="23" t="s">
        <v>102</v>
      </c>
      <c r="D107" s="23" t="s">
        <v>103</v>
      </c>
      <c r="E107" s="23" t="s">
        <v>104</v>
      </c>
      <c r="F107" s="23" t="s">
        <v>291</v>
      </c>
      <c r="G107" s="3"/>
      <c r="L107" s="3"/>
      <c r="N107" s="3"/>
    </row>
    <row r="108" spans="1:14" x14ac:dyDescent="0.2">
      <c r="A108" s="20" t="s">
        <v>556</v>
      </c>
      <c r="B108" s="20"/>
      <c r="C108" s="4" t="s">
        <v>107</v>
      </c>
      <c r="D108" s="4" t="s">
        <v>68</v>
      </c>
      <c r="E108" s="4" t="s">
        <v>482</v>
      </c>
      <c r="F108" s="24" t="s">
        <v>557</v>
      </c>
      <c r="G108" s="3"/>
      <c r="L108" s="3"/>
      <c r="N108" s="3"/>
    </row>
    <row r="109" spans="1:14" x14ac:dyDescent="0.2">
      <c r="A109" s="20" t="s">
        <v>558</v>
      </c>
      <c r="B109" s="20"/>
      <c r="C109" s="4" t="s">
        <v>107</v>
      </c>
      <c r="D109" s="4" t="s">
        <v>106</v>
      </c>
      <c r="E109" s="4" t="s">
        <v>405</v>
      </c>
      <c r="F109" s="24" t="s">
        <v>559</v>
      </c>
      <c r="G109" s="3"/>
      <c r="L109" s="3"/>
      <c r="N109" s="3"/>
    </row>
    <row r="110" spans="1:14" x14ac:dyDescent="0.2">
      <c r="A110" s="20" t="s">
        <v>560</v>
      </c>
      <c r="B110" s="20"/>
      <c r="C110" s="4" t="s">
        <v>107</v>
      </c>
      <c r="D110" s="4" t="s">
        <v>114</v>
      </c>
      <c r="E110" s="4" t="s">
        <v>496</v>
      </c>
      <c r="F110" s="24" t="s">
        <v>561</v>
      </c>
      <c r="G110" s="3"/>
      <c r="L110" s="3"/>
      <c r="N110" s="3"/>
    </row>
    <row r="111" spans="1:14" x14ac:dyDescent="0.2">
      <c r="G111" s="3"/>
      <c r="L111" s="3"/>
      <c r="N111" s="3"/>
    </row>
    <row r="112" spans="1:14" ht="14.25" x14ac:dyDescent="0.2">
      <c r="A112" s="21"/>
      <c r="B112" s="21"/>
      <c r="C112" s="22" t="s">
        <v>562</v>
      </c>
      <c r="G112" s="3"/>
      <c r="L112" s="3"/>
      <c r="N112" s="3"/>
    </row>
    <row r="113" spans="1:14" ht="15" x14ac:dyDescent="0.2">
      <c r="A113" s="23" t="s">
        <v>101</v>
      </c>
      <c r="B113" s="23"/>
      <c r="C113" s="23" t="s">
        <v>102</v>
      </c>
      <c r="D113" s="23" t="s">
        <v>103</v>
      </c>
      <c r="E113" s="23" t="s">
        <v>104</v>
      </c>
      <c r="F113" s="23" t="s">
        <v>291</v>
      </c>
      <c r="G113" s="3"/>
      <c r="L113" s="3"/>
      <c r="N113" s="3"/>
    </row>
    <row r="114" spans="1:14" x14ac:dyDescent="0.2">
      <c r="A114" s="20" t="s">
        <v>563</v>
      </c>
      <c r="B114" s="20"/>
      <c r="C114" s="4" t="s">
        <v>564</v>
      </c>
      <c r="D114" s="4" t="s">
        <v>41</v>
      </c>
      <c r="E114" s="4" t="s">
        <v>471</v>
      </c>
      <c r="F114" s="24" t="s">
        <v>565</v>
      </c>
      <c r="G114" s="3"/>
      <c r="L114" s="3"/>
      <c r="N114" s="3"/>
    </row>
    <row r="115" spans="1:14" x14ac:dyDescent="0.2">
      <c r="A115" s="20" t="s">
        <v>566</v>
      </c>
      <c r="B115" s="20"/>
      <c r="C115" s="4" t="s">
        <v>567</v>
      </c>
      <c r="D115" s="4" t="s">
        <v>106</v>
      </c>
      <c r="E115" s="4" t="s">
        <v>426</v>
      </c>
      <c r="F115" s="24" t="s">
        <v>568</v>
      </c>
      <c r="G115" s="3"/>
      <c r="L115" s="3"/>
      <c r="N115" s="3"/>
    </row>
    <row r="116" spans="1:14" x14ac:dyDescent="0.2">
      <c r="A116" s="20" t="s">
        <v>569</v>
      </c>
      <c r="B116" s="20"/>
      <c r="C116" s="4" t="s">
        <v>570</v>
      </c>
      <c r="D116" s="4" t="s">
        <v>106</v>
      </c>
      <c r="E116" s="4" t="s">
        <v>422</v>
      </c>
      <c r="F116" s="24" t="s">
        <v>571</v>
      </c>
      <c r="G116" s="3"/>
      <c r="L116" s="3"/>
      <c r="N116" s="3"/>
    </row>
    <row r="117" spans="1:14" x14ac:dyDescent="0.2">
      <c r="G117" s="3"/>
      <c r="L117" s="3"/>
      <c r="N117" s="3"/>
    </row>
    <row r="118" spans="1:14" x14ac:dyDescent="0.2">
      <c r="G118" s="3"/>
      <c r="L118" s="3"/>
      <c r="N118" s="3"/>
    </row>
    <row r="119" spans="1:14" x14ac:dyDescent="0.2">
      <c r="G119" s="3"/>
      <c r="L119" s="3"/>
      <c r="N119" s="3"/>
    </row>
    <row r="120" spans="1:14" x14ac:dyDescent="0.2">
      <c r="G120" s="3"/>
      <c r="L120" s="3"/>
      <c r="N120" s="3"/>
    </row>
    <row r="121" spans="1:14" x14ac:dyDescent="0.2">
      <c r="G121" s="3"/>
      <c r="L121" s="3"/>
      <c r="N121" s="3"/>
    </row>
    <row r="122" spans="1:14" x14ac:dyDescent="0.2">
      <c r="G122" s="3"/>
      <c r="L122" s="3"/>
      <c r="N122" s="3"/>
    </row>
    <row r="123" spans="1:14" x14ac:dyDescent="0.2">
      <c r="G123" s="3"/>
      <c r="L123" s="3"/>
      <c r="N123" s="3"/>
    </row>
    <row r="124" spans="1:14" x14ac:dyDescent="0.2">
      <c r="G124" s="3"/>
      <c r="L124" s="3"/>
      <c r="N124" s="3"/>
    </row>
    <row r="125" spans="1:14" x14ac:dyDescent="0.2">
      <c r="G125" s="3"/>
      <c r="L125" s="3"/>
      <c r="N125" s="3"/>
    </row>
    <row r="126" spans="1:14" x14ac:dyDescent="0.2">
      <c r="G126" s="3"/>
      <c r="L126" s="3"/>
      <c r="N126" s="3"/>
    </row>
    <row r="127" spans="1:14" x14ac:dyDescent="0.2">
      <c r="A127" s="3"/>
      <c r="B127" s="3"/>
      <c r="C127" s="3"/>
      <c r="D127" s="3"/>
      <c r="E127" s="3"/>
      <c r="F127" s="3"/>
      <c r="G127" s="3"/>
      <c r="L127" s="3"/>
      <c r="N127" s="3"/>
    </row>
    <row r="128" spans="1:14" x14ac:dyDescent="0.2">
      <c r="A128" s="3"/>
      <c r="B128" s="3"/>
      <c r="C128" s="3"/>
      <c r="D128" s="3"/>
      <c r="E128" s="3"/>
      <c r="F128" s="3"/>
      <c r="G128" s="3"/>
      <c r="L128" s="3"/>
      <c r="N128" s="3"/>
    </row>
    <row r="129" spans="1:14" x14ac:dyDescent="0.2">
      <c r="A129" s="3"/>
      <c r="B129" s="3"/>
      <c r="C129" s="3"/>
      <c r="D129" s="3"/>
      <c r="E129" s="3"/>
      <c r="F129" s="3"/>
      <c r="G129" s="3"/>
      <c r="L129" s="3"/>
      <c r="N129" s="3"/>
    </row>
    <row r="130" spans="1:14" x14ac:dyDescent="0.2">
      <c r="A130" s="3"/>
      <c r="B130" s="3"/>
      <c r="C130" s="3"/>
      <c r="D130" s="3"/>
      <c r="E130" s="3"/>
      <c r="F130" s="3"/>
      <c r="G130" s="3"/>
      <c r="L130" s="3"/>
      <c r="N130" s="3"/>
    </row>
    <row r="131" spans="1:14" x14ac:dyDescent="0.2">
      <c r="A131" s="3"/>
      <c r="B131" s="3"/>
      <c r="C131" s="3"/>
      <c r="D131" s="3"/>
      <c r="E131" s="3"/>
      <c r="F131" s="3"/>
      <c r="G131" s="3"/>
      <c r="L131" s="3"/>
      <c r="N131" s="3"/>
    </row>
    <row r="132" spans="1:14" x14ac:dyDescent="0.2">
      <c r="A132" s="3"/>
      <c r="B132" s="3"/>
      <c r="C132" s="3"/>
      <c r="D132" s="3"/>
      <c r="E132" s="3"/>
      <c r="F132" s="3"/>
      <c r="G132" s="3"/>
      <c r="L132" s="3"/>
      <c r="N132" s="3"/>
    </row>
    <row r="133" spans="1:14" x14ac:dyDescent="0.2">
      <c r="A133" s="3"/>
      <c r="B133" s="3"/>
      <c r="C133" s="3"/>
      <c r="D133" s="3"/>
      <c r="E133" s="3"/>
      <c r="F133" s="3"/>
      <c r="G133" s="3"/>
      <c r="L133" s="3"/>
      <c r="N133" s="3"/>
    </row>
    <row r="134" spans="1:14" x14ac:dyDescent="0.2">
      <c r="A134" s="3"/>
      <c r="B134" s="3"/>
      <c r="C134" s="3"/>
      <c r="D134" s="3"/>
      <c r="E134" s="3"/>
      <c r="F134" s="3"/>
      <c r="G134" s="3"/>
      <c r="L134" s="3"/>
      <c r="N134" s="3"/>
    </row>
    <row r="135" spans="1:14" x14ac:dyDescent="0.2">
      <c r="A135" s="3"/>
      <c r="B135" s="3"/>
      <c r="C135" s="3"/>
      <c r="D135" s="3"/>
      <c r="E135" s="3"/>
      <c r="F135" s="3"/>
      <c r="G135" s="3"/>
      <c r="L135" s="3"/>
      <c r="N135" s="3"/>
    </row>
    <row r="136" spans="1:14" x14ac:dyDescent="0.2">
      <c r="A136" s="3"/>
      <c r="B136" s="3"/>
      <c r="C136" s="3"/>
      <c r="D136" s="3"/>
      <c r="E136" s="3"/>
      <c r="F136" s="3"/>
      <c r="G136" s="3"/>
      <c r="L136" s="3"/>
      <c r="N136" s="3"/>
    </row>
    <row r="137" spans="1:14" x14ac:dyDescent="0.2">
      <c r="A137" s="3"/>
      <c r="B137" s="3"/>
      <c r="C137" s="3"/>
      <c r="D137" s="3"/>
      <c r="E137" s="3"/>
      <c r="F137" s="3"/>
      <c r="G137" s="3"/>
      <c r="L137" s="3"/>
      <c r="N137" s="3"/>
    </row>
    <row r="138" spans="1:14" x14ac:dyDescent="0.2">
      <c r="A138" s="3"/>
      <c r="B138" s="3"/>
      <c r="C138" s="3"/>
      <c r="D138" s="3"/>
      <c r="E138" s="3"/>
      <c r="F138" s="3"/>
      <c r="G138" s="3"/>
      <c r="L138" s="3"/>
      <c r="N138" s="3"/>
    </row>
    <row r="139" spans="1:14" x14ac:dyDescent="0.2">
      <c r="A139" s="3"/>
      <c r="B139" s="3"/>
      <c r="C139" s="3"/>
      <c r="D139" s="3"/>
      <c r="E139" s="3"/>
      <c r="F139" s="3"/>
      <c r="G139" s="3"/>
      <c r="L139" s="3"/>
      <c r="N139" s="3"/>
    </row>
    <row r="140" spans="1:14" x14ac:dyDescent="0.2">
      <c r="A140" s="3"/>
      <c r="B140" s="3"/>
      <c r="C140" s="3"/>
      <c r="D140" s="3"/>
      <c r="E140" s="3"/>
      <c r="F140" s="3"/>
      <c r="G140" s="3"/>
      <c r="L140" s="3"/>
      <c r="N140" s="3"/>
    </row>
    <row r="141" spans="1:14" x14ac:dyDescent="0.2">
      <c r="A141" s="3"/>
      <c r="B141" s="3"/>
      <c r="C141" s="3"/>
      <c r="D141" s="3"/>
      <c r="E141" s="3"/>
      <c r="F141" s="3"/>
      <c r="G141" s="3"/>
      <c r="L141" s="3"/>
      <c r="N141" s="3"/>
    </row>
    <row r="142" spans="1:14" x14ac:dyDescent="0.2">
      <c r="A142" s="3"/>
      <c r="B142" s="3"/>
      <c r="C142" s="3"/>
      <c r="D142" s="3"/>
      <c r="E142" s="3"/>
      <c r="F142" s="3"/>
      <c r="G142" s="3"/>
      <c r="L142" s="3"/>
      <c r="N142" s="3"/>
    </row>
    <row r="143" spans="1:14" x14ac:dyDescent="0.2">
      <c r="A143" s="3"/>
      <c r="B143" s="3"/>
      <c r="C143" s="3"/>
      <c r="D143" s="3"/>
      <c r="E143" s="3"/>
      <c r="F143" s="3"/>
      <c r="G143" s="3"/>
      <c r="L143" s="3"/>
      <c r="N143" s="3"/>
    </row>
    <row r="144" spans="1:14" x14ac:dyDescent="0.2">
      <c r="A144" s="3"/>
      <c r="B144" s="3"/>
      <c r="C144" s="3"/>
      <c r="D144" s="3"/>
      <c r="E144" s="3"/>
      <c r="F144" s="3"/>
      <c r="G144" s="3"/>
      <c r="L144" s="3"/>
      <c r="N144" s="3"/>
    </row>
    <row r="145" spans="1:14" x14ac:dyDescent="0.2">
      <c r="A145" s="3"/>
      <c r="B145" s="3"/>
      <c r="C145" s="3"/>
      <c r="D145" s="3"/>
      <c r="E145" s="3"/>
      <c r="F145" s="3"/>
      <c r="G145" s="3"/>
      <c r="L145" s="3"/>
      <c r="N145" s="3"/>
    </row>
    <row r="146" spans="1:14" x14ac:dyDescent="0.2">
      <c r="A146" s="3"/>
      <c r="B146" s="3"/>
      <c r="C146" s="3"/>
      <c r="D146" s="3"/>
      <c r="E146" s="3"/>
      <c r="F146" s="3"/>
      <c r="G146" s="3"/>
      <c r="L146" s="3"/>
      <c r="N146" s="3"/>
    </row>
    <row r="147" spans="1:14" x14ac:dyDescent="0.2">
      <c r="A147" s="3"/>
      <c r="B147" s="3"/>
      <c r="C147" s="3"/>
      <c r="D147" s="3"/>
      <c r="E147" s="3"/>
      <c r="F147" s="3"/>
      <c r="G147" s="3"/>
      <c r="L147" s="3"/>
      <c r="N147" s="3"/>
    </row>
    <row r="148" spans="1:14" x14ac:dyDescent="0.2">
      <c r="A148" s="3"/>
      <c r="B148" s="3"/>
      <c r="C148" s="3"/>
      <c r="D148" s="3"/>
      <c r="E148" s="3"/>
      <c r="F148" s="3"/>
      <c r="G148" s="3"/>
      <c r="L148" s="3"/>
      <c r="N148" s="3"/>
    </row>
    <row r="149" spans="1:14" x14ac:dyDescent="0.2">
      <c r="A149" s="3"/>
      <c r="B149" s="3"/>
      <c r="C149" s="3"/>
      <c r="D149" s="3"/>
      <c r="E149" s="3"/>
      <c r="F149" s="3"/>
      <c r="G149" s="3"/>
      <c r="L149" s="3"/>
      <c r="N149" s="3"/>
    </row>
    <row r="150" spans="1:14" x14ac:dyDescent="0.2">
      <c r="A150" s="3"/>
      <c r="B150" s="3"/>
      <c r="C150" s="3"/>
      <c r="D150" s="3"/>
      <c r="E150" s="3"/>
      <c r="F150" s="3"/>
      <c r="G150" s="3"/>
      <c r="L150" s="3"/>
      <c r="N150" s="3"/>
    </row>
    <row r="151" spans="1:14" x14ac:dyDescent="0.2">
      <c r="A151" s="3"/>
      <c r="B151" s="3"/>
      <c r="C151" s="3"/>
      <c r="D151" s="3"/>
      <c r="E151" s="3"/>
      <c r="F151" s="3"/>
      <c r="G151" s="3"/>
      <c r="L151" s="3"/>
      <c r="N151" s="3"/>
    </row>
    <row r="152" spans="1:14" x14ac:dyDescent="0.2">
      <c r="A152" s="3"/>
      <c r="B152" s="3"/>
      <c r="C152" s="3"/>
      <c r="D152" s="3"/>
      <c r="E152" s="3"/>
      <c r="F152" s="3"/>
      <c r="G152" s="3"/>
      <c r="L152" s="3"/>
      <c r="N152" s="3"/>
    </row>
    <row r="153" spans="1:14" x14ac:dyDescent="0.2">
      <c r="A153" s="3"/>
      <c r="B153" s="3"/>
      <c r="C153" s="3"/>
      <c r="D153" s="3"/>
      <c r="E153" s="3"/>
      <c r="F153" s="3"/>
      <c r="G153" s="3"/>
      <c r="L153" s="3"/>
      <c r="N153" s="3"/>
    </row>
    <row r="154" spans="1:14" x14ac:dyDescent="0.2">
      <c r="A154" s="3"/>
      <c r="B154" s="3"/>
      <c r="C154" s="3"/>
      <c r="D154" s="3"/>
      <c r="E154" s="3"/>
      <c r="F154" s="3"/>
      <c r="G154" s="3"/>
      <c r="L154" s="3"/>
      <c r="N154" s="3"/>
    </row>
    <row r="155" spans="1:14" x14ac:dyDescent="0.2">
      <c r="A155" s="3"/>
      <c r="B155" s="3"/>
      <c r="C155" s="3"/>
      <c r="D155" s="3"/>
      <c r="E155" s="3"/>
      <c r="F155" s="3"/>
      <c r="G155" s="3"/>
      <c r="L155" s="3"/>
      <c r="N155" s="3"/>
    </row>
    <row r="156" spans="1:14" x14ac:dyDescent="0.2">
      <c r="A156" s="3"/>
      <c r="B156" s="3"/>
      <c r="C156" s="3"/>
      <c r="D156" s="3"/>
      <c r="E156" s="3"/>
      <c r="F156" s="3"/>
      <c r="G156" s="3"/>
      <c r="L156" s="3"/>
      <c r="N156" s="3"/>
    </row>
    <row r="157" spans="1:14" x14ac:dyDescent="0.2">
      <c r="A157" s="3"/>
      <c r="B157" s="3"/>
      <c r="C157" s="3"/>
      <c r="D157" s="3"/>
      <c r="E157" s="3"/>
      <c r="F157" s="3"/>
      <c r="G157" s="3"/>
      <c r="L157" s="3"/>
      <c r="N157" s="3"/>
    </row>
    <row r="158" spans="1:14" x14ac:dyDescent="0.2">
      <c r="A158" s="3"/>
      <c r="B158" s="3"/>
      <c r="C158" s="3"/>
      <c r="D158" s="3"/>
      <c r="E158" s="3"/>
      <c r="F158" s="3"/>
      <c r="G158" s="3"/>
      <c r="L158" s="3"/>
      <c r="N158" s="3"/>
    </row>
    <row r="159" spans="1:14" x14ac:dyDescent="0.2">
      <c r="A159" s="3"/>
      <c r="B159" s="3"/>
      <c r="C159" s="3"/>
      <c r="D159" s="3"/>
      <c r="E159" s="3"/>
      <c r="F159" s="3"/>
      <c r="G159" s="3"/>
      <c r="L159" s="3"/>
      <c r="N159" s="3"/>
    </row>
    <row r="160" spans="1:14" x14ac:dyDescent="0.2">
      <c r="A160" s="3"/>
      <c r="B160" s="3"/>
      <c r="C160" s="3"/>
      <c r="D160" s="3"/>
      <c r="E160" s="3"/>
      <c r="F160" s="3"/>
      <c r="G160" s="3"/>
      <c r="L160" s="3"/>
      <c r="N160" s="3"/>
    </row>
    <row r="161" spans="1:14" x14ac:dyDescent="0.2">
      <c r="A161" s="3"/>
      <c r="B161" s="3"/>
      <c r="C161" s="3"/>
      <c r="D161" s="3"/>
      <c r="E161" s="3"/>
      <c r="F161" s="3"/>
      <c r="G161" s="3"/>
      <c r="L161" s="3"/>
      <c r="N161" s="3"/>
    </row>
    <row r="162" spans="1:14" x14ac:dyDescent="0.2">
      <c r="A162" s="3"/>
      <c r="B162" s="3"/>
      <c r="C162" s="3"/>
      <c r="D162" s="3"/>
      <c r="E162" s="3"/>
      <c r="F162" s="3"/>
      <c r="G162" s="3"/>
      <c r="L162" s="3"/>
      <c r="N162" s="3"/>
    </row>
    <row r="163" spans="1:14" x14ac:dyDescent="0.2">
      <c r="A163" s="3"/>
      <c r="B163" s="3"/>
      <c r="C163" s="3"/>
      <c r="D163" s="3"/>
      <c r="E163" s="3"/>
      <c r="F163" s="3"/>
      <c r="G163" s="3"/>
      <c r="L163" s="3"/>
      <c r="N163" s="3"/>
    </row>
    <row r="164" spans="1:14" x14ac:dyDescent="0.2">
      <c r="A164" s="3"/>
      <c r="B164" s="3"/>
      <c r="C164" s="3"/>
      <c r="D164" s="3"/>
      <c r="E164" s="3"/>
      <c r="F164" s="3"/>
      <c r="G164" s="3"/>
      <c r="L164" s="3"/>
      <c r="N164" s="3"/>
    </row>
    <row r="165" spans="1:14" x14ac:dyDescent="0.2">
      <c r="A165" s="3"/>
      <c r="B165" s="3"/>
      <c r="C165" s="3"/>
      <c r="D165" s="3"/>
      <c r="E165" s="3"/>
      <c r="F165" s="3"/>
      <c r="G165" s="3"/>
      <c r="L165" s="3"/>
      <c r="N165" s="3"/>
    </row>
    <row r="166" spans="1:14" x14ac:dyDescent="0.2">
      <c r="A166" s="3"/>
      <c r="B166" s="3"/>
      <c r="C166" s="3"/>
      <c r="D166" s="3"/>
      <c r="E166" s="3"/>
      <c r="F166" s="3"/>
      <c r="G166" s="3"/>
      <c r="L166" s="3"/>
      <c r="N166" s="3"/>
    </row>
    <row r="167" spans="1:14" x14ac:dyDescent="0.2">
      <c r="A167" s="3"/>
      <c r="B167" s="3"/>
      <c r="C167" s="3"/>
      <c r="D167" s="3"/>
      <c r="E167" s="3"/>
      <c r="F167" s="3"/>
      <c r="G167" s="3"/>
      <c r="L167" s="3"/>
      <c r="N167" s="3"/>
    </row>
    <row r="168" spans="1:14" x14ac:dyDescent="0.2">
      <c r="A168" s="3"/>
      <c r="B168" s="3"/>
      <c r="C168" s="3"/>
      <c r="D168" s="3"/>
      <c r="E168" s="3"/>
      <c r="F168" s="3"/>
      <c r="G168" s="3"/>
      <c r="L168" s="3"/>
      <c r="N168" s="3"/>
    </row>
    <row r="169" spans="1:14" x14ac:dyDescent="0.2">
      <c r="A169" s="3"/>
      <c r="B169" s="3"/>
      <c r="C169" s="3"/>
      <c r="D169" s="3"/>
      <c r="E169" s="3"/>
      <c r="F169" s="3"/>
      <c r="G169" s="3"/>
      <c r="L169" s="3"/>
      <c r="N169" s="3"/>
    </row>
    <row r="170" spans="1:14" x14ac:dyDescent="0.2">
      <c r="A170" s="3"/>
      <c r="B170" s="3"/>
      <c r="C170" s="3"/>
      <c r="D170" s="3"/>
      <c r="E170" s="3"/>
      <c r="F170" s="3"/>
      <c r="G170" s="3"/>
      <c r="L170" s="3"/>
      <c r="N170" s="3"/>
    </row>
    <row r="171" spans="1:14" x14ac:dyDescent="0.2">
      <c r="A171" s="3"/>
      <c r="B171" s="3"/>
      <c r="C171" s="3"/>
      <c r="D171" s="3"/>
      <c r="E171" s="3"/>
      <c r="F171" s="3"/>
      <c r="G171" s="3"/>
      <c r="L171" s="3"/>
      <c r="N171" s="3"/>
    </row>
    <row r="172" spans="1:14" x14ac:dyDescent="0.2">
      <c r="A172" s="3"/>
      <c r="B172" s="3"/>
      <c r="C172" s="3"/>
      <c r="D172" s="3"/>
      <c r="E172" s="3"/>
      <c r="F172" s="3"/>
      <c r="G172" s="3"/>
      <c r="L172" s="3"/>
      <c r="N172" s="3"/>
    </row>
    <row r="173" spans="1:14" x14ac:dyDescent="0.2">
      <c r="A173" s="3"/>
      <c r="B173" s="3"/>
      <c r="C173" s="3"/>
      <c r="D173" s="3"/>
      <c r="E173" s="3"/>
      <c r="F173" s="3"/>
      <c r="G173" s="3"/>
      <c r="L173" s="3"/>
      <c r="N173" s="3"/>
    </row>
    <row r="174" spans="1:14" x14ac:dyDescent="0.2">
      <c r="A174" s="3"/>
      <c r="B174" s="3"/>
      <c r="C174" s="3"/>
      <c r="D174" s="3"/>
      <c r="E174" s="3"/>
      <c r="F174" s="3"/>
      <c r="G174" s="3"/>
      <c r="L174" s="3"/>
      <c r="N174" s="3"/>
    </row>
    <row r="175" spans="1:14" x14ac:dyDescent="0.2">
      <c r="A175" s="3"/>
      <c r="B175" s="3"/>
      <c r="C175" s="3"/>
      <c r="D175" s="3"/>
      <c r="E175" s="3"/>
      <c r="F175" s="3"/>
      <c r="G175" s="3"/>
      <c r="L175" s="3"/>
      <c r="N175" s="3"/>
    </row>
    <row r="176" spans="1:14" x14ac:dyDescent="0.2">
      <c r="A176" s="3"/>
      <c r="B176" s="3"/>
      <c r="C176" s="3"/>
      <c r="D176" s="3"/>
      <c r="E176" s="3"/>
      <c r="F176" s="3"/>
      <c r="G176" s="3"/>
      <c r="L176" s="3"/>
      <c r="N176" s="3"/>
    </row>
    <row r="177" spans="1:14" x14ac:dyDescent="0.2">
      <c r="A177" s="3"/>
      <c r="B177" s="3"/>
      <c r="C177" s="3"/>
      <c r="D177" s="3"/>
      <c r="E177" s="3"/>
      <c r="F177" s="3"/>
      <c r="G177" s="3"/>
      <c r="L177" s="3"/>
      <c r="N177" s="3"/>
    </row>
    <row r="178" spans="1:14" x14ac:dyDescent="0.2">
      <c r="A178" s="3"/>
      <c r="B178" s="3"/>
      <c r="C178" s="3"/>
      <c r="D178" s="3"/>
      <c r="E178" s="3"/>
      <c r="F178" s="3"/>
      <c r="G178" s="3"/>
      <c r="L178" s="3"/>
      <c r="N178" s="3"/>
    </row>
    <row r="179" spans="1:14" x14ac:dyDescent="0.2">
      <c r="A179" s="3"/>
      <c r="B179" s="3"/>
      <c r="C179" s="3"/>
      <c r="D179" s="3"/>
      <c r="E179" s="3"/>
      <c r="F179" s="3"/>
      <c r="G179" s="3"/>
      <c r="L179" s="3"/>
      <c r="N179" s="3"/>
    </row>
    <row r="180" spans="1:14" x14ac:dyDescent="0.2">
      <c r="A180" s="3"/>
      <c r="B180" s="3"/>
      <c r="C180" s="3"/>
      <c r="D180" s="3"/>
      <c r="E180" s="3"/>
      <c r="F180" s="3"/>
      <c r="G180" s="3"/>
      <c r="L180" s="3"/>
      <c r="N180" s="3"/>
    </row>
    <row r="181" spans="1:14" x14ac:dyDescent="0.2">
      <c r="A181" s="3"/>
      <c r="B181" s="3"/>
      <c r="C181" s="3"/>
      <c r="D181" s="3"/>
      <c r="E181" s="3"/>
      <c r="F181" s="3"/>
      <c r="G181" s="3"/>
      <c r="L181" s="3"/>
      <c r="N181" s="3"/>
    </row>
    <row r="182" spans="1:14" x14ac:dyDescent="0.2">
      <c r="A182" s="3"/>
      <c r="B182" s="3"/>
      <c r="C182" s="3"/>
      <c r="D182" s="3"/>
      <c r="E182" s="3"/>
      <c r="F182" s="3"/>
      <c r="G182" s="3"/>
      <c r="L182" s="3"/>
      <c r="N182" s="3"/>
    </row>
    <row r="183" spans="1:14" x14ac:dyDescent="0.2">
      <c r="A183" s="3"/>
      <c r="B183" s="3"/>
      <c r="C183" s="3"/>
      <c r="D183" s="3"/>
      <c r="E183" s="3"/>
      <c r="F183" s="3"/>
      <c r="G183" s="3"/>
      <c r="L183" s="3"/>
      <c r="N183" s="3"/>
    </row>
    <row r="184" spans="1:14" x14ac:dyDescent="0.2">
      <c r="A184" s="3"/>
      <c r="B184" s="3"/>
      <c r="C184" s="3"/>
      <c r="D184" s="3"/>
      <c r="E184" s="3"/>
      <c r="F184" s="3"/>
      <c r="G184" s="3"/>
      <c r="L184" s="3"/>
      <c r="N184" s="3"/>
    </row>
    <row r="185" spans="1:14" x14ac:dyDescent="0.2">
      <c r="A185" s="3"/>
      <c r="B185" s="3"/>
      <c r="C185" s="3"/>
      <c r="D185" s="3"/>
      <c r="E185" s="3"/>
      <c r="F185" s="3"/>
      <c r="G185" s="3"/>
      <c r="L185" s="3"/>
      <c r="N185" s="3"/>
    </row>
    <row r="186" spans="1:14" x14ac:dyDescent="0.2">
      <c r="A186" s="3"/>
      <c r="B186" s="3"/>
      <c r="C186" s="3"/>
      <c r="D186" s="3"/>
      <c r="E186" s="3"/>
      <c r="F186" s="3"/>
      <c r="G186" s="3"/>
      <c r="L186" s="3"/>
      <c r="N186" s="3"/>
    </row>
    <row r="187" spans="1:14" x14ac:dyDescent="0.2">
      <c r="A187" s="3"/>
      <c r="B187" s="3"/>
      <c r="C187" s="3"/>
      <c r="D187" s="3"/>
      <c r="E187" s="3"/>
      <c r="F187" s="3"/>
      <c r="G187" s="3"/>
      <c r="L187" s="3"/>
      <c r="N187" s="3"/>
    </row>
    <row r="188" spans="1:14" x14ac:dyDescent="0.2">
      <c r="A188" s="3"/>
      <c r="B188" s="3"/>
      <c r="C188" s="3"/>
      <c r="D188" s="3"/>
      <c r="E188" s="3"/>
      <c r="F188" s="3"/>
      <c r="G188" s="3"/>
      <c r="L188" s="3"/>
      <c r="N188" s="3"/>
    </row>
    <row r="189" spans="1:14" x14ac:dyDescent="0.2">
      <c r="A189" s="3"/>
      <c r="B189" s="3"/>
      <c r="C189" s="3"/>
      <c r="D189" s="3"/>
      <c r="E189" s="3"/>
      <c r="F189" s="3"/>
      <c r="G189" s="3"/>
      <c r="L189" s="3"/>
      <c r="N189" s="3"/>
    </row>
    <row r="190" spans="1:14" x14ac:dyDescent="0.2">
      <c r="A190" s="3"/>
      <c r="B190" s="3"/>
      <c r="C190" s="3"/>
      <c r="D190" s="3"/>
      <c r="E190" s="3"/>
      <c r="F190" s="3"/>
      <c r="G190" s="3"/>
      <c r="L190" s="3"/>
      <c r="N190" s="3"/>
    </row>
    <row r="191" spans="1:14" x14ac:dyDescent="0.2">
      <c r="A191" s="3"/>
      <c r="B191" s="3"/>
      <c r="C191" s="3"/>
      <c r="D191" s="3"/>
      <c r="E191" s="3"/>
      <c r="F191" s="3"/>
      <c r="G191" s="3"/>
      <c r="L191" s="3"/>
      <c r="N191" s="3"/>
    </row>
    <row r="192" spans="1:14" x14ac:dyDescent="0.2">
      <c r="A192" s="3"/>
      <c r="B192" s="3"/>
      <c r="C192" s="3"/>
      <c r="D192" s="3"/>
      <c r="E192" s="3"/>
      <c r="F192" s="3"/>
      <c r="G192" s="3"/>
      <c r="L192" s="3"/>
      <c r="N192" s="3"/>
    </row>
    <row r="193" spans="1:14" x14ac:dyDescent="0.2">
      <c r="A193" s="3"/>
      <c r="B193" s="3"/>
      <c r="C193" s="3"/>
      <c r="D193" s="3"/>
      <c r="E193" s="3"/>
      <c r="F193" s="3"/>
      <c r="G193" s="3"/>
      <c r="L193" s="3"/>
      <c r="N193" s="3"/>
    </row>
    <row r="194" spans="1:14" x14ac:dyDescent="0.2">
      <c r="A194" s="3"/>
      <c r="B194" s="3"/>
      <c r="C194" s="3"/>
      <c r="D194" s="3"/>
      <c r="E194" s="3"/>
      <c r="F194" s="3"/>
      <c r="G194" s="3"/>
      <c r="L194" s="3"/>
      <c r="N194" s="3"/>
    </row>
    <row r="195" spans="1:14" x14ac:dyDescent="0.2">
      <c r="A195" s="3"/>
      <c r="B195" s="3"/>
      <c r="C195" s="3"/>
      <c r="D195" s="3"/>
      <c r="E195" s="3"/>
      <c r="F195" s="3"/>
      <c r="G195" s="3"/>
      <c r="L195" s="3"/>
      <c r="N195" s="3"/>
    </row>
    <row r="196" spans="1:14" x14ac:dyDescent="0.2">
      <c r="A196" s="3"/>
      <c r="B196" s="3"/>
      <c r="C196" s="3"/>
      <c r="D196" s="3"/>
      <c r="E196" s="3"/>
      <c r="F196" s="3"/>
      <c r="G196" s="3"/>
      <c r="L196" s="3"/>
      <c r="N196" s="3"/>
    </row>
    <row r="197" spans="1:14" x14ac:dyDescent="0.2">
      <c r="A197" s="3"/>
      <c r="B197" s="3"/>
      <c r="C197" s="3"/>
      <c r="D197" s="3"/>
      <c r="E197" s="3"/>
      <c r="F197" s="3"/>
      <c r="G197" s="3"/>
      <c r="L197" s="3"/>
      <c r="N197" s="3"/>
    </row>
    <row r="198" spans="1:14" x14ac:dyDescent="0.2">
      <c r="A198" s="3"/>
      <c r="B198" s="3"/>
      <c r="C198" s="3"/>
      <c r="D198" s="3"/>
      <c r="E198" s="3"/>
      <c r="F198" s="3"/>
      <c r="G198" s="3"/>
      <c r="L198" s="3"/>
      <c r="N198" s="3"/>
    </row>
    <row r="199" spans="1:14" x14ac:dyDescent="0.2">
      <c r="A199" s="3"/>
      <c r="B199" s="3"/>
      <c r="C199" s="3"/>
      <c r="D199" s="3"/>
      <c r="E199" s="3"/>
      <c r="F199" s="3"/>
      <c r="G199" s="3"/>
      <c r="L199" s="3"/>
      <c r="N199" s="3"/>
    </row>
    <row r="200" spans="1:14" x14ac:dyDescent="0.2">
      <c r="A200" s="3"/>
      <c r="B200" s="3"/>
      <c r="C200" s="3"/>
      <c r="D200" s="3"/>
      <c r="E200" s="3"/>
      <c r="F200" s="3"/>
      <c r="G200" s="3"/>
      <c r="L200" s="3"/>
      <c r="N200" s="3"/>
    </row>
    <row r="201" spans="1:14" x14ac:dyDescent="0.2">
      <c r="A201" s="3"/>
      <c r="B201" s="3"/>
      <c r="C201" s="3"/>
      <c r="D201" s="3"/>
      <c r="E201" s="3"/>
      <c r="F201" s="3"/>
      <c r="G201" s="3"/>
      <c r="L201" s="3"/>
      <c r="N201" s="3"/>
    </row>
    <row r="202" spans="1:14" x14ac:dyDescent="0.2">
      <c r="A202" s="3"/>
      <c r="B202" s="3"/>
      <c r="C202" s="3"/>
      <c r="D202" s="3"/>
      <c r="E202" s="3"/>
      <c r="F202" s="3"/>
      <c r="G202" s="3"/>
      <c r="L202" s="3"/>
      <c r="N202" s="3"/>
    </row>
    <row r="203" spans="1:14" x14ac:dyDescent="0.2">
      <c r="A203" s="3"/>
      <c r="B203" s="3"/>
      <c r="C203" s="3"/>
      <c r="D203" s="3"/>
      <c r="E203" s="3"/>
      <c r="F203" s="3"/>
      <c r="G203" s="3"/>
      <c r="L203" s="3"/>
      <c r="N203" s="3"/>
    </row>
    <row r="204" spans="1:14" x14ac:dyDescent="0.2">
      <c r="A204" s="3"/>
      <c r="B204" s="3"/>
      <c r="C204" s="3"/>
      <c r="D204" s="3"/>
      <c r="E204" s="3"/>
      <c r="F204" s="3"/>
      <c r="G204" s="3"/>
      <c r="L204" s="3"/>
      <c r="N204" s="3"/>
    </row>
    <row r="205" spans="1:14" x14ac:dyDescent="0.2">
      <c r="A205" s="3"/>
      <c r="B205" s="3"/>
      <c r="C205" s="3"/>
      <c r="D205" s="3"/>
      <c r="E205" s="3"/>
      <c r="F205" s="3"/>
      <c r="G205" s="3"/>
      <c r="L205" s="3"/>
      <c r="N205" s="3"/>
    </row>
    <row r="206" spans="1:14" x14ac:dyDescent="0.2">
      <c r="A206" s="3"/>
      <c r="B206" s="3"/>
      <c r="C206" s="3"/>
      <c r="D206" s="3"/>
      <c r="E206" s="3"/>
      <c r="F206" s="3"/>
      <c r="G206" s="3"/>
      <c r="L206" s="3"/>
      <c r="N206" s="3"/>
    </row>
    <row r="207" spans="1:14" x14ac:dyDescent="0.2">
      <c r="A207" s="3"/>
      <c r="B207" s="3"/>
      <c r="C207" s="3"/>
      <c r="D207" s="3"/>
      <c r="E207" s="3"/>
      <c r="F207" s="3"/>
      <c r="G207" s="3"/>
      <c r="L207" s="3"/>
      <c r="N207" s="3"/>
    </row>
    <row r="208" spans="1:14" x14ac:dyDescent="0.2">
      <c r="A208" s="3"/>
      <c r="B208" s="3"/>
      <c r="C208" s="3"/>
      <c r="D208" s="3"/>
      <c r="E208" s="3"/>
      <c r="F208" s="3"/>
      <c r="G208" s="3"/>
      <c r="L208" s="3"/>
      <c r="N208" s="3"/>
    </row>
    <row r="209" spans="1:14" x14ac:dyDescent="0.2">
      <c r="A209" s="3"/>
      <c r="B209" s="3"/>
      <c r="C209" s="3"/>
      <c r="D209" s="3"/>
      <c r="E209" s="3"/>
      <c r="F209" s="3"/>
      <c r="G209" s="3"/>
      <c r="L209" s="3"/>
      <c r="N209" s="3"/>
    </row>
    <row r="210" spans="1:14" x14ac:dyDescent="0.2">
      <c r="A210" s="3"/>
      <c r="B210" s="3"/>
      <c r="C210" s="3"/>
      <c r="D210" s="3"/>
      <c r="E210" s="3"/>
      <c r="F210" s="3"/>
      <c r="G210" s="3"/>
      <c r="L210" s="3"/>
      <c r="N210" s="3"/>
    </row>
    <row r="211" spans="1:14" x14ac:dyDescent="0.2">
      <c r="A211" s="3"/>
      <c r="B211" s="3"/>
      <c r="C211" s="3"/>
      <c r="D211" s="3"/>
      <c r="E211" s="3"/>
      <c r="F211" s="3"/>
      <c r="G211" s="3"/>
      <c r="L211" s="3"/>
      <c r="N211" s="3"/>
    </row>
    <row r="212" spans="1:14" x14ac:dyDescent="0.2">
      <c r="A212" s="3"/>
      <c r="B212" s="3"/>
      <c r="C212" s="3"/>
      <c r="D212" s="3"/>
      <c r="E212" s="3"/>
      <c r="F212" s="3"/>
      <c r="G212" s="3"/>
      <c r="L212" s="3"/>
      <c r="N212" s="3"/>
    </row>
    <row r="213" spans="1:14" x14ac:dyDescent="0.2">
      <c r="A213" s="3"/>
      <c r="B213" s="3"/>
      <c r="C213" s="3"/>
      <c r="D213" s="3"/>
      <c r="E213" s="3"/>
      <c r="F213" s="3"/>
      <c r="G213" s="3"/>
      <c r="L213" s="3"/>
      <c r="N213" s="3"/>
    </row>
    <row r="214" spans="1:14" x14ac:dyDescent="0.2">
      <c r="A214" s="3"/>
      <c r="B214" s="3"/>
      <c r="C214" s="3"/>
      <c r="D214" s="3"/>
      <c r="E214" s="3"/>
      <c r="F214" s="3"/>
      <c r="G214" s="3"/>
      <c r="L214" s="3"/>
      <c r="N214" s="3"/>
    </row>
    <row r="215" spans="1:14" x14ac:dyDescent="0.2">
      <c r="A215" s="3"/>
      <c r="B215" s="3"/>
      <c r="C215" s="3"/>
      <c r="D215" s="3"/>
      <c r="E215" s="3"/>
      <c r="F215" s="3"/>
      <c r="G215" s="3"/>
      <c r="L215" s="3"/>
      <c r="N215" s="3"/>
    </row>
    <row r="216" spans="1:14" x14ac:dyDescent="0.2">
      <c r="A216" s="3"/>
      <c r="B216" s="3"/>
      <c r="C216" s="3"/>
      <c r="D216" s="3"/>
      <c r="E216" s="3"/>
      <c r="F216" s="3"/>
      <c r="G216" s="3"/>
      <c r="L216" s="3"/>
      <c r="N216" s="3"/>
    </row>
    <row r="217" spans="1:14" x14ac:dyDescent="0.2">
      <c r="A217" s="3"/>
      <c r="B217" s="3"/>
      <c r="C217" s="3"/>
      <c r="D217" s="3"/>
      <c r="E217" s="3"/>
      <c r="F217" s="3"/>
      <c r="G217" s="3"/>
      <c r="L217" s="3"/>
      <c r="N217" s="3"/>
    </row>
    <row r="218" spans="1:14" x14ac:dyDescent="0.2">
      <c r="A218" s="3"/>
      <c r="B218" s="3"/>
      <c r="C218" s="3"/>
      <c r="D218" s="3"/>
      <c r="E218" s="3"/>
      <c r="F218" s="3"/>
      <c r="G218" s="3"/>
      <c r="L218" s="3"/>
      <c r="N218" s="3"/>
    </row>
    <row r="219" spans="1:14" x14ac:dyDescent="0.2">
      <c r="A219" s="3"/>
      <c r="B219" s="3"/>
      <c r="C219" s="3"/>
      <c r="D219" s="3"/>
      <c r="E219" s="3"/>
      <c r="F219" s="3"/>
      <c r="G219" s="3"/>
      <c r="L219" s="3"/>
      <c r="N219" s="3"/>
    </row>
    <row r="220" spans="1:14" x14ac:dyDescent="0.2">
      <c r="A220" s="3"/>
      <c r="B220" s="3"/>
      <c r="C220" s="3"/>
      <c r="D220" s="3"/>
      <c r="E220" s="3"/>
      <c r="F220" s="3"/>
      <c r="G220" s="3"/>
      <c r="L220" s="3"/>
      <c r="N220" s="3"/>
    </row>
    <row r="221" spans="1:14" x14ac:dyDescent="0.2">
      <c r="A221" s="3"/>
      <c r="B221" s="3"/>
      <c r="C221" s="3"/>
      <c r="D221" s="3"/>
      <c r="E221" s="3"/>
      <c r="F221" s="3"/>
      <c r="G221" s="3"/>
      <c r="L221" s="3"/>
      <c r="N221" s="3"/>
    </row>
    <row r="222" spans="1:14" x14ac:dyDescent="0.2">
      <c r="A222" s="3"/>
      <c r="B222" s="3"/>
      <c r="C222" s="3"/>
      <c r="D222" s="3"/>
      <c r="E222" s="3"/>
      <c r="F222" s="3"/>
      <c r="G222" s="3"/>
      <c r="L222" s="3"/>
      <c r="N222" s="3"/>
    </row>
    <row r="223" spans="1:14" x14ac:dyDescent="0.2">
      <c r="A223" s="3"/>
      <c r="B223" s="3"/>
      <c r="C223" s="3"/>
      <c r="D223" s="3"/>
      <c r="E223" s="3"/>
      <c r="F223" s="3"/>
      <c r="G223" s="3"/>
      <c r="L223" s="3"/>
      <c r="N223" s="3"/>
    </row>
    <row r="224" spans="1:14" x14ac:dyDescent="0.2">
      <c r="A224" s="3"/>
      <c r="B224" s="3"/>
      <c r="C224" s="3"/>
      <c r="D224" s="3"/>
      <c r="E224" s="3"/>
      <c r="F224" s="3"/>
      <c r="G224" s="3"/>
      <c r="L224" s="3"/>
      <c r="N224" s="3"/>
    </row>
    <row r="225" spans="1:14" x14ac:dyDescent="0.2">
      <c r="A225" s="3"/>
      <c r="B225" s="3"/>
      <c r="C225" s="3"/>
      <c r="D225" s="3"/>
      <c r="E225" s="3"/>
      <c r="F225" s="3"/>
      <c r="G225" s="3"/>
      <c r="L225" s="3"/>
      <c r="N225" s="3"/>
    </row>
    <row r="226" spans="1:14" x14ac:dyDescent="0.2">
      <c r="A226" s="3"/>
      <c r="B226" s="3"/>
      <c r="C226" s="3"/>
      <c r="D226" s="3"/>
      <c r="E226" s="3"/>
      <c r="F226" s="3"/>
      <c r="G226" s="3"/>
      <c r="L226" s="3"/>
      <c r="N226" s="3"/>
    </row>
    <row r="227" spans="1:14" x14ac:dyDescent="0.2">
      <c r="A227" s="3"/>
      <c r="B227" s="3"/>
      <c r="C227" s="3"/>
      <c r="D227" s="3"/>
      <c r="E227" s="3"/>
      <c r="F227" s="3"/>
      <c r="G227" s="3"/>
      <c r="L227" s="3"/>
      <c r="N227" s="3"/>
    </row>
    <row r="228" spans="1:14" x14ac:dyDescent="0.2">
      <c r="A228" s="3"/>
      <c r="B228" s="3"/>
      <c r="C228" s="3"/>
      <c r="D228" s="3"/>
      <c r="E228" s="3"/>
      <c r="F228" s="3"/>
      <c r="G228" s="3"/>
      <c r="L228" s="3"/>
      <c r="N228" s="3"/>
    </row>
    <row r="229" spans="1:14" x14ac:dyDescent="0.2">
      <c r="A229" s="3"/>
      <c r="B229" s="3"/>
      <c r="C229" s="3"/>
      <c r="D229" s="3"/>
      <c r="E229" s="3"/>
      <c r="F229" s="3"/>
      <c r="G229" s="3"/>
      <c r="L229" s="3"/>
      <c r="N229" s="3"/>
    </row>
    <row r="230" spans="1:14" x14ac:dyDescent="0.2">
      <c r="A230" s="3"/>
      <c r="B230" s="3"/>
      <c r="C230" s="3"/>
      <c r="D230" s="3"/>
      <c r="E230" s="3"/>
      <c r="F230" s="3"/>
      <c r="G230" s="3"/>
      <c r="L230" s="3"/>
      <c r="N230" s="3"/>
    </row>
    <row r="231" spans="1:14" x14ac:dyDescent="0.2">
      <c r="A231" s="3"/>
      <c r="B231" s="3"/>
      <c r="C231" s="3"/>
      <c r="D231" s="3"/>
      <c r="E231" s="3"/>
      <c r="F231" s="3"/>
      <c r="G231" s="3"/>
      <c r="L231" s="3"/>
      <c r="N231" s="3"/>
    </row>
    <row r="232" spans="1:14" x14ac:dyDescent="0.2">
      <c r="A232" s="3"/>
      <c r="B232" s="3"/>
      <c r="C232" s="3"/>
      <c r="D232" s="3"/>
      <c r="E232" s="3"/>
      <c r="F232" s="3"/>
      <c r="G232" s="3"/>
      <c r="L232" s="3"/>
      <c r="N232" s="3"/>
    </row>
    <row r="233" spans="1:14" x14ac:dyDescent="0.2">
      <c r="A233" s="3"/>
      <c r="B233" s="3"/>
      <c r="C233" s="3"/>
      <c r="D233" s="3"/>
      <c r="E233" s="3"/>
      <c r="F233" s="3"/>
      <c r="G233" s="3"/>
      <c r="L233" s="3"/>
      <c r="N233" s="3"/>
    </row>
    <row r="234" spans="1:14" x14ac:dyDescent="0.2">
      <c r="A234" s="3"/>
      <c r="B234" s="3"/>
      <c r="C234" s="3"/>
      <c r="D234" s="3"/>
      <c r="E234" s="3"/>
      <c r="F234" s="3"/>
      <c r="G234" s="3"/>
      <c r="L234" s="3"/>
      <c r="N234" s="3"/>
    </row>
    <row r="235" spans="1:14" x14ac:dyDescent="0.2">
      <c r="A235" s="3"/>
      <c r="B235" s="3"/>
      <c r="C235" s="3"/>
      <c r="D235" s="3"/>
      <c r="E235" s="3"/>
      <c r="F235" s="3"/>
      <c r="G235" s="3"/>
      <c r="L235" s="3"/>
      <c r="N235" s="3"/>
    </row>
    <row r="236" spans="1:14" x14ac:dyDescent="0.2">
      <c r="A236" s="3"/>
      <c r="B236" s="3"/>
      <c r="C236" s="3"/>
      <c r="D236" s="3"/>
      <c r="E236" s="3"/>
      <c r="F236" s="3"/>
      <c r="G236" s="3"/>
      <c r="L236" s="3"/>
      <c r="N236" s="3"/>
    </row>
    <row r="237" spans="1:14" x14ac:dyDescent="0.2">
      <c r="A237" s="3"/>
      <c r="B237" s="3"/>
      <c r="C237" s="3"/>
      <c r="D237" s="3"/>
      <c r="E237" s="3"/>
      <c r="F237" s="3"/>
      <c r="G237" s="3"/>
      <c r="L237" s="3"/>
      <c r="N237" s="3"/>
    </row>
    <row r="238" spans="1:14" x14ac:dyDescent="0.2">
      <c r="A238" s="3"/>
      <c r="B238" s="3"/>
      <c r="C238" s="3"/>
      <c r="D238" s="3"/>
      <c r="E238" s="3"/>
      <c r="F238" s="3"/>
      <c r="G238" s="3"/>
      <c r="L238" s="3"/>
      <c r="N238" s="3"/>
    </row>
    <row r="239" spans="1:14" x14ac:dyDescent="0.2">
      <c r="A239" s="3"/>
      <c r="B239" s="3"/>
      <c r="C239" s="3"/>
      <c r="D239" s="3"/>
      <c r="E239" s="3"/>
      <c r="F239" s="3"/>
      <c r="G239" s="3"/>
      <c r="L239" s="3"/>
      <c r="N239" s="3"/>
    </row>
    <row r="240" spans="1:14" x14ac:dyDescent="0.2">
      <c r="A240" s="3"/>
      <c r="B240" s="3"/>
      <c r="C240" s="3"/>
      <c r="D240" s="3"/>
      <c r="E240" s="3"/>
      <c r="F240" s="3"/>
      <c r="G240" s="3"/>
      <c r="L240" s="3"/>
      <c r="N240" s="3"/>
    </row>
    <row r="241" spans="1:14" x14ac:dyDescent="0.2">
      <c r="A241" s="3"/>
      <c r="B241" s="3"/>
      <c r="C241" s="3"/>
      <c r="D241" s="3"/>
      <c r="E241" s="3"/>
      <c r="F241" s="3"/>
      <c r="G241" s="3"/>
      <c r="L241" s="3"/>
      <c r="N241" s="3"/>
    </row>
    <row r="242" spans="1:14" x14ac:dyDescent="0.2">
      <c r="A242" s="3"/>
      <c r="B242" s="3"/>
      <c r="C242" s="3"/>
      <c r="D242" s="3"/>
      <c r="E242" s="3"/>
      <c r="F242" s="3"/>
      <c r="G242" s="3"/>
      <c r="L242" s="3"/>
      <c r="N242" s="3"/>
    </row>
    <row r="243" spans="1:14" x14ac:dyDescent="0.2">
      <c r="A243" s="3"/>
      <c r="B243" s="3"/>
      <c r="C243" s="3"/>
      <c r="D243" s="3"/>
      <c r="E243" s="3"/>
      <c r="F243" s="3"/>
      <c r="G243" s="3"/>
      <c r="L243" s="3"/>
      <c r="N243" s="3"/>
    </row>
    <row r="244" spans="1:14" x14ac:dyDescent="0.2">
      <c r="A244" s="3"/>
      <c r="B244" s="3"/>
      <c r="C244" s="3"/>
      <c r="D244" s="3"/>
      <c r="E244" s="3"/>
      <c r="F244" s="3"/>
      <c r="G244" s="3"/>
      <c r="L244" s="3"/>
      <c r="N244" s="3"/>
    </row>
    <row r="245" spans="1:14" x14ac:dyDescent="0.2">
      <c r="A245" s="3"/>
      <c r="B245" s="3"/>
      <c r="C245" s="3"/>
      <c r="D245" s="3"/>
      <c r="E245" s="3"/>
      <c r="F245" s="3"/>
      <c r="G245" s="3"/>
      <c r="L245" s="3"/>
      <c r="N245" s="3"/>
    </row>
    <row r="246" spans="1:14" x14ac:dyDescent="0.2">
      <c r="A246" s="3"/>
      <c r="B246" s="3"/>
      <c r="C246" s="3"/>
      <c r="D246" s="3"/>
      <c r="E246" s="3"/>
      <c r="F246" s="3"/>
      <c r="G246" s="3"/>
      <c r="L246" s="3"/>
      <c r="N246" s="3"/>
    </row>
    <row r="247" spans="1:14" x14ac:dyDescent="0.2">
      <c r="A247" s="3"/>
      <c r="B247" s="3"/>
      <c r="C247" s="3"/>
      <c r="D247" s="3"/>
      <c r="E247" s="3"/>
      <c r="F247" s="3"/>
      <c r="G247" s="3"/>
      <c r="L247" s="3"/>
      <c r="N247" s="3"/>
    </row>
    <row r="248" spans="1:14" x14ac:dyDescent="0.2">
      <c r="A248" s="3"/>
      <c r="B248" s="3"/>
      <c r="C248" s="3"/>
      <c r="D248" s="3"/>
      <c r="E248" s="3"/>
      <c r="F248" s="3"/>
      <c r="G248" s="3"/>
      <c r="L248" s="3"/>
      <c r="N248" s="3"/>
    </row>
    <row r="249" spans="1:14" x14ac:dyDescent="0.2">
      <c r="A249" s="3"/>
      <c r="B249" s="3"/>
      <c r="C249" s="3"/>
      <c r="D249" s="3"/>
      <c r="E249" s="3"/>
      <c r="F249" s="3"/>
      <c r="G249" s="3"/>
      <c r="L249" s="3"/>
      <c r="N249" s="3"/>
    </row>
    <row r="250" spans="1:14" x14ac:dyDescent="0.2">
      <c r="A250" s="3"/>
      <c r="B250" s="3"/>
      <c r="C250" s="3"/>
      <c r="D250" s="3"/>
      <c r="E250" s="3"/>
      <c r="F250" s="3"/>
      <c r="G250" s="3"/>
      <c r="L250" s="3"/>
      <c r="N250" s="3"/>
    </row>
    <row r="251" spans="1:14" x14ac:dyDescent="0.2">
      <c r="A251" s="3"/>
      <c r="B251" s="3"/>
      <c r="C251" s="3"/>
      <c r="D251" s="3"/>
      <c r="E251" s="3"/>
      <c r="F251" s="3"/>
      <c r="G251" s="3"/>
      <c r="L251" s="3"/>
      <c r="N251" s="3"/>
    </row>
    <row r="252" spans="1:14" x14ac:dyDescent="0.2">
      <c r="A252" s="3"/>
      <c r="B252" s="3"/>
      <c r="C252" s="3"/>
      <c r="D252" s="3"/>
      <c r="E252" s="3"/>
      <c r="F252" s="3"/>
      <c r="G252" s="3"/>
      <c r="L252" s="3"/>
      <c r="N252" s="3"/>
    </row>
    <row r="253" spans="1:14" x14ac:dyDescent="0.2">
      <c r="A253" s="3"/>
      <c r="B253" s="3"/>
      <c r="C253" s="3"/>
      <c r="D253" s="3"/>
      <c r="E253" s="3"/>
      <c r="F253" s="3"/>
      <c r="G253" s="3"/>
      <c r="L253" s="3"/>
      <c r="N253" s="3"/>
    </row>
    <row r="254" spans="1:14" x14ac:dyDescent="0.2">
      <c r="A254" s="3"/>
      <c r="B254" s="3"/>
      <c r="C254" s="3"/>
      <c r="D254" s="3"/>
      <c r="E254" s="3"/>
      <c r="F254" s="3"/>
      <c r="G254" s="3"/>
      <c r="L254" s="3"/>
      <c r="N254" s="3"/>
    </row>
    <row r="255" spans="1:14" x14ac:dyDescent="0.2">
      <c r="A255" s="3"/>
      <c r="B255" s="3"/>
      <c r="C255" s="3"/>
      <c r="D255" s="3"/>
      <c r="E255" s="3"/>
      <c r="F255" s="3"/>
      <c r="G255" s="3"/>
      <c r="L255" s="3"/>
      <c r="N255" s="3"/>
    </row>
    <row r="256" spans="1:14" x14ac:dyDescent="0.2">
      <c r="A256" s="3"/>
      <c r="B256" s="3"/>
      <c r="C256" s="3"/>
      <c r="D256" s="3"/>
      <c r="E256" s="3"/>
      <c r="F256" s="3"/>
      <c r="G256" s="3"/>
      <c r="L256" s="3"/>
      <c r="N256" s="3"/>
    </row>
    <row r="257" spans="1:14" x14ac:dyDescent="0.2">
      <c r="A257" s="3"/>
      <c r="B257" s="3"/>
      <c r="C257" s="3"/>
      <c r="D257" s="3"/>
      <c r="E257" s="3"/>
      <c r="F257" s="3"/>
      <c r="G257" s="3"/>
      <c r="L257" s="3"/>
      <c r="N257" s="3"/>
    </row>
    <row r="258" spans="1:14" x14ac:dyDescent="0.2">
      <c r="A258" s="3"/>
      <c r="B258" s="3"/>
      <c r="C258" s="3"/>
      <c r="D258" s="3"/>
      <c r="E258" s="3"/>
      <c r="F258" s="3"/>
      <c r="G258" s="3"/>
      <c r="L258" s="3"/>
      <c r="N258" s="3"/>
    </row>
    <row r="259" spans="1:14" x14ac:dyDescent="0.2">
      <c r="A259" s="3"/>
      <c r="B259" s="3"/>
      <c r="C259" s="3"/>
      <c r="D259" s="3"/>
      <c r="E259" s="3"/>
      <c r="F259" s="3"/>
      <c r="G259" s="3"/>
      <c r="L259" s="3"/>
      <c r="N259" s="3"/>
    </row>
    <row r="260" spans="1:14" x14ac:dyDescent="0.2">
      <c r="A260" s="3"/>
      <c r="B260" s="3"/>
      <c r="C260" s="3"/>
      <c r="D260" s="3"/>
      <c r="E260" s="3"/>
      <c r="F260" s="3"/>
      <c r="G260" s="3"/>
      <c r="L260" s="3"/>
      <c r="N260" s="3"/>
    </row>
    <row r="261" spans="1:14" x14ac:dyDescent="0.2">
      <c r="A261" s="3"/>
      <c r="B261" s="3"/>
      <c r="C261" s="3"/>
      <c r="D261" s="3"/>
      <c r="E261" s="3"/>
      <c r="F261" s="3"/>
      <c r="G261" s="3"/>
      <c r="L261" s="3"/>
      <c r="N261" s="3"/>
    </row>
    <row r="262" spans="1:14" x14ac:dyDescent="0.2">
      <c r="A262" s="3"/>
      <c r="B262" s="3"/>
      <c r="C262" s="3"/>
      <c r="D262" s="3"/>
      <c r="E262" s="3"/>
      <c r="F262" s="3"/>
      <c r="G262" s="3"/>
      <c r="L262" s="3"/>
      <c r="N262" s="3"/>
    </row>
    <row r="263" spans="1:14" x14ac:dyDescent="0.2">
      <c r="A263" s="3"/>
      <c r="B263" s="3"/>
      <c r="C263" s="3"/>
      <c r="D263" s="3"/>
      <c r="E263" s="3"/>
      <c r="F263" s="3"/>
      <c r="G263" s="3"/>
      <c r="L263" s="3"/>
      <c r="N263" s="3"/>
    </row>
    <row r="264" spans="1:14" x14ac:dyDescent="0.2">
      <c r="A264" s="3"/>
      <c r="B264" s="3"/>
      <c r="C264" s="3"/>
      <c r="D264" s="3"/>
      <c r="E264" s="3"/>
      <c r="F264" s="3"/>
      <c r="G264" s="3"/>
      <c r="L264" s="3"/>
      <c r="N264" s="3"/>
    </row>
    <row r="265" spans="1:14" x14ac:dyDescent="0.2">
      <c r="A265" s="3"/>
      <c r="B265" s="3"/>
      <c r="C265" s="3"/>
      <c r="D265" s="3"/>
      <c r="E265" s="3"/>
      <c r="F265" s="3"/>
      <c r="G265" s="3"/>
      <c r="L265" s="3"/>
      <c r="N265" s="3"/>
    </row>
    <row r="266" spans="1:14" x14ac:dyDescent="0.2">
      <c r="A266" s="3"/>
      <c r="B266" s="3"/>
      <c r="C266" s="3"/>
      <c r="D266" s="3"/>
      <c r="E266" s="3"/>
      <c r="F266" s="3"/>
      <c r="G266" s="3"/>
      <c r="L266" s="3"/>
      <c r="N266" s="3"/>
    </row>
    <row r="267" spans="1:14" x14ac:dyDescent="0.2">
      <c r="A267" s="3"/>
      <c r="B267" s="3"/>
      <c r="C267" s="3"/>
      <c r="D267" s="3"/>
      <c r="E267" s="3"/>
      <c r="F267" s="3"/>
      <c r="G267" s="3"/>
      <c r="L267" s="3"/>
      <c r="N267" s="3"/>
    </row>
    <row r="268" spans="1:14" x14ac:dyDescent="0.2">
      <c r="A268" s="3"/>
      <c r="B268" s="3"/>
      <c r="C268" s="3"/>
      <c r="D268" s="3"/>
      <c r="E268" s="3"/>
      <c r="F268" s="3"/>
      <c r="G268" s="3"/>
      <c r="L268" s="3"/>
      <c r="N268" s="3"/>
    </row>
    <row r="269" spans="1:14" x14ac:dyDescent="0.2">
      <c r="A269" s="3"/>
      <c r="B269" s="3"/>
      <c r="C269" s="3"/>
      <c r="D269" s="3"/>
      <c r="E269" s="3"/>
      <c r="F269" s="3"/>
      <c r="G269" s="3"/>
      <c r="L269" s="3"/>
      <c r="N269" s="3"/>
    </row>
    <row r="270" spans="1:14" x14ac:dyDescent="0.2">
      <c r="A270" s="3"/>
      <c r="B270" s="3"/>
      <c r="C270" s="3"/>
      <c r="D270" s="3"/>
      <c r="E270" s="3"/>
      <c r="F270" s="3"/>
      <c r="G270" s="3"/>
      <c r="L270" s="3"/>
      <c r="N270" s="3"/>
    </row>
    <row r="271" spans="1:14" x14ac:dyDescent="0.2">
      <c r="A271" s="3"/>
      <c r="B271" s="3"/>
      <c r="C271" s="3"/>
      <c r="D271" s="3"/>
      <c r="E271" s="3"/>
      <c r="F271" s="3"/>
      <c r="G271" s="3"/>
      <c r="L271" s="3"/>
      <c r="N271" s="3"/>
    </row>
    <row r="272" spans="1:14" x14ac:dyDescent="0.2">
      <c r="A272" s="3"/>
      <c r="B272" s="3"/>
      <c r="C272" s="3"/>
      <c r="D272" s="3"/>
      <c r="E272" s="3"/>
      <c r="F272" s="3"/>
      <c r="G272" s="3"/>
      <c r="L272" s="3"/>
      <c r="N272" s="3"/>
    </row>
    <row r="273" spans="1:14" x14ac:dyDescent="0.2">
      <c r="A273" s="3"/>
      <c r="B273" s="3"/>
      <c r="C273" s="3"/>
      <c r="D273" s="3"/>
      <c r="E273" s="3"/>
      <c r="F273" s="3"/>
      <c r="G273" s="3"/>
      <c r="L273" s="3"/>
      <c r="N273" s="3"/>
    </row>
    <row r="274" spans="1:14" x14ac:dyDescent="0.2">
      <c r="A274" s="3"/>
      <c r="B274" s="3"/>
      <c r="C274" s="3"/>
      <c r="D274" s="3"/>
      <c r="E274" s="3"/>
      <c r="F274" s="3"/>
      <c r="G274" s="3"/>
      <c r="L274" s="3"/>
      <c r="N274" s="3"/>
    </row>
    <row r="275" spans="1:14" x14ac:dyDescent="0.2">
      <c r="A275" s="3"/>
      <c r="B275" s="3"/>
      <c r="C275" s="3"/>
      <c r="D275" s="3"/>
      <c r="E275" s="3"/>
      <c r="F275" s="3"/>
      <c r="G275" s="3"/>
      <c r="L275" s="3"/>
      <c r="N275" s="3"/>
    </row>
    <row r="276" spans="1:14" x14ac:dyDescent="0.2">
      <c r="A276" s="3"/>
      <c r="B276" s="3"/>
      <c r="C276" s="3"/>
      <c r="D276" s="3"/>
      <c r="E276" s="3"/>
      <c r="F276" s="3"/>
      <c r="G276" s="3"/>
      <c r="L276" s="3"/>
      <c r="N276" s="3"/>
    </row>
    <row r="277" spans="1:14" x14ac:dyDescent="0.2">
      <c r="A277" s="3"/>
      <c r="B277" s="3"/>
      <c r="C277" s="3"/>
      <c r="D277" s="3"/>
      <c r="E277" s="3"/>
      <c r="F277" s="3"/>
      <c r="G277" s="3"/>
      <c r="L277" s="3"/>
      <c r="N277" s="3"/>
    </row>
    <row r="278" spans="1:14" x14ac:dyDescent="0.2">
      <c r="A278" s="3"/>
      <c r="B278" s="3"/>
      <c r="C278" s="3"/>
      <c r="D278" s="3"/>
      <c r="E278" s="3"/>
      <c r="F278" s="3"/>
      <c r="G278" s="3"/>
      <c r="L278" s="3"/>
      <c r="N278" s="3"/>
    </row>
    <row r="279" spans="1:14" x14ac:dyDescent="0.2">
      <c r="A279" s="3"/>
      <c r="B279" s="3"/>
      <c r="C279" s="3"/>
      <c r="D279" s="3"/>
      <c r="E279" s="3"/>
      <c r="F279" s="3"/>
      <c r="G279" s="3"/>
      <c r="L279" s="3"/>
      <c r="N279" s="3"/>
    </row>
    <row r="280" spans="1:14" x14ac:dyDescent="0.2">
      <c r="A280" s="3"/>
      <c r="B280" s="3"/>
      <c r="C280" s="3"/>
      <c r="D280" s="3"/>
      <c r="E280" s="3"/>
      <c r="F280" s="3"/>
      <c r="G280" s="3"/>
      <c r="L280" s="3"/>
      <c r="N280" s="3"/>
    </row>
    <row r="281" spans="1:14" x14ac:dyDescent="0.2">
      <c r="A281" s="3"/>
      <c r="B281" s="3"/>
      <c r="C281" s="3"/>
      <c r="D281" s="3"/>
      <c r="E281" s="3"/>
      <c r="F281" s="3"/>
      <c r="G281" s="3"/>
      <c r="L281" s="3"/>
      <c r="N281" s="3"/>
    </row>
    <row r="282" spans="1:14" x14ac:dyDescent="0.2">
      <c r="A282" s="3"/>
      <c r="B282" s="3"/>
      <c r="C282" s="3"/>
      <c r="D282" s="3"/>
      <c r="E282" s="3"/>
      <c r="F282" s="3"/>
      <c r="G282" s="3"/>
      <c r="L282" s="3"/>
      <c r="N282" s="3"/>
    </row>
    <row r="283" spans="1:14" x14ac:dyDescent="0.2">
      <c r="A283" s="3"/>
      <c r="B283" s="3"/>
      <c r="C283" s="3"/>
      <c r="D283" s="3"/>
      <c r="E283" s="3"/>
      <c r="F283" s="3"/>
      <c r="G283" s="3"/>
      <c r="L283" s="3"/>
      <c r="N283" s="3"/>
    </row>
    <row r="284" spans="1:14" x14ac:dyDescent="0.2">
      <c r="A284" s="3"/>
      <c r="B284" s="3"/>
      <c r="C284" s="3"/>
      <c r="D284" s="3"/>
      <c r="E284" s="3"/>
      <c r="F284" s="3"/>
      <c r="G284" s="3"/>
      <c r="L284" s="3"/>
      <c r="N284" s="3"/>
    </row>
    <row r="285" spans="1:14" x14ac:dyDescent="0.2">
      <c r="A285" s="3"/>
      <c r="B285" s="3"/>
      <c r="C285" s="3"/>
      <c r="D285" s="3"/>
      <c r="E285" s="3"/>
      <c r="F285" s="3"/>
      <c r="G285" s="3"/>
      <c r="L285" s="3"/>
      <c r="N285" s="3"/>
    </row>
    <row r="286" spans="1:14" x14ac:dyDescent="0.2">
      <c r="A286" s="3"/>
      <c r="B286" s="3"/>
      <c r="C286" s="3"/>
      <c r="D286" s="3"/>
      <c r="E286" s="3"/>
      <c r="F286" s="3"/>
      <c r="G286" s="3"/>
      <c r="L286" s="3"/>
      <c r="N286" s="3"/>
    </row>
    <row r="287" spans="1:14" x14ac:dyDescent="0.2">
      <c r="A287" s="3"/>
      <c r="B287" s="3"/>
      <c r="C287" s="3"/>
      <c r="D287" s="3"/>
      <c r="E287" s="3"/>
      <c r="F287" s="3"/>
      <c r="G287" s="3"/>
      <c r="L287" s="3"/>
      <c r="N287" s="3"/>
    </row>
    <row r="288" spans="1:14" x14ac:dyDescent="0.2">
      <c r="A288" s="3"/>
      <c r="B288" s="3"/>
      <c r="C288" s="3"/>
      <c r="D288" s="3"/>
      <c r="E288" s="3"/>
      <c r="F288" s="3"/>
      <c r="G288" s="3"/>
      <c r="L288" s="3"/>
      <c r="N288" s="3"/>
    </row>
    <row r="289" spans="1:14" x14ac:dyDescent="0.2">
      <c r="A289" s="3"/>
      <c r="B289" s="3"/>
      <c r="C289" s="3"/>
      <c r="D289" s="3"/>
      <c r="E289" s="3"/>
      <c r="F289" s="3"/>
      <c r="G289" s="3"/>
      <c r="L289" s="3"/>
      <c r="N289" s="3"/>
    </row>
    <row r="290" spans="1:14" x14ac:dyDescent="0.2">
      <c r="A290" s="3"/>
      <c r="B290" s="3"/>
      <c r="C290" s="3"/>
      <c r="D290" s="3"/>
      <c r="E290" s="3"/>
      <c r="F290" s="3"/>
      <c r="G290" s="3"/>
      <c r="L290" s="3"/>
      <c r="N290" s="3"/>
    </row>
    <row r="291" spans="1:14" x14ac:dyDescent="0.2">
      <c r="A291" s="3"/>
      <c r="B291" s="3"/>
      <c r="C291" s="3"/>
      <c r="D291" s="3"/>
      <c r="E291" s="3"/>
      <c r="F291" s="3"/>
      <c r="G291" s="3"/>
      <c r="L291" s="3"/>
      <c r="N291" s="3"/>
    </row>
    <row r="292" spans="1:14" x14ac:dyDescent="0.2">
      <c r="A292" s="3"/>
      <c r="B292" s="3"/>
      <c r="C292" s="3"/>
      <c r="D292" s="3"/>
      <c r="E292" s="3"/>
      <c r="F292" s="3"/>
      <c r="G292" s="3"/>
      <c r="L292" s="3"/>
      <c r="N292" s="3"/>
    </row>
    <row r="293" spans="1:14" x14ac:dyDescent="0.2">
      <c r="A293" s="3"/>
      <c r="B293" s="3"/>
      <c r="C293" s="3"/>
      <c r="D293" s="3"/>
      <c r="E293" s="3"/>
      <c r="F293" s="3"/>
      <c r="G293" s="3"/>
      <c r="L293" s="3"/>
      <c r="N293" s="3"/>
    </row>
    <row r="294" spans="1:14" x14ac:dyDescent="0.2">
      <c r="A294" s="3"/>
      <c r="B294" s="3"/>
      <c r="C294" s="3"/>
      <c r="D294" s="3"/>
      <c r="E294" s="3"/>
      <c r="F294" s="3"/>
      <c r="G294" s="3"/>
      <c r="L294" s="3"/>
      <c r="N294" s="3"/>
    </row>
    <row r="295" spans="1:14" x14ac:dyDescent="0.2">
      <c r="A295" s="3"/>
      <c r="B295" s="3"/>
      <c r="C295" s="3"/>
      <c r="D295" s="3"/>
      <c r="E295" s="3"/>
      <c r="F295" s="3"/>
      <c r="G295" s="3"/>
      <c r="L295" s="3"/>
      <c r="N295" s="3"/>
    </row>
    <row r="296" spans="1:14" x14ac:dyDescent="0.2">
      <c r="A296" s="3"/>
      <c r="B296" s="3"/>
      <c r="C296" s="3"/>
      <c r="D296" s="3"/>
      <c r="E296" s="3"/>
      <c r="F296" s="3"/>
      <c r="G296" s="3"/>
      <c r="L296" s="3"/>
      <c r="N296" s="3"/>
    </row>
    <row r="297" spans="1:14" x14ac:dyDescent="0.2">
      <c r="A297" s="3"/>
      <c r="B297" s="3"/>
      <c r="C297" s="3"/>
      <c r="D297" s="3"/>
      <c r="E297" s="3"/>
      <c r="F297" s="3"/>
      <c r="G297" s="3"/>
      <c r="L297" s="3"/>
      <c r="N297" s="3"/>
    </row>
    <row r="298" spans="1:14" x14ac:dyDescent="0.2">
      <c r="A298" s="3"/>
      <c r="B298" s="3"/>
      <c r="C298" s="3"/>
      <c r="D298" s="3"/>
      <c r="E298" s="3"/>
      <c r="F298" s="3"/>
      <c r="G298" s="3"/>
      <c r="L298" s="3"/>
      <c r="N298" s="3"/>
    </row>
    <row r="299" spans="1:14" x14ac:dyDescent="0.2">
      <c r="A299" s="3"/>
      <c r="B299" s="3"/>
      <c r="C299" s="3"/>
      <c r="D299" s="3"/>
      <c r="E299" s="3"/>
      <c r="F299" s="3"/>
      <c r="G299" s="3"/>
      <c r="L299" s="3"/>
      <c r="N299" s="3"/>
    </row>
    <row r="300" spans="1:14" x14ac:dyDescent="0.2">
      <c r="A300" s="3"/>
      <c r="B300" s="3"/>
      <c r="C300" s="3"/>
      <c r="D300" s="3"/>
      <c r="E300" s="3"/>
      <c r="F300" s="3"/>
      <c r="G300" s="3"/>
      <c r="L300" s="3"/>
      <c r="N300" s="3"/>
    </row>
    <row r="301" spans="1:14" x14ac:dyDescent="0.2">
      <c r="A301" s="3"/>
      <c r="B301" s="3"/>
      <c r="C301" s="3"/>
      <c r="D301" s="3"/>
      <c r="E301" s="3"/>
      <c r="F301" s="3"/>
      <c r="G301" s="3"/>
      <c r="L301" s="3"/>
      <c r="N301" s="3"/>
    </row>
    <row r="302" spans="1:14" x14ac:dyDescent="0.2">
      <c r="A302" s="3"/>
      <c r="B302" s="3"/>
      <c r="C302" s="3"/>
      <c r="D302" s="3"/>
      <c r="E302" s="3"/>
      <c r="F302" s="3"/>
      <c r="G302" s="3"/>
      <c r="L302" s="3"/>
      <c r="N302" s="3"/>
    </row>
    <row r="303" spans="1:14" x14ac:dyDescent="0.2">
      <c r="A303" s="3"/>
      <c r="B303" s="3"/>
      <c r="C303" s="3"/>
      <c r="D303" s="3"/>
      <c r="E303" s="3"/>
      <c r="F303" s="3"/>
      <c r="G303" s="3"/>
      <c r="L303" s="3"/>
      <c r="N303" s="3"/>
    </row>
    <row r="304" spans="1:14" x14ac:dyDescent="0.2">
      <c r="A304" s="3"/>
      <c r="B304" s="3"/>
      <c r="C304" s="3"/>
      <c r="D304" s="3"/>
      <c r="E304" s="3"/>
      <c r="F304" s="3"/>
      <c r="G304" s="3"/>
      <c r="L304" s="3"/>
      <c r="N304" s="3"/>
    </row>
    <row r="305" spans="1:14" x14ac:dyDescent="0.2">
      <c r="A305" s="3"/>
      <c r="B305" s="3"/>
      <c r="C305" s="3"/>
      <c r="D305" s="3"/>
      <c r="E305" s="3"/>
      <c r="F305" s="3"/>
      <c r="G305" s="3"/>
      <c r="L305" s="3"/>
      <c r="N305" s="3"/>
    </row>
    <row r="306" spans="1:14" x14ac:dyDescent="0.2">
      <c r="A306" s="3"/>
      <c r="B306" s="3"/>
      <c r="C306" s="3"/>
      <c r="D306" s="3"/>
      <c r="E306" s="3"/>
      <c r="F306" s="3"/>
      <c r="G306" s="3"/>
      <c r="L306" s="3"/>
      <c r="N306" s="3"/>
    </row>
    <row r="307" spans="1:14" x14ac:dyDescent="0.2">
      <c r="A307" s="3"/>
      <c r="B307" s="3"/>
      <c r="C307" s="3"/>
      <c r="D307" s="3"/>
      <c r="E307" s="3"/>
      <c r="F307" s="3"/>
      <c r="G307" s="3"/>
      <c r="L307" s="3"/>
      <c r="N307" s="3"/>
    </row>
    <row r="308" spans="1:14" x14ac:dyDescent="0.2">
      <c r="A308" s="3"/>
      <c r="B308" s="3"/>
      <c r="C308" s="3"/>
      <c r="D308" s="3"/>
      <c r="E308" s="3"/>
      <c r="F308" s="3"/>
      <c r="G308" s="3"/>
      <c r="L308" s="3"/>
      <c r="N308" s="3"/>
    </row>
    <row r="309" spans="1:14" x14ac:dyDescent="0.2">
      <c r="A309" s="3"/>
      <c r="B309" s="3"/>
      <c r="C309" s="3"/>
      <c r="D309" s="3"/>
      <c r="E309" s="3"/>
      <c r="F309" s="3"/>
      <c r="G309" s="3"/>
      <c r="L309" s="3"/>
      <c r="N309" s="3"/>
    </row>
    <row r="310" spans="1:14" x14ac:dyDescent="0.2">
      <c r="A310" s="3"/>
      <c r="B310" s="3"/>
      <c r="C310" s="3"/>
      <c r="D310" s="3"/>
      <c r="E310" s="3"/>
      <c r="F310" s="3"/>
      <c r="G310" s="3"/>
      <c r="L310" s="3"/>
      <c r="N310" s="3"/>
    </row>
    <row r="311" spans="1:14" x14ac:dyDescent="0.2">
      <c r="A311" s="3"/>
      <c r="B311" s="3"/>
      <c r="C311" s="3"/>
      <c r="D311" s="3"/>
      <c r="E311" s="3"/>
      <c r="F311" s="3"/>
      <c r="G311" s="3"/>
      <c r="L311" s="3"/>
      <c r="N311" s="3"/>
    </row>
    <row r="312" spans="1:14" x14ac:dyDescent="0.2">
      <c r="A312" s="3"/>
      <c r="B312" s="3"/>
      <c r="C312" s="3"/>
      <c r="D312" s="3"/>
      <c r="E312" s="3"/>
      <c r="F312" s="3"/>
      <c r="G312" s="3"/>
      <c r="L312" s="3"/>
      <c r="N312" s="3"/>
    </row>
    <row r="313" spans="1:14" x14ac:dyDescent="0.2">
      <c r="A313" s="3"/>
      <c r="B313" s="3"/>
      <c r="C313" s="3"/>
      <c r="D313" s="3"/>
      <c r="E313" s="3"/>
      <c r="F313" s="3"/>
      <c r="G313" s="3"/>
      <c r="L313" s="3"/>
      <c r="N313" s="3"/>
    </row>
    <row r="314" spans="1:14" x14ac:dyDescent="0.2">
      <c r="A314" s="3"/>
      <c r="B314" s="3"/>
      <c r="C314" s="3"/>
      <c r="D314" s="3"/>
      <c r="E314" s="3"/>
      <c r="F314" s="3"/>
      <c r="G314" s="3"/>
      <c r="L314" s="3"/>
      <c r="N314" s="3"/>
    </row>
    <row r="315" spans="1:14" x14ac:dyDescent="0.2">
      <c r="A315" s="3"/>
      <c r="B315" s="3"/>
      <c r="C315" s="3"/>
      <c r="D315" s="3"/>
      <c r="E315" s="3"/>
      <c r="F315" s="3"/>
      <c r="G315" s="3"/>
      <c r="L315" s="3"/>
      <c r="N315" s="3"/>
    </row>
    <row r="316" spans="1:14" x14ac:dyDescent="0.2">
      <c r="A316" s="3"/>
      <c r="B316" s="3"/>
      <c r="C316" s="3"/>
      <c r="D316" s="3"/>
      <c r="E316" s="3"/>
      <c r="F316" s="3"/>
      <c r="G316" s="3"/>
      <c r="L316" s="3"/>
      <c r="N316" s="3"/>
    </row>
    <row r="317" spans="1:14" x14ac:dyDescent="0.2">
      <c r="A317" s="3"/>
      <c r="B317" s="3"/>
      <c r="C317" s="3"/>
      <c r="D317" s="3"/>
      <c r="E317" s="3"/>
      <c r="F317" s="3"/>
      <c r="G317" s="3"/>
      <c r="L317" s="3"/>
      <c r="N317" s="3"/>
    </row>
    <row r="318" spans="1:14" x14ac:dyDescent="0.2">
      <c r="A318" s="3"/>
      <c r="B318" s="3"/>
      <c r="C318" s="3"/>
      <c r="D318" s="3"/>
      <c r="E318" s="3"/>
      <c r="F318" s="3"/>
      <c r="G318" s="3"/>
      <c r="L318" s="3"/>
      <c r="N318" s="3"/>
    </row>
    <row r="319" spans="1:14" x14ac:dyDescent="0.2">
      <c r="A319" s="3"/>
      <c r="B319" s="3"/>
      <c r="C319" s="3"/>
      <c r="D319" s="3"/>
      <c r="E319" s="3"/>
      <c r="F319" s="3"/>
      <c r="G319" s="3"/>
      <c r="L319" s="3"/>
      <c r="N319" s="3"/>
    </row>
    <row r="320" spans="1:14" x14ac:dyDescent="0.2">
      <c r="A320" s="3"/>
      <c r="B320" s="3"/>
      <c r="C320" s="3"/>
      <c r="D320" s="3"/>
      <c r="E320" s="3"/>
      <c r="F320" s="3"/>
      <c r="G320" s="3"/>
      <c r="L320" s="3"/>
      <c r="N320" s="3"/>
    </row>
    <row r="321" spans="1:14" x14ac:dyDescent="0.2">
      <c r="A321" s="3"/>
      <c r="B321" s="3"/>
      <c r="C321" s="3"/>
      <c r="D321" s="3"/>
      <c r="E321" s="3"/>
      <c r="F321" s="3"/>
      <c r="G321" s="3"/>
      <c r="L321" s="3"/>
      <c r="N321" s="3"/>
    </row>
    <row r="322" spans="1:14" x14ac:dyDescent="0.2">
      <c r="A322" s="3"/>
      <c r="B322" s="3"/>
      <c r="C322" s="3"/>
      <c r="D322" s="3"/>
      <c r="E322" s="3"/>
      <c r="F322" s="3"/>
      <c r="G322" s="3"/>
      <c r="L322" s="3"/>
      <c r="N322" s="3"/>
    </row>
    <row r="323" spans="1:14" x14ac:dyDescent="0.2">
      <c r="A323" s="3"/>
      <c r="B323" s="3"/>
      <c r="C323" s="3"/>
      <c r="D323" s="3"/>
      <c r="E323" s="3"/>
      <c r="F323" s="3"/>
      <c r="G323" s="3"/>
      <c r="L323" s="3"/>
      <c r="N323" s="3"/>
    </row>
    <row r="324" spans="1:14" x14ac:dyDescent="0.2">
      <c r="A324" s="3"/>
      <c r="B324" s="3"/>
      <c r="C324" s="3"/>
      <c r="D324" s="3"/>
      <c r="E324" s="3"/>
      <c r="F324" s="3"/>
      <c r="G324" s="3"/>
      <c r="L324" s="3"/>
      <c r="N324" s="3"/>
    </row>
    <row r="325" spans="1:14" x14ac:dyDescent="0.2">
      <c r="A325" s="3"/>
      <c r="B325" s="3"/>
      <c r="C325" s="3"/>
      <c r="D325" s="3"/>
      <c r="E325" s="3"/>
      <c r="F325" s="3"/>
      <c r="G325" s="3"/>
      <c r="L325" s="3"/>
      <c r="N325" s="3"/>
    </row>
    <row r="326" spans="1:14" x14ac:dyDescent="0.2">
      <c r="A326" s="3"/>
      <c r="B326" s="3"/>
      <c r="C326" s="3"/>
      <c r="D326" s="3"/>
      <c r="E326" s="3"/>
      <c r="F326" s="3"/>
      <c r="G326" s="3"/>
      <c r="L326" s="3"/>
      <c r="N326" s="3"/>
    </row>
    <row r="327" spans="1:14" x14ac:dyDescent="0.2">
      <c r="A327" s="3"/>
      <c r="B327" s="3"/>
      <c r="C327" s="3"/>
      <c r="D327" s="3"/>
      <c r="E327" s="3"/>
      <c r="F327" s="3"/>
      <c r="G327" s="3"/>
      <c r="L327" s="3"/>
      <c r="N327" s="3"/>
    </row>
    <row r="328" spans="1:14" x14ac:dyDescent="0.2">
      <c r="A328" s="3"/>
      <c r="B328" s="3"/>
      <c r="C328" s="3"/>
      <c r="D328" s="3"/>
      <c r="E328" s="3"/>
      <c r="F328" s="3"/>
      <c r="G328" s="3"/>
      <c r="L328" s="3"/>
      <c r="N328" s="3"/>
    </row>
    <row r="329" spans="1:14" x14ac:dyDescent="0.2">
      <c r="A329" s="3"/>
      <c r="B329" s="3"/>
      <c r="C329" s="3"/>
      <c r="D329" s="3"/>
      <c r="E329" s="3"/>
      <c r="F329" s="3"/>
      <c r="G329" s="3"/>
      <c r="L329" s="3"/>
      <c r="N329" s="3"/>
    </row>
    <row r="330" spans="1:14" x14ac:dyDescent="0.2">
      <c r="A330" s="3"/>
      <c r="B330" s="3"/>
      <c r="C330" s="3"/>
      <c r="D330" s="3"/>
      <c r="E330" s="3"/>
      <c r="F330" s="3"/>
      <c r="G330" s="3"/>
      <c r="L330" s="3"/>
      <c r="N330" s="3"/>
    </row>
    <row r="331" spans="1:14" x14ac:dyDescent="0.2">
      <c r="A331" s="3"/>
      <c r="B331" s="3"/>
      <c r="C331" s="3"/>
      <c r="D331" s="3"/>
      <c r="E331" s="3"/>
      <c r="F331" s="3"/>
      <c r="G331" s="3"/>
      <c r="L331" s="3"/>
      <c r="N331" s="3"/>
    </row>
    <row r="332" spans="1:14" x14ac:dyDescent="0.2">
      <c r="A332" s="3"/>
      <c r="B332" s="3"/>
      <c r="C332" s="3"/>
      <c r="D332" s="3"/>
      <c r="E332" s="3"/>
      <c r="F332" s="3"/>
      <c r="G332" s="3"/>
      <c r="L332" s="3"/>
      <c r="N332" s="3"/>
    </row>
    <row r="333" spans="1:14" x14ac:dyDescent="0.2">
      <c r="A333" s="3"/>
      <c r="B333" s="3"/>
      <c r="C333" s="3"/>
      <c r="D333" s="3"/>
      <c r="E333" s="3"/>
      <c r="F333" s="3"/>
      <c r="G333" s="3"/>
      <c r="L333" s="3"/>
      <c r="N333" s="3"/>
    </row>
    <row r="334" spans="1:14" x14ac:dyDescent="0.2">
      <c r="A334" s="3"/>
      <c r="B334" s="3"/>
      <c r="C334" s="3"/>
      <c r="D334" s="3"/>
      <c r="E334" s="3"/>
      <c r="F334" s="3"/>
      <c r="G334" s="3"/>
      <c r="L334" s="3"/>
      <c r="N334" s="3"/>
    </row>
    <row r="335" spans="1:14" x14ac:dyDescent="0.2">
      <c r="A335" s="3"/>
      <c r="B335" s="3"/>
      <c r="C335" s="3"/>
      <c r="D335" s="3"/>
      <c r="E335" s="3"/>
      <c r="F335" s="3"/>
      <c r="G335" s="3"/>
      <c r="L335" s="3"/>
      <c r="N335" s="3"/>
    </row>
    <row r="336" spans="1:14" x14ac:dyDescent="0.2">
      <c r="A336" s="3"/>
      <c r="B336" s="3"/>
      <c r="C336" s="3"/>
      <c r="D336" s="3"/>
      <c r="E336" s="3"/>
      <c r="F336" s="3"/>
      <c r="G336" s="3"/>
      <c r="L336" s="3"/>
      <c r="N336" s="3"/>
    </row>
    <row r="337" spans="1:14" x14ac:dyDescent="0.2">
      <c r="A337" s="3"/>
      <c r="B337" s="3"/>
      <c r="C337" s="3"/>
      <c r="D337" s="3"/>
      <c r="E337" s="3"/>
      <c r="F337" s="3"/>
      <c r="G337" s="3"/>
      <c r="L337" s="3"/>
      <c r="N337" s="3"/>
    </row>
    <row r="338" spans="1:14" x14ac:dyDescent="0.2">
      <c r="A338" s="3"/>
      <c r="B338" s="3"/>
      <c r="C338" s="3"/>
      <c r="D338" s="3"/>
      <c r="E338" s="3"/>
      <c r="F338" s="3"/>
      <c r="G338" s="3"/>
      <c r="L338" s="3"/>
      <c r="N338" s="3"/>
    </row>
    <row r="339" spans="1:14" x14ac:dyDescent="0.2">
      <c r="A339" s="3"/>
      <c r="B339" s="3"/>
      <c r="C339" s="3"/>
      <c r="D339" s="3"/>
      <c r="E339" s="3"/>
      <c r="F339" s="3"/>
      <c r="G339" s="3"/>
      <c r="L339" s="3"/>
      <c r="N339" s="3"/>
    </row>
    <row r="340" spans="1:14" x14ac:dyDescent="0.2">
      <c r="A340" s="3"/>
      <c r="B340" s="3"/>
      <c r="C340" s="3"/>
      <c r="D340" s="3"/>
      <c r="E340" s="3"/>
      <c r="F340" s="3"/>
      <c r="G340" s="3"/>
      <c r="L340" s="3"/>
      <c r="N340" s="3"/>
    </row>
    <row r="341" spans="1:14" x14ac:dyDescent="0.2">
      <c r="A341" s="3"/>
      <c r="B341" s="3"/>
      <c r="C341" s="3"/>
      <c r="D341" s="3"/>
      <c r="E341" s="3"/>
      <c r="F341" s="3"/>
      <c r="G341" s="3"/>
      <c r="L341" s="3"/>
      <c r="N341" s="3"/>
    </row>
    <row r="342" spans="1:14" x14ac:dyDescent="0.2">
      <c r="A342" s="3"/>
      <c r="B342" s="3"/>
      <c r="C342" s="3"/>
      <c r="D342" s="3"/>
      <c r="E342" s="3"/>
      <c r="F342" s="3"/>
      <c r="G342" s="3"/>
      <c r="L342" s="3"/>
      <c r="N342" s="3"/>
    </row>
    <row r="343" spans="1:14" x14ac:dyDescent="0.2">
      <c r="A343" s="3"/>
      <c r="B343" s="3"/>
      <c r="C343" s="3"/>
      <c r="D343" s="3"/>
      <c r="E343" s="3"/>
      <c r="F343" s="3"/>
      <c r="G343" s="3"/>
      <c r="L343" s="3"/>
      <c r="N343" s="3"/>
    </row>
    <row r="344" spans="1:14" x14ac:dyDescent="0.2">
      <c r="A344" s="3"/>
      <c r="B344" s="3"/>
      <c r="C344" s="3"/>
      <c r="D344" s="3"/>
      <c r="E344" s="3"/>
      <c r="F344" s="3"/>
      <c r="G344" s="3"/>
      <c r="L344" s="3"/>
      <c r="N344" s="3"/>
    </row>
    <row r="345" spans="1:14" x14ac:dyDescent="0.2">
      <c r="A345" s="3"/>
      <c r="B345" s="3"/>
      <c r="C345" s="3"/>
      <c r="D345" s="3"/>
      <c r="E345" s="3"/>
      <c r="F345" s="3"/>
      <c r="G345" s="3"/>
      <c r="L345" s="3"/>
      <c r="N345" s="3"/>
    </row>
    <row r="346" spans="1:14" x14ac:dyDescent="0.2">
      <c r="A346" s="3"/>
      <c r="B346" s="3"/>
      <c r="C346" s="3"/>
      <c r="D346" s="3"/>
      <c r="E346" s="3"/>
      <c r="F346" s="3"/>
      <c r="G346" s="3"/>
      <c r="L346" s="3"/>
      <c r="N346" s="3"/>
    </row>
    <row r="347" spans="1:14" x14ac:dyDescent="0.2">
      <c r="A347" s="3"/>
      <c r="B347" s="3"/>
      <c r="C347" s="3"/>
      <c r="D347" s="3"/>
      <c r="E347" s="3"/>
      <c r="F347" s="3"/>
      <c r="G347" s="3"/>
      <c r="L347" s="3"/>
      <c r="N347" s="3"/>
    </row>
    <row r="348" spans="1:14" x14ac:dyDescent="0.2">
      <c r="A348" s="3"/>
      <c r="B348" s="3"/>
      <c r="C348" s="3"/>
      <c r="D348" s="3"/>
      <c r="E348" s="3"/>
      <c r="F348" s="3"/>
      <c r="G348" s="3"/>
      <c r="L348" s="3"/>
      <c r="N348" s="3"/>
    </row>
    <row r="349" spans="1:14" x14ac:dyDescent="0.2">
      <c r="A349" s="3"/>
      <c r="B349" s="3"/>
      <c r="C349" s="3"/>
      <c r="D349" s="3"/>
      <c r="E349" s="3"/>
      <c r="F349" s="3"/>
      <c r="G349" s="3"/>
      <c r="L349" s="3"/>
      <c r="N349" s="3"/>
    </row>
    <row r="350" spans="1:14" x14ac:dyDescent="0.2">
      <c r="A350" s="3"/>
      <c r="B350" s="3"/>
      <c r="C350" s="3"/>
      <c r="D350" s="3"/>
      <c r="E350" s="3"/>
      <c r="F350" s="3"/>
      <c r="G350" s="3"/>
      <c r="L350" s="3"/>
      <c r="N350" s="3"/>
    </row>
    <row r="351" spans="1:14" x14ac:dyDescent="0.2">
      <c r="A351" s="3"/>
      <c r="B351" s="3"/>
      <c r="C351" s="3"/>
      <c r="D351" s="3"/>
      <c r="E351" s="3"/>
      <c r="F351" s="3"/>
      <c r="G351" s="3"/>
      <c r="L351" s="3"/>
      <c r="N351" s="3"/>
    </row>
    <row r="352" spans="1:14" x14ac:dyDescent="0.2">
      <c r="A352" s="3"/>
      <c r="B352" s="3"/>
      <c r="C352" s="3"/>
      <c r="D352" s="3"/>
      <c r="E352" s="3"/>
      <c r="F352" s="3"/>
      <c r="G352" s="3"/>
      <c r="L352" s="3"/>
      <c r="N352" s="3"/>
    </row>
    <row r="353" spans="1:14" x14ac:dyDescent="0.2">
      <c r="A353" s="3"/>
      <c r="B353" s="3"/>
      <c r="C353" s="3"/>
      <c r="D353" s="3"/>
      <c r="E353" s="3"/>
      <c r="F353" s="3"/>
      <c r="G353" s="3"/>
      <c r="L353" s="3"/>
      <c r="N353" s="3"/>
    </row>
    <row r="354" spans="1:14" x14ac:dyDescent="0.2">
      <c r="A354" s="3"/>
      <c r="B354" s="3"/>
      <c r="C354" s="3"/>
      <c r="D354" s="3"/>
      <c r="E354" s="3"/>
      <c r="F354" s="3"/>
      <c r="G354" s="3"/>
      <c r="L354" s="3"/>
      <c r="N354" s="3"/>
    </row>
    <row r="355" spans="1:14" x14ac:dyDescent="0.2">
      <c r="A355" s="3"/>
      <c r="B355" s="3"/>
      <c r="C355" s="3"/>
      <c r="D355" s="3"/>
      <c r="E355" s="3"/>
      <c r="F355" s="3"/>
      <c r="G355" s="3"/>
      <c r="L355" s="3"/>
      <c r="N355" s="3"/>
    </row>
    <row r="356" spans="1:14" x14ac:dyDescent="0.2">
      <c r="A356" s="3"/>
      <c r="B356" s="3"/>
      <c r="C356" s="3"/>
      <c r="D356" s="3"/>
      <c r="E356" s="3"/>
      <c r="F356" s="3"/>
      <c r="G356" s="3"/>
      <c r="L356" s="3"/>
      <c r="N356" s="3"/>
    </row>
    <row r="357" spans="1:14" x14ac:dyDescent="0.2">
      <c r="A357" s="3"/>
      <c r="B357" s="3"/>
      <c r="C357" s="3"/>
      <c r="D357" s="3"/>
      <c r="E357" s="3"/>
      <c r="F357" s="3"/>
      <c r="G357" s="3"/>
      <c r="L357" s="3"/>
      <c r="N357" s="3"/>
    </row>
    <row r="358" spans="1:14" x14ac:dyDescent="0.2">
      <c r="A358" s="3"/>
      <c r="B358" s="3"/>
      <c r="C358" s="3"/>
      <c r="D358" s="3"/>
      <c r="E358" s="3"/>
      <c r="F358" s="3"/>
      <c r="G358" s="3"/>
      <c r="L358" s="3"/>
      <c r="N358" s="3"/>
    </row>
    <row r="359" spans="1:14" x14ac:dyDescent="0.2">
      <c r="A359" s="3"/>
      <c r="B359" s="3"/>
      <c r="C359" s="3"/>
      <c r="D359" s="3"/>
      <c r="E359" s="3"/>
      <c r="F359" s="3"/>
      <c r="G359" s="3"/>
      <c r="L359" s="3"/>
      <c r="N359" s="3"/>
    </row>
    <row r="360" spans="1:14" x14ac:dyDescent="0.2">
      <c r="A360" s="3"/>
      <c r="B360" s="3"/>
      <c r="C360" s="3"/>
      <c r="D360" s="3"/>
      <c r="E360" s="3"/>
      <c r="F360" s="3"/>
      <c r="G360" s="3"/>
      <c r="L360" s="3"/>
      <c r="N360" s="3"/>
    </row>
    <row r="361" spans="1:14" x14ac:dyDescent="0.2">
      <c r="A361" s="3"/>
      <c r="B361" s="3"/>
      <c r="C361" s="3"/>
      <c r="D361" s="3"/>
      <c r="E361" s="3"/>
      <c r="F361" s="3"/>
      <c r="G361" s="3"/>
      <c r="L361" s="3"/>
      <c r="N361" s="3"/>
    </row>
    <row r="362" spans="1:14" x14ac:dyDescent="0.2">
      <c r="A362" s="3"/>
      <c r="B362" s="3"/>
      <c r="C362" s="3"/>
      <c r="D362" s="3"/>
      <c r="E362" s="3"/>
      <c r="F362" s="3"/>
      <c r="G362" s="3"/>
      <c r="L362" s="3"/>
      <c r="N362" s="3"/>
    </row>
    <row r="363" spans="1:14" x14ac:dyDescent="0.2">
      <c r="A363" s="3"/>
      <c r="B363" s="3"/>
      <c r="C363" s="3"/>
      <c r="D363" s="3"/>
      <c r="E363" s="3"/>
      <c r="F363" s="3"/>
      <c r="G363" s="3"/>
      <c r="L363" s="3"/>
      <c r="N363" s="3"/>
    </row>
    <row r="364" spans="1:14" x14ac:dyDescent="0.2">
      <c r="A364" s="3"/>
      <c r="B364" s="3"/>
      <c r="C364" s="3"/>
      <c r="D364" s="3"/>
      <c r="E364" s="3"/>
      <c r="F364" s="3"/>
      <c r="G364" s="3"/>
      <c r="L364" s="3"/>
      <c r="N364" s="3"/>
    </row>
    <row r="365" spans="1:14" x14ac:dyDescent="0.2">
      <c r="A365" s="3"/>
      <c r="B365" s="3"/>
      <c r="C365" s="3"/>
      <c r="D365" s="3"/>
      <c r="E365" s="3"/>
      <c r="F365" s="3"/>
      <c r="G365" s="3"/>
      <c r="L365" s="3"/>
      <c r="N365" s="3"/>
    </row>
    <row r="366" spans="1:14" x14ac:dyDescent="0.2">
      <c r="A366" s="3"/>
      <c r="B366" s="3"/>
      <c r="C366" s="3"/>
      <c r="D366" s="3"/>
      <c r="E366" s="3"/>
      <c r="F366" s="3"/>
      <c r="G366" s="3"/>
      <c r="L366" s="3"/>
      <c r="N366" s="3"/>
    </row>
    <row r="367" spans="1:14" x14ac:dyDescent="0.2">
      <c r="A367" s="3"/>
      <c r="B367" s="3"/>
      <c r="C367" s="3"/>
      <c r="D367" s="3"/>
      <c r="E367" s="3"/>
      <c r="F367" s="3"/>
      <c r="G367" s="3"/>
      <c r="L367" s="3"/>
      <c r="N367" s="3"/>
    </row>
    <row r="368" spans="1:14" x14ac:dyDescent="0.2">
      <c r="A368" s="3"/>
      <c r="B368" s="3"/>
      <c r="C368" s="3"/>
      <c r="D368" s="3"/>
      <c r="E368" s="3"/>
      <c r="F368" s="3"/>
      <c r="G368" s="3"/>
      <c r="L368" s="3"/>
      <c r="N368" s="3"/>
    </row>
    <row r="369" spans="1:14" x14ac:dyDescent="0.2">
      <c r="A369" s="3"/>
      <c r="B369" s="3"/>
      <c r="C369" s="3"/>
      <c r="D369" s="3"/>
      <c r="E369" s="3"/>
      <c r="F369" s="3"/>
      <c r="G369" s="3"/>
      <c r="L369" s="3"/>
      <c r="N369" s="3"/>
    </row>
    <row r="370" spans="1:14" x14ac:dyDescent="0.2">
      <c r="A370" s="3"/>
      <c r="B370" s="3"/>
      <c r="C370" s="3"/>
      <c r="D370" s="3"/>
      <c r="E370" s="3"/>
      <c r="F370" s="3"/>
      <c r="G370" s="3"/>
      <c r="L370" s="3"/>
      <c r="N370" s="3"/>
    </row>
    <row r="371" spans="1:14" x14ac:dyDescent="0.2">
      <c r="A371" s="3"/>
      <c r="B371" s="3"/>
      <c r="C371" s="3"/>
      <c r="D371" s="3"/>
      <c r="E371" s="3"/>
      <c r="F371" s="3"/>
      <c r="G371" s="3"/>
      <c r="L371" s="3"/>
      <c r="N371" s="3"/>
    </row>
    <row r="372" spans="1:14" x14ac:dyDescent="0.2">
      <c r="A372" s="3"/>
      <c r="B372" s="3"/>
      <c r="C372" s="3"/>
      <c r="D372" s="3"/>
      <c r="E372" s="3"/>
      <c r="F372" s="3"/>
      <c r="G372" s="3"/>
      <c r="L372" s="3"/>
      <c r="N372" s="3"/>
    </row>
    <row r="373" spans="1:14" x14ac:dyDescent="0.2">
      <c r="A373" s="3"/>
      <c r="B373" s="3"/>
      <c r="C373" s="3"/>
      <c r="D373" s="3"/>
      <c r="E373" s="3"/>
      <c r="F373" s="3"/>
      <c r="G373" s="3"/>
      <c r="L373" s="3"/>
      <c r="N373" s="3"/>
    </row>
    <row r="374" spans="1:14" x14ac:dyDescent="0.2">
      <c r="A374" s="3"/>
      <c r="B374" s="3"/>
      <c r="C374" s="3"/>
      <c r="D374" s="3"/>
      <c r="E374" s="3"/>
      <c r="F374" s="3"/>
      <c r="G374" s="3"/>
      <c r="L374" s="3"/>
      <c r="N374" s="3"/>
    </row>
    <row r="375" spans="1:14" x14ac:dyDescent="0.2">
      <c r="A375" s="3"/>
      <c r="B375" s="3"/>
      <c r="C375" s="3"/>
      <c r="D375" s="3"/>
      <c r="E375" s="3"/>
      <c r="F375" s="3"/>
      <c r="G375" s="3"/>
      <c r="L375" s="3"/>
      <c r="N375" s="3"/>
    </row>
    <row r="376" spans="1:14" x14ac:dyDescent="0.2">
      <c r="A376" s="3"/>
      <c r="B376" s="3"/>
      <c r="C376" s="3"/>
      <c r="D376" s="3"/>
      <c r="E376" s="3"/>
      <c r="F376" s="3"/>
      <c r="G376" s="3"/>
      <c r="L376" s="3"/>
      <c r="N376" s="3"/>
    </row>
    <row r="377" spans="1:14" x14ac:dyDescent="0.2">
      <c r="A377" s="3"/>
      <c r="B377" s="3"/>
      <c r="C377" s="3"/>
      <c r="D377" s="3"/>
      <c r="E377" s="3"/>
      <c r="F377" s="3"/>
      <c r="G377" s="3"/>
      <c r="L377" s="3"/>
      <c r="N377" s="3"/>
    </row>
    <row r="378" spans="1:14" x14ac:dyDescent="0.2">
      <c r="A378" s="3"/>
      <c r="B378" s="3"/>
      <c r="C378" s="3"/>
      <c r="D378" s="3"/>
      <c r="E378" s="3"/>
      <c r="F378" s="3"/>
      <c r="G378" s="3"/>
      <c r="L378" s="3"/>
      <c r="N378" s="3"/>
    </row>
    <row r="379" spans="1:14" x14ac:dyDescent="0.2">
      <c r="A379" s="3"/>
      <c r="B379" s="3"/>
      <c r="C379" s="3"/>
      <c r="D379" s="3"/>
      <c r="E379" s="3"/>
      <c r="F379" s="3"/>
      <c r="G379" s="3"/>
      <c r="L379" s="3"/>
      <c r="N379" s="3"/>
    </row>
    <row r="380" spans="1:14" x14ac:dyDescent="0.2">
      <c r="A380" s="3"/>
      <c r="B380" s="3"/>
      <c r="C380" s="3"/>
      <c r="D380" s="3"/>
      <c r="E380" s="3"/>
      <c r="F380" s="3"/>
      <c r="G380" s="3"/>
      <c r="L380" s="3"/>
      <c r="N380" s="3"/>
    </row>
    <row r="381" spans="1:14" x14ac:dyDescent="0.2">
      <c r="A381" s="3"/>
      <c r="B381" s="3"/>
      <c r="C381" s="3"/>
      <c r="D381" s="3"/>
      <c r="E381" s="3"/>
      <c r="F381" s="3"/>
      <c r="G381" s="3"/>
      <c r="L381" s="3"/>
      <c r="N381" s="3"/>
    </row>
    <row r="382" spans="1:14" x14ac:dyDescent="0.2">
      <c r="A382" s="3"/>
      <c r="B382" s="3"/>
      <c r="C382" s="3"/>
      <c r="D382" s="3"/>
      <c r="E382" s="3"/>
      <c r="F382" s="3"/>
      <c r="G382" s="3"/>
      <c r="L382" s="3"/>
      <c r="N382" s="3"/>
    </row>
    <row r="383" spans="1:14" x14ac:dyDescent="0.2">
      <c r="A383" s="3"/>
      <c r="B383" s="3"/>
      <c r="C383" s="3"/>
      <c r="D383" s="3"/>
      <c r="E383" s="3"/>
      <c r="F383" s="3"/>
      <c r="G383" s="3"/>
      <c r="L383" s="3"/>
      <c r="N383" s="3"/>
    </row>
    <row r="384" spans="1:14" x14ac:dyDescent="0.2">
      <c r="A384" s="3"/>
      <c r="B384" s="3"/>
      <c r="C384" s="3"/>
      <c r="D384" s="3"/>
      <c r="E384" s="3"/>
      <c r="F384" s="3"/>
      <c r="G384" s="3"/>
      <c r="L384" s="3"/>
      <c r="N384" s="3"/>
    </row>
    <row r="385" spans="1:14" x14ac:dyDescent="0.2">
      <c r="A385" s="3"/>
      <c r="B385" s="3"/>
      <c r="C385" s="3"/>
      <c r="D385" s="3"/>
      <c r="E385" s="3"/>
      <c r="F385" s="3"/>
      <c r="G385" s="3"/>
      <c r="L385" s="3"/>
      <c r="N385" s="3"/>
    </row>
    <row r="386" spans="1:14" x14ac:dyDescent="0.2">
      <c r="A386" s="3"/>
      <c r="B386" s="3"/>
      <c r="C386" s="3"/>
      <c r="D386" s="3"/>
      <c r="E386" s="3"/>
      <c r="F386" s="3"/>
      <c r="G386" s="3"/>
      <c r="L386" s="3"/>
      <c r="N386" s="3"/>
    </row>
    <row r="387" spans="1:14" x14ac:dyDescent="0.2">
      <c r="A387" s="3"/>
      <c r="B387" s="3"/>
      <c r="C387" s="3"/>
      <c r="D387" s="3"/>
      <c r="E387" s="3"/>
      <c r="F387" s="3"/>
      <c r="G387" s="3"/>
      <c r="L387" s="3"/>
      <c r="N387" s="3"/>
    </row>
    <row r="388" spans="1:14" x14ac:dyDescent="0.2">
      <c r="A388" s="3"/>
      <c r="B388" s="3"/>
      <c r="C388" s="3"/>
      <c r="D388" s="3"/>
      <c r="E388" s="3"/>
      <c r="F388" s="3"/>
      <c r="G388" s="3"/>
      <c r="L388" s="3"/>
      <c r="N388" s="3"/>
    </row>
    <row r="389" spans="1:14" x14ac:dyDescent="0.2">
      <c r="A389" s="3"/>
      <c r="B389" s="3"/>
      <c r="C389" s="3"/>
      <c r="D389" s="3"/>
      <c r="E389" s="3"/>
      <c r="F389" s="3"/>
      <c r="G389" s="3"/>
      <c r="L389" s="3"/>
      <c r="N389" s="3"/>
    </row>
    <row r="390" spans="1:14" x14ac:dyDescent="0.2">
      <c r="A390" s="3"/>
      <c r="B390" s="3"/>
      <c r="C390" s="3"/>
      <c r="D390" s="3"/>
      <c r="E390" s="3"/>
      <c r="F390" s="3"/>
      <c r="G390" s="3"/>
      <c r="L390" s="3"/>
      <c r="N390" s="3"/>
    </row>
    <row r="391" spans="1:14" x14ac:dyDescent="0.2">
      <c r="A391" s="3"/>
      <c r="B391" s="3"/>
      <c r="C391" s="3"/>
      <c r="D391" s="3"/>
      <c r="E391" s="3"/>
      <c r="F391" s="3"/>
      <c r="G391" s="3"/>
      <c r="L391" s="3"/>
      <c r="N391" s="3"/>
    </row>
    <row r="392" spans="1:14" x14ac:dyDescent="0.2">
      <c r="A392" s="3"/>
      <c r="B392" s="3"/>
      <c r="C392" s="3"/>
      <c r="D392" s="3"/>
      <c r="E392" s="3"/>
      <c r="F392" s="3"/>
      <c r="G392" s="3"/>
      <c r="L392" s="3"/>
      <c r="N392" s="3"/>
    </row>
    <row r="393" spans="1:14" x14ac:dyDescent="0.2">
      <c r="A393" s="3"/>
      <c r="B393" s="3"/>
      <c r="C393" s="3"/>
      <c r="D393" s="3"/>
      <c r="E393" s="3"/>
      <c r="F393" s="3"/>
      <c r="G393" s="3"/>
      <c r="L393" s="3"/>
      <c r="N393" s="3"/>
    </row>
    <row r="394" spans="1:14" x14ac:dyDescent="0.2">
      <c r="A394" s="3"/>
      <c r="B394" s="3"/>
      <c r="C394" s="3"/>
      <c r="D394" s="3"/>
      <c r="E394" s="3"/>
      <c r="F394" s="3"/>
      <c r="G394" s="3"/>
      <c r="L394" s="3"/>
      <c r="N394" s="3"/>
    </row>
    <row r="395" spans="1:14" x14ac:dyDescent="0.2">
      <c r="A395" s="3"/>
      <c r="B395" s="3"/>
      <c r="C395" s="3"/>
      <c r="D395" s="3"/>
      <c r="E395" s="3"/>
      <c r="F395" s="3"/>
      <c r="G395" s="3"/>
      <c r="L395" s="3"/>
      <c r="N395" s="3"/>
    </row>
    <row r="396" spans="1:14" x14ac:dyDescent="0.2">
      <c r="A396" s="3"/>
      <c r="B396" s="3"/>
      <c r="C396" s="3"/>
      <c r="D396" s="3"/>
      <c r="E396" s="3"/>
      <c r="F396" s="3"/>
      <c r="G396" s="3"/>
      <c r="L396" s="3"/>
      <c r="N396" s="3"/>
    </row>
    <row r="397" spans="1:14" x14ac:dyDescent="0.2">
      <c r="A397" s="3"/>
      <c r="B397" s="3"/>
      <c r="C397" s="3"/>
      <c r="D397" s="3"/>
      <c r="E397" s="3"/>
      <c r="F397" s="3"/>
      <c r="G397" s="3"/>
      <c r="L397" s="3"/>
      <c r="N397" s="3"/>
    </row>
    <row r="398" spans="1:14" x14ac:dyDescent="0.2">
      <c r="A398" s="3"/>
      <c r="B398" s="3"/>
      <c r="C398" s="3"/>
      <c r="D398" s="3"/>
      <c r="E398" s="3"/>
      <c r="F398" s="3"/>
      <c r="G398" s="3"/>
      <c r="L398" s="3"/>
      <c r="N398" s="3"/>
    </row>
    <row r="399" spans="1:14" x14ac:dyDescent="0.2">
      <c r="A399" s="3"/>
      <c r="B399" s="3"/>
      <c r="C399" s="3"/>
      <c r="D399" s="3"/>
      <c r="E399" s="3"/>
      <c r="F399" s="3"/>
      <c r="G399" s="3"/>
      <c r="L399" s="3"/>
      <c r="N399" s="3"/>
    </row>
    <row r="400" spans="1:14" x14ac:dyDescent="0.2">
      <c r="A400" s="3"/>
      <c r="B400" s="3"/>
      <c r="C400" s="3"/>
      <c r="D400" s="3"/>
      <c r="E400" s="3"/>
      <c r="F400" s="3"/>
      <c r="G400" s="3"/>
      <c r="L400" s="3"/>
      <c r="N400" s="3"/>
    </row>
    <row r="401" spans="1:14" x14ac:dyDescent="0.2">
      <c r="A401" s="3"/>
      <c r="B401" s="3"/>
      <c r="C401" s="3"/>
      <c r="D401" s="3"/>
      <c r="E401" s="3"/>
      <c r="F401" s="3"/>
      <c r="G401" s="3"/>
      <c r="L401" s="3"/>
      <c r="N401" s="3"/>
    </row>
    <row r="402" spans="1:14" x14ac:dyDescent="0.2">
      <c r="A402" s="3"/>
      <c r="B402" s="3"/>
      <c r="C402" s="3"/>
      <c r="D402" s="3"/>
      <c r="E402" s="3"/>
      <c r="F402" s="3"/>
      <c r="G402" s="3"/>
      <c r="L402" s="3"/>
      <c r="N402" s="3"/>
    </row>
    <row r="403" spans="1:14" x14ac:dyDescent="0.2">
      <c r="A403" s="3"/>
      <c r="B403" s="3"/>
      <c r="C403" s="3"/>
      <c r="D403" s="3"/>
      <c r="E403" s="3"/>
      <c r="F403" s="3"/>
      <c r="G403" s="3"/>
      <c r="L403" s="3"/>
      <c r="N403" s="3"/>
    </row>
    <row r="404" spans="1:14" x14ac:dyDescent="0.2">
      <c r="A404" s="3"/>
      <c r="B404" s="3"/>
      <c r="C404" s="3"/>
      <c r="D404" s="3"/>
      <c r="E404" s="3"/>
      <c r="F404" s="3"/>
      <c r="G404" s="3"/>
      <c r="L404" s="3"/>
      <c r="N404" s="3"/>
    </row>
    <row r="405" spans="1:14" x14ac:dyDescent="0.2">
      <c r="A405" s="3"/>
      <c r="B405" s="3"/>
      <c r="C405" s="3"/>
      <c r="D405" s="3"/>
      <c r="E405" s="3"/>
      <c r="F405" s="3"/>
      <c r="G405" s="3"/>
      <c r="L405" s="3"/>
      <c r="N405" s="3"/>
    </row>
    <row r="406" spans="1:14" x14ac:dyDescent="0.2">
      <c r="A406" s="3"/>
      <c r="B406" s="3"/>
      <c r="C406" s="3"/>
      <c r="D406" s="3"/>
      <c r="E406" s="3"/>
      <c r="F406" s="3"/>
      <c r="G406" s="3"/>
      <c r="L406" s="3"/>
      <c r="N406" s="3"/>
    </row>
    <row r="407" spans="1:14" x14ac:dyDescent="0.2">
      <c r="A407" s="3"/>
      <c r="B407" s="3"/>
      <c r="C407" s="3"/>
      <c r="D407" s="3"/>
      <c r="E407" s="3"/>
      <c r="F407" s="3"/>
      <c r="G407" s="3"/>
      <c r="L407" s="3"/>
      <c r="N407" s="3"/>
    </row>
    <row r="408" spans="1:14" x14ac:dyDescent="0.2">
      <c r="A408" s="3"/>
      <c r="B408" s="3"/>
      <c r="C408" s="3"/>
      <c r="D408" s="3"/>
      <c r="E408" s="3"/>
      <c r="F408" s="3"/>
      <c r="G408" s="3"/>
      <c r="L408" s="3"/>
      <c r="N408" s="3"/>
    </row>
    <row r="409" spans="1:14" x14ac:dyDescent="0.2">
      <c r="A409" s="3"/>
      <c r="B409" s="3"/>
      <c r="C409" s="3"/>
      <c r="D409" s="3"/>
      <c r="E409" s="3"/>
      <c r="F409" s="3"/>
      <c r="G409" s="3"/>
      <c r="L409" s="3"/>
      <c r="N409" s="3"/>
    </row>
    <row r="410" spans="1:14" x14ac:dyDescent="0.2">
      <c r="A410" s="3"/>
      <c r="B410" s="3"/>
      <c r="C410" s="3"/>
      <c r="D410" s="3"/>
      <c r="E410" s="3"/>
      <c r="F410" s="3"/>
      <c r="G410" s="3"/>
      <c r="L410" s="3"/>
      <c r="N410" s="3"/>
    </row>
    <row r="411" spans="1:14" x14ac:dyDescent="0.2">
      <c r="A411" s="3"/>
      <c r="B411" s="3"/>
      <c r="C411" s="3"/>
      <c r="D411" s="3"/>
      <c r="E411" s="3"/>
      <c r="F411" s="3"/>
      <c r="G411" s="3"/>
      <c r="L411" s="3"/>
      <c r="N411" s="3"/>
    </row>
    <row r="412" spans="1:14" x14ac:dyDescent="0.2">
      <c r="A412" s="3"/>
      <c r="B412" s="3"/>
      <c r="C412" s="3"/>
      <c r="D412" s="3"/>
      <c r="E412" s="3"/>
      <c r="F412" s="3"/>
      <c r="G412" s="3"/>
      <c r="L412" s="3"/>
      <c r="N412" s="3"/>
    </row>
    <row r="413" spans="1:14" x14ac:dyDescent="0.2">
      <c r="A413" s="3"/>
      <c r="B413" s="3"/>
      <c r="C413" s="3"/>
      <c r="D413" s="3"/>
      <c r="E413" s="3"/>
      <c r="F413" s="3"/>
      <c r="G413" s="3"/>
      <c r="L413" s="3"/>
      <c r="N413" s="3"/>
    </row>
    <row r="414" spans="1:14" x14ac:dyDescent="0.2">
      <c r="A414" s="3"/>
      <c r="B414" s="3"/>
      <c r="C414" s="3"/>
      <c r="D414" s="3"/>
      <c r="E414" s="3"/>
      <c r="F414" s="3"/>
      <c r="G414" s="3"/>
      <c r="L414" s="3"/>
      <c r="N414" s="3"/>
    </row>
    <row r="415" spans="1:14" x14ac:dyDescent="0.2">
      <c r="A415" s="3"/>
      <c r="B415" s="3"/>
      <c r="C415" s="3"/>
      <c r="D415" s="3"/>
      <c r="E415" s="3"/>
      <c r="F415" s="3"/>
      <c r="G415" s="3"/>
      <c r="L415" s="3"/>
      <c r="N415" s="3"/>
    </row>
    <row r="416" spans="1:14" x14ac:dyDescent="0.2">
      <c r="A416" s="3"/>
      <c r="B416" s="3"/>
      <c r="C416" s="3"/>
      <c r="D416" s="3"/>
      <c r="E416" s="3"/>
      <c r="F416" s="3"/>
      <c r="G416" s="3"/>
      <c r="L416" s="3"/>
      <c r="N416" s="3"/>
    </row>
    <row r="417" spans="1:14" x14ac:dyDescent="0.2">
      <c r="A417" s="3"/>
      <c r="B417" s="3"/>
      <c r="C417" s="3"/>
      <c r="D417" s="3"/>
      <c r="E417" s="3"/>
      <c r="F417" s="3"/>
      <c r="G417" s="3"/>
      <c r="L417" s="3"/>
      <c r="N417" s="3"/>
    </row>
    <row r="418" spans="1:14" x14ac:dyDescent="0.2">
      <c r="A418" s="3"/>
      <c r="B418" s="3"/>
      <c r="C418" s="3"/>
      <c r="D418" s="3"/>
      <c r="E418" s="3"/>
      <c r="F418" s="3"/>
      <c r="G418" s="3"/>
      <c r="L418" s="3"/>
      <c r="N418" s="3"/>
    </row>
    <row r="419" spans="1:14" x14ac:dyDescent="0.2">
      <c r="A419" s="3"/>
      <c r="B419" s="3"/>
      <c r="C419" s="3"/>
      <c r="D419" s="3"/>
      <c r="E419" s="3"/>
      <c r="F419" s="3"/>
      <c r="G419" s="3"/>
      <c r="L419" s="3"/>
      <c r="N419" s="3"/>
    </row>
    <row r="420" spans="1:14" x14ac:dyDescent="0.2">
      <c r="A420" s="3"/>
      <c r="B420" s="3"/>
      <c r="C420" s="3"/>
      <c r="D420" s="3"/>
      <c r="E420" s="3"/>
      <c r="F420" s="3"/>
      <c r="G420" s="3"/>
      <c r="L420" s="3"/>
      <c r="N420" s="3"/>
    </row>
    <row r="421" spans="1:14" x14ac:dyDescent="0.2">
      <c r="A421" s="3"/>
      <c r="B421" s="3"/>
      <c r="C421" s="3"/>
      <c r="D421" s="3"/>
      <c r="E421" s="3"/>
      <c r="F421" s="3"/>
      <c r="G421" s="3"/>
      <c r="L421" s="3"/>
      <c r="N421" s="3"/>
    </row>
    <row r="422" spans="1:14" x14ac:dyDescent="0.2">
      <c r="A422" s="3"/>
      <c r="B422" s="3"/>
      <c r="C422" s="3"/>
      <c r="D422" s="3"/>
      <c r="E422" s="3"/>
      <c r="F422" s="3"/>
      <c r="G422" s="3"/>
      <c r="L422" s="3"/>
      <c r="N422" s="3"/>
    </row>
    <row r="423" spans="1:14" x14ac:dyDescent="0.2">
      <c r="A423" s="3"/>
      <c r="B423" s="3"/>
      <c r="C423" s="3"/>
      <c r="D423" s="3"/>
      <c r="E423" s="3"/>
      <c r="F423" s="3"/>
      <c r="G423" s="3"/>
      <c r="L423" s="3"/>
      <c r="N423" s="3"/>
    </row>
    <row r="424" spans="1:14" x14ac:dyDescent="0.2">
      <c r="A424" s="3"/>
      <c r="B424" s="3"/>
      <c r="C424" s="3"/>
      <c r="D424" s="3"/>
      <c r="E424" s="3"/>
      <c r="F424" s="3"/>
      <c r="G424" s="3"/>
      <c r="L424" s="3"/>
      <c r="N424" s="3"/>
    </row>
    <row r="425" spans="1:14" x14ac:dyDescent="0.2">
      <c r="A425" s="3"/>
      <c r="B425" s="3"/>
      <c r="C425" s="3"/>
      <c r="D425" s="3"/>
      <c r="E425" s="3"/>
      <c r="F425" s="3"/>
      <c r="G425" s="3"/>
      <c r="L425" s="3"/>
      <c r="N425" s="3"/>
    </row>
    <row r="426" spans="1:14" x14ac:dyDescent="0.2">
      <c r="A426" s="3"/>
      <c r="B426" s="3"/>
      <c r="C426" s="3"/>
      <c r="D426" s="3"/>
      <c r="E426" s="3"/>
      <c r="F426" s="3"/>
      <c r="G426" s="3"/>
      <c r="L426" s="3"/>
      <c r="N426" s="3"/>
    </row>
    <row r="427" spans="1:14" x14ac:dyDescent="0.2">
      <c r="A427" s="3"/>
      <c r="B427" s="3"/>
      <c r="C427" s="3"/>
      <c r="D427" s="3"/>
      <c r="E427" s="3"/>
      <c r="F427" s="3"/>
      <c r="G427" s="3"/>
      <c r="L427" s="3"/>
      <c r="N427" s="3"/>
    </row>
    <row r="428" spans="1:14" x14ac:dyDescent="0.2">
      <c r="A428" s="3"/>
      <c r="B428" s="3"/>
      <c r="C428" s="3"/>
      <c r="D428" s="3"/>
      <c r="E428" s="3"/>
      <c r="F428" s="3"/>
      <c r="G428" s="3"/>
      <c r="L428" s="3"/>
      <c r="N428" s="3"/>
    </row>
    <row r="429" spans="1:14" x14ac:dyDescent="0.2">
      <c r="A429" s="3"/>
      <c r="B429" s="3"/>
      <c r="C429" s="3"/>
      <c r="D429" s="3"/>
      <c r="E429" s="3"/>
      <c r="F429" s="3"/>
      <c r="G429" s="3"/>
      <c r="L429" s="3"/>
      <c r="N429" s="3"/>
    </row>
    <row r="430" spans="1:14" x14ac:dyDescent="0.2">
      <c r="A430" s="3"/>
      <c r="B430" s="3"/>
      <c r="C430" s="3"/>
      <c r="D430" s="3"/>
      <c r="E430" s="3"/>
      <c r="F430" s="3"/>
      <c r="G430" s="3"/>
      <c r="L430" s="3"/>
      <c r="N430" s="3"/>
    </row>
    <row r="431" spans="1:14" x14ac:dyDescent="0.2">
      <c r="A431" s="3"/>
      <c r="B431" s="3"/>
      <c r="C431" s="3"/>
      <c r="D431" s="3"/>
      <c r="E431" s="3"/>
      <c r="F431" s="3"/>
      <c r="G431" s="3"/>
      <c r="L431" s="3"/>
      <c r="N431" s="3"/>
    </row>
    <row r="432" spans="1:14" x14ac:dyDescent="0.2">
      <c r="A432" s="3"/>
      <c r="B432" s="3"/>
      <c r="C432" s="3"/>
      <c r="D432" s="3"/>
      <c r="E432" s="3"/>
      <c r="F432" s="3"/>
      <c r="G432" s="3"/>
      <c r="L432" s="3"/>
      <c r="N432" s="3"/>
    </row>
    <row r="433" spans="1:14" x14ac:dyDescent="0.2">
      <c r="A433" s="3"/>
      <c r="B433" s="3"/>
      <c r="C433" s="3"/>
      <c r="D433" s="3"/>
      <c r="E433" s="3"/>
      <c r="F433" s="3"/>
      <c r="G433" s="3"/>
      <c r="L433" s="3"/>
      <c r="N433" s="3"/>
    </row>
    <row r="434" spans="1:14" x14ac:dyDescent="0.2">
      <c r="A434" s="3"/>
      <c r="B434" s="3"/>
      <c r="C434" s="3"/>
      <c r="D434" s="3"/>
      <c r="E434" s="3"/>
      <c r="F434" s="3"/>
      <c r="G434" s="3"/>
      <c r="L434" s="3"/>
      <c r="N434" s="3"/>
    </row>
    <row r="435" spans="1:14" x14ac:dyDescent="0.2">
      <c r="A435" s="3"/>
      <c r="B435" s="3"/>
      <c r="C435" s="3"/>
      <c r="D435" s="3"/>
      <c r="E435" s="3"/>
      <c r="F435" s="3"/>
      <c r="G435" s="3"/>
      <c r="L435" s="3"/>
      <c r="N435" s="3"/>
    </row>
    <row r="436" spans="1:14" x14ac:dyDescent="0.2">
      <c r="A436" s="3"/>
      <c r="B436" s="3"/>
      <c r="C436" s="3"/>
      <c r="D436" s="3"/>
      <c r="E436" s="3"/>
      <c r="F436" s="3"/>
      <c r="G436" s="3"/>
      <c r="L436" s="3"/>
      <c r="N436" s="3"/>
    </row>
    <row r="437" spans="1:14" x14ac:dyDescent="0.2">
      <c r="A437" s="3"/>
      <c r="B437" s="3"/>
      <c r="C437" s="3"/>
      <c r="D437" s="3"/>
      <c r="E437" s="3"/>
      <c r="F437" s="3"/>
      <c r="G437" s="3"/>
      <c r="L437" s="3"/>
      <c r="N437" s="3"/>
    </row>
    <row r="438" spans="1:14" x14ac:dyDescent="0.2">
      <c r="A438" s="3"/>
      <c r="B438" s="3"/>
      <c r="C438" s="3"/>
      <c r="D438" s="3"/>
      <c r="E438" s="3"/>
      <c r="F438" s="3"/>
      <c r="G438" s="3"/>
      <c r="L438" s="3"/>
      <c r="N438" s="3"/>
    </row>
    <row r="439" spans="1:14" x14ac:dyDescent="0.2">
      <c r="A439" s="3"/>
      <c r="B439" s="3"/>
      <c r="C439" s="3"/>
      <c r="D439" s="3"/>
      <c r="E439" s="3"/>
      <c r="F439" s="3"/>
      <c r="G439" s="3"/>
      <c r="L439" s="3"/>
      <c r="N439" s="3"/>
    </row>
    <row r="440" spans="1:14" x14ac:dyDescent="0.2">
      <c r="A440" s="3"/>
      <c r="B440" s="3"/>
      <c r="C440" s="3"/>
      <c r="D440" s="3"/>
      <c r="E440" s="3"/>
      <c r="F440" s="3"/>
      <c r="G440" s="3"/>
      <c r="L440" s="3"/>
      <c r="N440" s="3"/>
    </row>
    <row r="441" spans="1:14" x14ac:dyDescent="0.2">
      <c r="A441" s="3"/>
      <c r="B441" s="3"/>
      <c r="C441" s="3"/>
      <c r="D441" s="3"/>
      <c r="E441" s="3"/>
      <c r="F441" s="3"/>
      <c r="G441" s="3"/>
      <c r="L441" s="3"/>
      <c r="N441" s="3"/>
    </row>
    <row r="442" spans="1:14" x14ac:dyDescent="0.2">
      <c r="A442" s="3"/>
      <c r="B442" s="3"/>
      <c r="C442" s="3"/>
      <c r="D442" s="3"/>
      <c r="E442" s="3"/>
      <c r="F442" s="3"/>
      <c r="G442" s="3"/>
      <c r="L442" s="3"/>
      <c r="N442" s="3"/>
    </row>
    <row r="443" spans="1:14" x14ac:dyDescent="0.2">
      <c r="A443" s="3"/>
      <c r="B443" s="3"/>
      <c r="C443" s="3"/>
      <c r="D443" s="3"/>
      <c r="E443" s="3"/>
      <c r="F443" s="3"/>
      <c r="G443" s="3"/>
      <c r="L443" s="3"/>
      <c r="N443" s="3"/>
    </row>
    <row r="444" spans="1:14" x14ac:dyDescent="0.2">
      <c r="A444" s="3"/>
      <c r="B444" s="3"/>
      <c r="C444" s="3"/>
      <c r="D444" s="3"/>
      <c r="E444" s="3"/>
      <c r="F444" s="3"/>
      <c r="G444" s="3"/>
      <c r="L444" s="3"/>
      <c r="N444" s="3"/>
    </row>
    <row r="445" spans="1:14" x14ac:dyDescent="0.2">
      <c r="A445" s="3"/>
      <c r="B445" s="3"/>
      <c r="C445" s="3"/>
      <c r="D445" s="3"/>
      <c r="E445" s="3"/>
      <c r="F445" s="3"/>
      <c r="G445" s="3"/>
      <c r="L445" s="3"/>
      <c r="N445" s="3"/>
    </row>
    <row r="446" spans="1:14" x14ac:dyDescent="0.2">
      <c r="A446" s="3"/>
      <c r="B446" s="3"/>
      <c r="C446" s="3"/>
      <c r="D446" s="3"/>
      <c r="E446" s="3"/>
      <c r="F446" s="3"/>
      <c r="G446" s="3"/>
      <c r="L446" s="3"/>
      <c r="N446" s="3"/>
    </row>
    <row r="447" spans="1:14" x14ac:dyDescent="0.2">
      <c r="A447" s="3"/>
      <c r="B447" s="3"/>
      <c r="C447" s="3"/>
      <c r="D447" s="3"/>
      <c r="E447" s="3"/>
      <c r="F447" s="3"/>
      <c r="G447" s="3"/>
      <c r="L447" s="3"/>
      <c r="N447" s="3"/>
    </row>
    <row r="448" spans="1:14" x14ac:dyDescent="0.2">
      <c r="A448" s="3"/>
      <c r="B448" s="3"/>
      <c r="C448" s="3"/>
      <c r="D448" s="3"/>
      <c r="E448" s="3"/>
      <c r="F448" s="3"/>
      <c r="G448" s="3"/>
      <c r="L448" s="3"/>
      <c r="N448" s="3"/>
    </row>
    <row r="449" spans="1:14" x14ac:dyDescent="0.2">
      <c r="A449" s="3"/>
      <c r="B449" s="3"/>
      <c r="C449" s="3"/>
      <c r="D449" s="3"/>
      <c r="E449" s="3"/>
      <c r="F449" s="3"/>
      <c r="G449" s="3"/>
      <c r="L449" s="3"/>
      <c r="N449" s="3"/>
    </row>
    <row r="450" spans="1:14" x14ac:dyDescent="0.2">
      <c r="A450" s="3"/>
      <c r="B450" s="3"/>
      <c r="C450" s="3"/>
      <c r="D450" s="3"/>
      <c r="E450" s="3"/>
      <c r="F450" s="3"/>
      <c r="G450" s="3"/>
      <c r="L450" s="3"/>
      <c r="N450" s="3"/>
    </row>
    <row r="451" spans="1:14" x14ac:dyDescent="0.2">
      <c r="A451" s="3"/>
      <c r="B451" s="3"/>
      <c r="C451" s="3"/>
      <c r="D451" s="3"/>
      <c r="E451" s="3"/>
      <c r="F451" s="3"/>
      <c r="G451" s="3"/>
      <c r="L451" s="3"/>
      <c r="N451" s="3"/>
    </row>
    <row r="452" spans="1:14" x14ac:dyDescent="0.2">
      <c r="A452" s="3"/>
      <c r="B452" s="3"/>
      <c r="C452" s="3"/>
      <c r="D452" s="3"/>
      <c r="E452" s="3"/>
      <c r="F452" s="3"/>
      <c r="G452" s="3"/>
      <c r="L452" s="3"/>
      <c r="N452" s="3"/>
    </row>
    <row r="453" spans="1:14" x14ac:dyDescent="0.2">
      <c r="A453" s="3"/>
      <c r="B453" s="3"/>
      <c r="C453" s="3"/>
      <c r="D453" s="3"/>
      <c r="E453" s="3"/>
      <c r="F453" s="3"/>
      <c r="G453" s="3"/>
      <c r="L453" s="3"/>
      <c r="N453" s="3"/>
    </row>
    <row r="454" spans="1:14" x14ac:dyDescent="0.2">
      <c r="A454" s="3"/>
      <c r="B454" s="3"/>
      <c r="C454" s="3"/>
      <c r="D454" s="3"/>
      <c r="E454" s="3"/>
      <c r="F454" s="3"/>
      <c r="G454" s="3"/>
      <c r="L454" s="3"/>
      <c r="N454" s="3"/>
    </row>
    <row r="455" spans="1:14" x14ac:dyDescent="0.2">
      <c r="A455" s="3"/>
      <c r="B455" s="3"/>
      <c r="C455" s="3"/>
      <c r="D455" s="3"/>
      <c r="E455" s="3"/>
      <c r="F455" s="3"/>
      <c r="G455" s="3"/>
      <c r="L455" s="3"/>
      <c r="N455" s="3"/>
    </row>
    <row r="456" spans="1:14" x14ac:dyDescent="0.2">
      <c r="A456" s="3"/>
      <c r="B456" s="3"/>
      <c r="C456" s="3"/>
      <c r="D456" s="3"/>
      <c r="E456" s="3"/>
      <c r="F456" s="3"/>
      <c r="G456" s="3"/>
      <c r="L456" s="3"/>
      <c r="N456" s="3"/>
    </row>
    <row r="457" spans="1:14" x14ac:dyDescent="0.2">
      <c r="A457" s="3"/>
      <c r="B457" s="3"/>
      <c r="C457" s="3"/>
      <c r="D457" s="3"/>
      <c r="E457" s="3"/>
      <c r="F457" s="3"/>
      <c r="G457" s="3"/>
      <c r="L457" s="3"/>
      <c r="N457" s="3"/>
    </row>
    <row r="458" spans="1:14" x14ac:dyDescent="0.2">
      <c r="A458" s="3"/>
      <c r="B458" s="3"/>
      <c r="C458" s="3"/>
      <c r="D458" s="3"/>
      <c r="E458" s="3"/>
      <c r="F458" s="3"/>
      <c r="G458" s="3"/>
      <c r="L458" s="3"/>
      <c r="N458" s="3"/>
    </row>
    <row r="459" spans="1:14" x14ac:dyDescent="0.2">
      <c r="A459" s="3"/>
      <c r="B459" s="3"/>
      <c r="C459" s="3"/>
      <c r="D459" s="3"/>
      <c r="E459" s="3"/>
      <c r="F459" s="3"/>
      <c r="G459" s="3"/>
      <c r="L459" s="3"/>
      <c r="N459" s="3"/>
    </row>
    <row r="460" spans="1:14" x14ac:dyDescent="0.2">
      <c r="A460" s="3"/>
      <c r="B460" s="3"/>
      <c r="C460" s="3"/>
      <c r="D460" s="3"/>
      <c r="E460" s="3"/>
      <c r="F460" s="3"/>
      <c r="G460" s="3"/>
      <c r="L460" s="3"/>
      <c r="N460" s="3"/>
    </row>
    <row r="461" spans="1:14" x14ac:dyDescent="0.2">
      <c r="A461" s="3"/>
      <c r="B461" s="3"/>
      <c r="C461" s="3"/>
      <c r="D461" s="3"/>
      <c r="E461" s="3"/>
      <c r="F461" s="3"/>
      <c r="G461" s="3"/>
      <c r="L461" s="3"/>
      <c r="N461" s="3"/>
    </row>
    <row r="462" spans="1:14" x14ac:dyDescent="0.2">
      <c r="A462" s="3"/>
      <c r="B462" s="3"/>
      <c r="C462" s="3"/>
      <c r="D462" s="3"/>
      <c r="E462" s="3"/>
      <c r="F462" s="3"/>
      <c r="G462" s="3"/>
      <c r="L462" s="3"/>
      <c r="N462" s="3"/>
    </row>
    <row r="463" spans="1:14" x14ac:dyDescent="0.2">
      <c r="A463" s="3"/>
      <c r="B463" s="3"/>
      <c r="C463" s="3"/>
      <c r="D463" s="3"/>
      <c r="E463" s="3"/>
      <c r="F463" s="3"/>
      <c r="G463" s="3"/>
      <c r="L463" s="3"/>
      <c r="N463" s="3"/>
    </row>
    <row r="464" spans="1:14" x14ac:dyDescent="0.2">
      <c r="A464" s="3"/>
      <c r="B464" s="3"/>
      <c r="C464" s="3"/>
      <c r="D464" s="3"/>
      <c r="E464" s="3"/>
      <c r="F464" s="3"/>
      <c r="G464" s="3"/>
      <c r="L464" s="3"/>
      <c r="N464" s="3"/>
    </row>
    <row r="465" spans="1:14" x14ac:dyDescent="0.2">
      <c r="A465" s="3"/>
      <c r="B465" s="3"/>
      <c r="C465" s="3"/>
      <c r="D465" s="3"/>
      <c r="E465" s="3"/>
      <c r="F465" s="3"/>
      <c r="G465" s="3"/>
      <c r="L465" s="3"/>
      <c r="N465" s="3"/>
    </row>
    <row r="466" spans="1:14" x14ac:dyDescent="0.2">
      <c r="A466" s="3"/>
      <c r="B466" s="3"/>
      <c r="C466" s="3"/>
      <c r="D466" s="3"/>
      <c r="E466" s="3"/>
      <c r="F466" s="3"/>
      <c r="G466" s="3"/>
      <c r="L466" s="3"/>
      <c r="N466" s="3"/>
    </row>
    <row r="467" spans="1:14" x14ac:dyDescent="0.2">
      <c r="A467" s="3"/>
      <c r="B467" s="3"/>
      <c r="C467" s="3"/>
      <c r="D467" s="3"/>
      <c r="E467" s="3"/>
      <c r="F467" s="3"/>
      <c r="G467" s="3"/>
      <c r="L467" s="3"/>
      <c r="N467" s="3"/>
    </row>
    <row r="468" spans="1:14" x14ac:dyDescent="0.2">
      <c r="A468" s="3"/>
      <c r="B468" s="3"/>
      <c r="C468" s="3"/>
      <c r="D468" s="3"/>
      <c r="E468" s="3"/>
      <c r="F468" s="3"/>
      <c r="G468" s="3"/>
      <c r="L468" s="3"/>
      <c r="N468" s="3"/>
    </row>
    <row r="469" spans="1:14" x14ac:dyDescent="0.2">
      <c r="A469" s="3"/>
      <c r="B469" s="3"/>
      <c r="C469" s="3"/>
      <c r="D469" s="3"/>
      <c r="E469" s="3"/>
      <c r="F469" s="3"/>
      <c r="G469" s="3"/>
      <c r="L469" s="3"/>
      <c r="N469" s="3"/>
    </row>
    <row r="470" spans="1:14" x14ac:dyDescent="0.2">
      <c r="A470" s="3"/>
      <c r="B470" s="3"/>
      <c r="C470" s="3"/>
      <c r="D470" s="3"/>
      <c r="E470" s="3"/>
      <c r="F470" s="3"/>
      <c r="G470" s="3"/>
      <c r="L470" s="3"/>
      <c r="N470" s="3"/>
    </row>
    <row r="471" spans="1:14" x14ac:dyDescent="0.2">
      <c r="A471" s="3"/>
      <c r="B471" s="3"/>
      <c r="C471" s="3"/>
      <c r="D471" s="3"/>
      <c r="E471" s="3"/>
      <c r="F471" s="3"/>
      <c r="G471" s="3"/>
      <c r="L471" s="3"/>
      <c r="N471" s="3"/>
    </row>
    <row r="472" spans="1:14" x14ac:dyDescent="0.2">
      <c r="A472" s="3"/>
      <c r="B472" s="3"/>
      <c r="C472" s="3"/>
      <c r="D472" s="3"/>
      <c r="E472" s="3"/>
      <c r="F472" s="3"/>
      <c r="G472" s="3"/>
      <c r="L472" s="3"/>
      <c r="N472" s="3"/>
    </row>
    <row r="473" spans="1:14" x14ac:dyDescent="0.2">
      <c r="A473" s="3"/>
      <c r="B473" s="3"/>
      <c r="C473" s="3"/>
      <c r="D473" s="3"/>
      <c r="E473" s="3"/>
      <c r="F473" s="3"/>
      <c r="G473" s="3"/>
      <c r="L473" s="3"/>
      <c r="N473" s="3"/>
    </row>
    <row r="474" spans="1:14" x14ac:dyDescent="0.2">
      <c r="A474" s="3"/>
      <c r="B474" s="3"/>
      <c r="C474" s="3"/>
      <c r="D474" s="3"/>
      <c r="E474" s="3"/>
      <c r="F474" s="3"/>
      <c r="G474" s="3"/>
      <c r="L474" s="3"/>
      <c r="N474" s="3"/>
    </row>
    <row r="475" spans="1:14" x14ac:dyDescent="0.2">
      <c r="A475" s="3"/>
      <c r="B475" s="3"/>
      <c r="C475" s="3"/>
      <c r="D475" s="3"/>
      <c r="E475" s="3"/>
      <c r="F475" s="3"/>
      <c r="G475" s="3"/>
      <c r="L475" s="3"/>
      <c r="N475" s="3"/>
    </row>
    <row r="476" spans="1:14" x14ac:dyDescent="0.2">
      <c r="A476" s="3"/>
      <c r="B476" s="3"/>
      <c r="C476" s="3"/>
      <c r="D476" s="3"/>
      <c r="E476" s="3"/>
      <c r="F476" s="3"/>
      <c r="G476" s="3"/>
      <c r="L476" s="3"/>
      <c r="N476" s="3"/>
    </row>
    <row r="477" spans="1:14" x14ac:dyDescent="0.2">
      <c r="A477" s="3"/>
      <c r="B477" s="3"/>
      <c r="C477" s="3"/>
      <c r="D477" s="3"/>
      <c r="E477" s="3"/>
      <c r="F477" s="3"/>
      <c r="G477" s="3"/>
      <c r="L477" s="3"/>
      <c r="N477" s="3"/>
    </row>
    <row r="478" spans="1:14" x14ac:dyDescent="0.2">
      <c r="A478" s="3"/>
      <c r="B478" s="3"/>
      <c r="C478" s="3"/>
      <c r="D478" s="3"/>
      <c r="E478" s="3"/>
      <c r="F478" s="3"/>
      <c r="G478" s="3"/>
      <c r="L478" s="3"/>
      <c r="N478" s="3"/>
    </row>
    <row r="479" spans="1:14" x14ac:dyDescent="0.2">
      <c r="A479" s="3"/>
      <c r="B479" s="3"/>
      <c r="C479" s="3"/>
      <c r="D479" s="3"/>
      <c r="E479" s="3"/>
      <c r="F479" s="3"/>
      <c r="G479" s="3"/>
      <c r="L479" s="3"/>
      <c r="N479" s="3"/>
    </row>
    <row r="480" spans="1:14" x14ac:dyDescent="0.2">
      <c r="A480" s="3"/>
      <c r="B480" s="3"/>
      <c r="C480" s="3"/>
      <c r="D480" s="3"/>
      <c r="E480" s="3"/>
      <c r="F480" s="3"/>
      <c r="G480" s="3"/>
      <c r="L480" s="3"/>
      <c r="N480" s="3"/>
    </row>
    <row r="481" spans="1:14" x14ac:dyDescent="0.2">
      <c r="A481" s="3"/>
      <c r="B481" s="3"/>
      <c r="C481" s="3"/>
      <c r="D481" s="3"/>
      <c r="E481" s="3"/>
      <c r="F481" s="3"/>
      <c r="G481" s="3"/>
      <c r="L481" s="3"/>
      <c r="N481" s="3"/>
    </row>
    <row r="482" spans="1:14" x14ac:dyDescent="0.2">
      <c r="A482" s="3"/>
      <c r="B482" s="3"/>
      <c r="C482" s="3"/>
      <c r="D482" s="3"/>
      <c r="E482" s="3"/>
      <c r="F482" s="3"/>
      <c r="G482" s="3"/>
      <c r="L482" s="3"/>
      <c r="N482" s="3"/>
    </row>
    <row r="483" spans="1:14" x14ac:dyDescent="0.2">
      <c r="A483" s="3"/>
      <c r="B483" s="3"/>
      <c r="C483" s="3"/>
      <c r="D483" s="3"/>
      <c r="E483" s="3"/>
      <c r="F483" s="3"/>
      <c r="G483" s="3"/>
      <c r="L483" s="3"/>
      <c r="N483" s="3"/>
    </row>
    <row r="484" spans="1:14" x14ac:dyDescent="0.2">
      <c r="A484" s="3"/>
      <c r="B484" s="3"/>
      <c r="C484" s="3"/>
      <c r="D484" s="3"/>
      <c r="E484" s="3"/>
      <c r="F484" s="3"/>
      <c r="G484" s="3"/>
      <c r="L484" s="3"/>
      <c r="N484" s="3"/>
    </row>
    <row r="485" spans="1:14" x14ac:dyDescent="0.2">
      <c r="A485" s="3"/>
      <c r="B485" s="3"/>
      <c r="C485" s="3"/>
      <c r="D485" s="3"/>
      <c r="E485" s="3"/>
      <c r="F485" s="3"/>
      <c r="G485" s="3"/>
      <c r="L485" s="3"/>
      <c r="N485" s="3"/>
    </row>
    <row r="486" spans="1:14" x14ac:dyDescent="0.2">
      <c r="A486" s="3"/>
      <c r="B486" s="3"/>
      <c r="C486" s="3"/>
      <c r="D486" s="3"/>
      <c r="E486" s="3"/>
      <c r="F486" s="3"/>
      <c r="G486" s="3"/>
      <c r="L486" s="3"/>
      <c r="N486" s="3"/>
    </row>
    <row r="487" spans="1:14" x14ac:dyDescent="0.2">
      <c r="A487" s="3"/>
      <c r="B487" s="3"/>
      <c r="C487" s="3"/>
      <c r="D487" s="3"/>
      <c r="E487" s="3"/>
      <c r="F487" s="3"/>
      <c r="G487" s="3"/>
      <c r="L487" s="3"/>
      <c r="N487" s="3"/>
    </row>
    <row r="488" spans="1:14" x14ac:dyDescent="0.2">
      <c r="A488" s="3"/>
      <c r="B488" s="3"/>
      <c r="C488" s="3"/>
      <c r="D488" s="3"/>
      <c r="E488" s="3"/>
      <c r="F488" s="3"/>
      <c r="G488" s="3"/>
      <c r="L488" s="3"/>
      <c r="N488" s="3"/>
    </row>
    <row r="489" spans="1:14" x14ac:dyDescent="0.2">
      <c r="A489" s="3"/>
      <c r="B489" s="3"/>
      <c r="C489" s="3"/>
      <c r="D489" s="3"/>
      <c r="E489" s="3"/>
      <c r="F489" s="3"/>
      <c r="G489" s="3"/>
      <c r="L489" s="3"/>
      <c r="N489" s="3"/>
    </row>
    <row r="490" spans="1:14" x14ac:dyDescent="0.2">
      <c r="A490" s="3"/>
      <c r="B490" s="3"/>
      <c r="C490" s="3"/>
      <c r="D490" s="3"/>
      <c r="E490" s="3"/>
      <c r="F490" s="3"/>
      <c r="G490" s="3"/>
      <c r="L490" s="3"/>
      <c r="N490" s="3"/>
    </row>
    <row r="491" spans="1:14" x14ac:dyDescent="0.2">
      <c r="A491" s="3"/>
      <c r="B491" s="3"/>
      <c r="C491" s="3"/>
      <c r="D491" s="3"/>
      <c r="E491" s="3"/>
      <c r="F491" s="3"/>
      <c r="G491" s="3"/>
      <c r="L491" s="3"/>
      <c r="N491" s="3"/>
    </row>
    <row r="492" spans="1:14" x14ac:dyDescent="0.2">
      <c r="A492" s="3"/>
      <c r="B492" s="3"/>
      <c r="C492" s="3"/>
      <c r="D492" s="3"/>
      <c r="E492" s="3"/>
      <c r="F492" s="3"/>
      <c r="G492" s="3"/>
      <c r="L492" s="3"/>
      <c r="N492" s="3"/>
    </row>
    <row r="493" spans="1:14" x14ac:dyDescent="0.2">
      <c r="A493" s="3"/>
      <c r="B493" s="3"/>
      <c r="C493" s="3"/>
      <c r="D493" s="3"/>
      <c r="E493" s="3"/>
      <c r="F493" s="3"/>
      <c r="G493" s="3"/>
      <c r="L493" s="3"/>
      <c r="N493" s="3"/>
    </row>
    <row r="494" spans="1:14" x14ac:dyDescent="0.2">
      <c r="A494" s="3"/>
      <c r="B494" s="3"/>
      <c r="C494" s="3"/>
      <c r="D494" s="3"/>
      <c r="E494" s="3"/>
      <c r="F494" s="3"/>
      <c r="G494" s="3"/>
      <c r="L494" s="3"/>
      <c r="N494" s="3"/>
    </row>
    <row r="495" spans="1:14" x14ac:dyDescent="0.2">
      <c r="A495" s="3"/>
      <c r="B495" s="3"/>
      <c r="C495" s="3"/>
      <c r="D495" s="3"/>
      <c r="E495" s="3"/>
      <c r="F495" s="3"/>
      <c r="G495" s="3"/>
      <c r="L495" s="3"/>
      <c r="N495" s="3"/>
    </row>
    <row r="496" spans="1:14" x14ac:dyDescent="0.2">
      <c r="A496" s="3"/>
      <c r="B496" s="3"/>
      <c r="C496" s="3"/>
      <c r="D496" s="3"/>
      <c r="E496" s="3"/>
      <c r="F496" s="3"/>
      <c r="G496" s="3"/>
      <c r="L496" s="3"/>
      <c r="N496" s="3"/>
    </row>
    <row r="497" spans="1:14" x14ac:dyDescent="0.2">
      <c r="A497" s="3"/>
      <c r="B497" s="3"/>
      <c r="C497" s="3"/>
      <c r="D497" s="3"/>
      <c r="E497" s="3"/>
      <c r="F497" s="3"/>
      <c r="G497" s="3"/>
      <c r="L497" s="3"/>
      <c r="N497" s="3"/>
    </row>
    <row r="498" spans="1:14" x14ac:dyDescent="0.2">
      <c r="A498" s="3"/>
      <c r="B498" s="3"/>
      <c r="C498" s="3"/>
      <c r="D498" s="3"/>
      <c r="E498" s="3"/>
      <c r="F498" s="3"/>
      <c r="G498" s="3"/>
      <c r="L498" s="3"/>
      <c r="N498" s="3"/>
    </row>
  </sheetData>
  <mergeCells count="27">
    <mergeCell ref="A42:N42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87:N87"/>
    <mergeCell ref="A79:N79"/>
    <mergeCell ref="A72:N72"/>
    <mergeCell ref="A66:N66"/>
    <mergeCell ref="A52:N52"/>
    <mergeCell ref="A36:N36"/>
    <mergeCell ref="A33:N33"/>
    <mergeCell ref="B3:B4"/>
    <mergeCell ref="A30:N30"/>
    <mergeCell ref="A27:N27"/>
    <mergeCell ref="A24:N24"/>
    <mergeCell ref="A19:N19"/>
    <mergeCell ref="A13:N13"/>
    <mergeCell ref="A8:N8"/>
    <mergeCell ref="A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90" zoomScaleNormal="90" workbookViewId="0">
      <selection activeCell="D21" sqref="D21"/>
    </sheetView>
  </sheetViews>
  <sheetFormatPr defaultRowHeight="12.75" x14ac:dyDescent="0.2"/>
  <cols>
    <col min="1" max="1" width="26" style="4" bestFit="1" customWidth="1"/>
    <col min="2" max="2" width="13.28515625" style="4" customWidth="1"/>
    <col min="3" max="3" width="22.855468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4.42578125" style="4" bestFit="1" customWidth="1"/>
    <col min="8" max="10" width="5.5703125" style="3" bestFit="1" customWidth="1"/>
    <col min="11" max="11" width="4.85546875" style="3" bestFit="1" customWidth="1"/>
    <col min="12" max="12" width="11.5703125" style="4" customWidth="1"/>
    <col min="13" max="13" width="8.5703125" style="3" bestFit="1" customWidth="1"/>
    <col min="14" max="14" width="11.140625" style="4" bestFit="1" customWidth="1"/>
    <col min="15" max="257" width="9.140625" style="3"/>
    <col min="258" max="258" width="26" style="3" bestFit="1" customWidth="1"/>
    <col min="259" max="259" width="22.855468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4.42578125" style="3" bestFit="1" customWidth="1"/>
    <col min="264" max="266" width="5.5703125" style="3" bestFit="1" customWidth="1"/>
    <col min="267" max="267" width="4.85546875" style="3" bestFit="1" customWidth="1"/>
    <col min="268" max="268" width="11.5703125" style="3" customWidth="1"/>
    <col min="269" max="269" width="8.5703125" style="3" bestFit="1" customWidth="1"/>
    <col min="270" max="270" width="11.140625" style="3" bestFit="1" customWidth="1"/>
    <col min="271" max="513" width="9.140625" style="3"/>
    <col min="514" max="514" width="26" style="3" bestFit="1" customWidth="1"/>
    <col min="515" max="515" width="22.855468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4.42578125" style="3" bestFit="1" customWidth="1"/>
    <col min="520" max="522" width="5.5703125" style="3" bestFit="1" customWidth="1"/>
    <col min="523" max="523" width="4.85546875" style="3" bestFit="1" customWidth="1"/>
    <col min="524" max="524" width="11.5703125" style="3" customWidth="1"/>
    <col min="525" max="525" width="8.5703125" style="3" bestFit="1" customWidth="1"/>
    <col min="526" max="526" width="11.140625" style="3" bestFit="1" customWidth="1"/>
    <col min="527" max="769" width="9.140625" style="3"/>
    <col min="770" max="770" width="26" style="3" bestFit="1" customWidth="1"/>
    <col min="771" max="771" width="22.855468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4.42578125" style="3" bestFit="1" customWidth="1"/>
    <col min="776" max="778" width="5.5703125" style="3" bestFit="1" customWidth="1"/>
    <col min="779" max="779" width="4.85546875" style="3" bestFit="1" customWidth="1"/>
    <col min="780" max="780" width="11.5703125" style="3" customWidth="1"/>
    <col min="781" max="781" width="8.5703125" style="3" bestFit="1" customWidth="1"/>
    <col min="782" max="782" width="11.140625" style="3" bestFit="1" customWidth="1"/>
    <col min="783" max="1025" width="9.140625" style="3"/>
    <col min="1026" max="1026" width="26" style="3" bestFit="1" customWidth="1"/>
    <col min="1027" max="1027" width="22.855468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4.42578125" style="3" bestFit="1" customWidth="1"/>
    <col min="1032" max="1034" width="5.5703125" style="3" bestFit="1" customWidth="1"/>
    <col min="1035" max="1035" width="4.85546875" style="3" bestFit="1" customWidth="1"/>
    <col min="1036" max="1036" width="11.5703125" style="3" customWidth="1"/>
    <col min="1037" max="1037" width="8.5703125" style="3" bestFit="1" customWidth="1"/>
    <col min="1038" max="1038" width="11.140625" style="3" bestFit="1" customWidth="1"/>
    <col min="1039" max="1281" width="9.140625" style="3"/>
    <col min="1282" max="1282" width="26" style="3" bestFit="1" customWidth="1"/>
    <col min="1283" max="1283" width="22.855468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4.42578125" style="3" bestFit="1" customWidth="1"/>
    <col min="1288" max="1290" width="5.5703125" style="3" bestFit="1" customWidth="1"/>
    <col min="1291" max="1291" width="4.85546875" style="3" bestFit="1" customWidth="1"/>
    <col min="1292" max="1292" width="11.5703125" style="3" customWidth="1"/>
    <col min="1293" max="1293" width="8.5703125" style="3" bestFit="1" customWidth="1"/>
    <col min="1294" max="1294" width="11.140625" style="3" bestFit="1" customWidth="1"/>
    <col min="1295" max="1537" width="9.140625" style="3"/>
    <col min="1538" max="1538" width="26" style="3" bestFit="1" customWidth="1"/>
    <col min="1539" max="1539" width="22.855468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4.42578125" style="3" bestFit="1" customWidth="1"/>
    <col min="1544" max="1546" width="5.5703125" style="3" bestFit="1" customWidth="1"/>
    <col min="1547" max="1547" width="4.85546875" style="3" bestFit="1" customWidth="1"/>
    <col min="1548" max="1548" width="11.5703125" style="3" customWidth="1"/>
    <col min="1549" max="1549" width="8.5703125" style="3" bestFit="1" customWidth="1"/>
    <col min="1550" max="1550" width="11.140625" style="3" bestFit="1" customWidth="1"/>
    <col min="1551" max="1793" width="9.140625" style="3"/>
    <col min="1794" max="1794" width="26" style="3" bestFit="1" customWidth="1"/>
    <col min="1795" max="1795" width="22.855468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4.42578125" style="3" bestFit="1" customWidth="1"/>
    <col min="1800" max="1802" width="5.5703125" style="3" bestFit="1" customWidth="1"/>
    <col min="1803" max="1803" width="4.85546875" style="3" bestFit="1" customWidth="1"/>
    <col min="1804" max="1804" width="11.5703125" style="3" customWidth="1"/>
    <col min="1805" max="1805" width="8.5703125" style="3" bestFit="1" customWidth="1"/>
    <col min="1806" max="1806" width="11.140625" style="3" bestFit="1" customWidth="1"/>
    <col min="1807" max="2049" width="9.140625" style="3"/>
    <col min="2050" max="2050" width="26" style="3" bestFit="1" customWidth="1"/>
    <col min="2051" max="2051" width="22.855468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4.42578125" style="3" bestFit="1" customWidth="1"/>
    <col min="2056" max="2058" width="5.5703125" style="3" bestFit="1" customWidth="1"/>
    <col min="2059" max="2059" width="4.85546875" style="3" bestFit="1" customWidth="1"/>
    <col min="2060" max="2060" width="11.5703125" style="3" customWidth="1"/>
    <col min="2061" max="2061" width="8.5703125" style="3" bestFit="1" customWidth="1"/>
    <col min="2062" max="2062" width="11.140625" style="3" bestFit="1" customWidth="1"/>
    <col min="2063" max="2305" width="9.140625" style="3"/>
    <col min="2306" max="2306" width="26" style="3" bestFit="1" customWidth="1"/>
    <col min="2307" max="2307" width="22.855468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4.42578125" style="3" bestFit="1" customWidth="1"/>
    <col min="2312" max="2314" width="5.5703125" style="3" bestFit="1" customWidth="1"/>
    <col min="2315" max="2315" width="4.85546875" style="3" bestFit="1" customWidth="1"/>
    <col min="2316" max="2316" width="11.5703125" style="3" customWidth="1"/>
    <col min="2317" max="2317" width="8.5703125" style="3" bestFit="1" customWidth="1"/>
    <col min="2318" max="2318" width="11.140625" style="3" bestFit="1" customWidth="1"/>
    <col min="2319" max="2561" width="9.140625" style="3"/>
    <col min="2562" max="2562" width="26" style="3" bestFit="1" customWidth="1"/>
    <col min="2563" max="2563" width="22.855468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4.42578125" style="3" bestFit="1" customWidth="1"/>
    <col min="2568" max="2570" width="5.5703125" style="3" bestFit="1" customWidth="1"/>
    <col min="2571" max="2571" width="4.85546875" style="3" bestFit="1" customWidth="1"/>
    <col min="2572" max="2572" width="11.5703125" style="3" customWidth="1"/>
    <col min="2573" max="2573" width="8.5703125" style="3" bestFit="1" customWidth="1"/>
    <col min="2574" max="2574" width="11.140625" style="3" bestFit="1" customWidth="1"/>
    <col min="2575" max="2817" width="9.140625" style="3"/>
    <col min="2818" max="2818" width="26" style="3" bestFit="1" customWidth="1"/>
    <col min="2819" max="2819" width="22.855468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4.42578125" style="3" bestFit="1" customWidth="1"/>
    <col min="2824" max="2826" width="5.5703125" style="3" bestFit="1" customWidth="1"/>
    <col min="2827" max="2827" width="4.85546875" style="3" bestFit="1" customWidth="1"/>
    <col min="2828" max="2828" width="11.5703125" style="3" customWidth="1"/>
    <col min="2829" max="2829" width="8.5703125" style="3" bestFit="1" customWidth="1"/>
    <col min="2830" max="2830" width="11.140625" style="3" bestFit="1" customWidth="1"/>
    <col min="2831" max="3073" width="9.140625" style="3"/>
    <col min="3074" max="3074" width="26" style="3" bestFit="1" customWidth="1"/>
    <col min="3075" max="3075" width="22.855468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4.42578125" style="3" bestFit="1" customWidth="1"/>
    <col min="3080" max="3082" width="5.5703125" style="3" bestFit="1" customWidth="1"/>
    <col min="3083" max="3083" width="4.85546875" style="3" bestFit="1" customWidth="1"/>
    <col min="3084" max="3084" width="11.5703125" style="3" customWidth="1"/>
    <col min="3085" max="3085" width="8.5703125" style="3" bestFit="1" customWidth="1"/>
    <col min="3086" max="3086" width="11.140625" style="3" bestFit="1" customWidth="1"/>
    <col min="3087" max="3329" width="9.140625" style="3"/>
    <col min="3330" max="3330" width="26" style="3" bestFit="1" customWidth="1"/>
    <col min="3331" max="3331" width="22.855468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4.42578125" style="3" bestFit="1" customWidth="1"/>
    <col min="3336" max="3338" width="5.5703125" style="3" bestFit="1" customWidth="1"/>
    <col min="3339" max="3339" width="4.85546875" style="3" bestFit="1" customWidth="1"/>
    <col min="3340" max="3340" width="11.5703125" style="3" customWidth="1"/>
    <col min="3341" max="3341" width="8.5703125" style="3" bestFit="1" customWidth="1"/>
    <col min="3342" max="3342" width="11.140625" style="3" bestFit="1" customWidth="1"/>
    <col min="3343" max="3585" width="9.140625" style="3"/>
    <col min="3586" max="3586" width="26" style="3" bestFit="1" customWidth="1"/>
    <col min="3587" max="3587" width="22.855468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4.42578125" style="3" bestFit="1" customWidth="1"/>
    <col min="3592" max="3594" width="5.5703125" style="3" bestFit="1" customWidth="1"/>
    <col min="3595" max="3595" width="4.85546875" style="3" bestFit="1" customWidth="1"/>
    <col min="3596" max="3596" width="11.5703125" style="3" customWidth="1"/>
    <col min="3597" max="3597" width="8.5703125" style="3" bestFit="1" customWidth="1"/>
    <col min="3598" max="3598" width="11.140625" style="3" bestFit="1" customWidth="1"/>
    <col min="3599" max="3841" width="9.140625" style="3"/>
    <col min="3842" max="3842" width="26" style="3" bestFit="1" customWidth="1"/>
    <col min="3843" max="3843" width="22.855468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4.42578125" style="3" bestFit="1" customWidth="1"/>
    <col min="3848" max="3850" width="5.5703125" style="3" bestFit="1" customWidth="1"/>
    <col min="3851" max="3851" width="4.85546875" style="3" bestFit="1" customWidth="1"/>
    <col min="3852" max="3852" width="11.5703125" style="3" customWidth="1"/>
    <col min="3853" max="3853" width="8.5703125" style="3" bestFit="1" customWidth="1"/>
    <col min="3854" max="3854" width="11.140625" style="3" bestFit="1" customWidth="1"/>
    <col min="3855" max="4097" width="9.140625" style="3"/>
    <col min="4098" max="4098" width="26" style="3" bestFit="1" customWidth="1"/>
    <col min="4099" max="4099" width="22.855468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4.42578125" style="3" bestFit="1" customWidth="1"/>
    <col min="4104" max="4106" width="5.5703125" style="3" bestFit="1" customWidth="1"/>
    <col min="4107" max="4107" width="4.85546875" style="3" bestFit="1" customWidth="1"/>
    <col min="4108" max="4108" width="11.5703125" style="3" customWidth="1"/>
    <col min="4109" max="4109" width="8.5703125" style="3" bestFit="1" customWidth="1"/>
    <col min="4110" max="4110" width="11.140625" style="3" bestFit="1" customWidth="1"/>
    <col min="4111" max="4353" width="9.140625" style="3"/>
    <col min="4354" max="4354" width="26" style="3" bestFit="1" customWidth="1"/>
    <col min="4355" max="4355" width="22.855468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4.42578125" style="3" bestFit="1" customWidth="1"/>
    <col min="4360" max="4362" width="5.5703125" style="3" bestFit="1" customWidth="1"/>
    <col min="4363" max="4363" width="4.85546875" style="3" bestFit="1" customWidth="1"/>
    <col min="4364" max="4364" width="11.5703125" style="3" customWidth="1"/>
    <col min="4365" max="4365" width="8.5703125" style="3" bestFit="1" customWidth="1"/>
    <col min="4366" max="4366" width="11.140625" style="3" bestFit="1" customWidth="1"/>
    <col min="4367" max="4609" width="9.140625" style="3"/>
    <col min="4610" max="4610" width="26" style="3" bestFit="1" customWidth="1"/>
    <col min="4611" max="4611" width="22.855468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4.42578125" style="3" bestFit="1" customWidth="1"/>
    <col min="4616" max="4618" width="5.5703125" style="3" bestFit="1" customWidth="1"/>
    <col min="4619" max="4619" width="4.85546875" style="3" bestFit="1" customWidth="1"/>
    <col min="4620" max="4620" width="11.5703125" style="3" customWidth="1"/>
    <col min="4621" max="4621" width="8.5703125" style="3" bestFit="1" customWidth="1"/>
    <col min="4622" max="4622" width="11.140625" style="3" bestFit="1" customWidth="1"/>
    <col min="4623" max="4865" width="9.140625" style="3"/>
    <col min="4866" max="4866" width="26" style="3" bestFit="1" customWidth="1"/>
    <col min="4867" max="4867" width="22.855468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4.42578125" style="3" bestFit="1" customWidth="1"/>
    <col min="4872" max="4874" width="5.5703125" style="3" bestFit="1" customWidth="1"/>
    <col min="4875" max="4875" width="4.85546875" style="3" bestFit="1" customWidth="1"/>
    <col min="4876" max="4876" width="11.5703125" style="3" customWidth="1"/>
    <col min="4877" max="4877" width="8.5703125" style="3" bestFit="1" customWidth="1"/>
    <col min="4878" max="4878" width="11.140625" style="3" bestFit="1" customWidth="1"/>
    <col min="4879" max="5121" width="9.140625" style="3"/>
    <col min="5122" max="5122" width="26" style="3" bestFit="1" customWidth="1"/>
    <col min="5123" max="5123" width="22.855468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4.42578125" style="3" bestFit="1" customWidth="1"/>
    <col min="5128" max="5130" width="5.5703125" style="3" bestFit="1" customWidth="1"/>
    <col min="5131" max="5131" width="4.85546875" style="3" bestFit="1" customWidth="1"/>
    <col min="5132" max="5132" width="11.5703125" style="3" customWidth="1"/>
    <col min="5133" max="5133" width="8.5703125" style="3" bestFit="1" customWidth="1"/>
    <col min="5134" max="5134" width="11.140625" style="3" bestFit="1" customWidth="1"/>
    <col min="5135" max="5377" width="9.140625" style="3"/>
    <col min="5378" max="5378" width="26" style="3" bestFit="1" customWidth="1"/>
    <col min="5379" max="5379" width="22.855468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4.42578125" style="3" bestFit="1" customWidth="1"/>
    <col min="5384" max="5386" width="5.5703125" style="3" bestFit="1" customWidth="1"/>
    <col min="5387" max="5387" width="4.85546875" style="3" bestFit="1" customWidth="1"/>
    <col min="5388" max="5388" width="11.5703125" style="3" customWidth="1"/>
    <col min="5389" max="5389" width="8.5703125" style="3" bestFit="1" customWidth="1"/>
    <col min="5390" max="5390" width="11.140625" style="3" bestFit="1" customWidth="1"/>
    <col min="5391" max="5633" width="9.140625" style="3"/>
    <col min="5634" max="5634" width="26" style="3" bestFit="1" customWidth="1"/>
    <col min="5635" max="5635" width="22.855468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4.42578125" style="3" bestFit="1" customWidth="1"/>
    <col min="5640" max="5642" width="5.5703125" style="3" bestFit="1" customWidth="1"/>
    <col min="5643" max="5643" width="4.85546875" style="3" bestFit="1" customWidth="1"/>
    <col min="5644" max="5644" width="11.5703125" style="3" customWidth="1"/>
    <col min="5645" max="5645" width="8.5703125" style="3" bestFit="1" customWidth="1"/>
    <col min="5646" max="5646" width="11.140625" style="3" bestFit="1" customWidth="1"/>
    <col min="5647" max="5889" width="9.140625" style="3"/>
    <col min="5890" max="5890" width="26" style="3" bestFit="1" customWidth="1"/>
    <col min="5891" max="5891" width="22.855468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4.42578125" style="3" bestFit="1" customWidth="1"/>
    <col min="5896" max="5898" width="5.5703125" style="3" bestFit="1" customWidth="1"/>
    <col min="5899" max="5899" width="4.85546875" style="3" bestFit="1" customWidth="1"/>
    <col min="5900" max="5900" width="11.5703125" style="3" customWidth="1"/>
    <col min="5901" max="5901" width="8.5703125" style="3" bestFit="1" customWidth="1"/>
    <col min="5902" max="5902" width="11.140625" style="3" bestFit="1" customWidth="1"/>
    <col min="5903" max="6145" width="9.140625" style="3"/>
    <col min="6146" max="6146" width="26" style="3" bestFit="1" customWidth="1"/>
    <col min="6147" max="6147" width="22.855468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4.42578125" style="3" bestFit="1" customWidth="1"/>
    <col min="6152" max="6154" width="5.5703125" style="3" bestFit="1" customWidth="1"/>
    <col min="6155" max="6155" width="4.85546875" style="3" bestFit="1" customWidth="1"/>
    <col min="6156" max="6156" width="11.5703125" style="3" customWidth="1"/>
    <col min="6157" max="6157" width="8.5703125" style="3" bestFit="1" customWidth="1"/>
    <col min="6158" max="6158" width="11.140625" style="3" bestFit="1" customWidth="1"/>
    <col min="6159" max="6401" width="9.140625" style="3"/>
    <col min="6402" max="6402" width="26" style="3" bestFit="1" customWidth="1"/>
    <col min="6403" max="6403" width="22.855468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4.42578125" style="3" bestFit="1" customWidth="1"/>
    <col min="6408" max="6410" width="5.5703125" style="3" bestFit="1" customWidth="1"/>
    <col min="6411" max="6411" width="4.85546875" style="3" bestFit="1" customWidth="1"/>
    <col min="6412" max="6412" width="11.5703125" style="3" customWidth="1"/>
    <col min="6413" max="6413" width="8.5703125" style="3" bestFit="1" customWidth="1"/>
    <col min="6414" max="6414" width="11.140625" style="3" bestFit="1" customWidth="1"/>
    <col min="6415" max="6657" width="9.140625" style="3"/>
    <col min="6658" max="6658" width="26" style="3" bestFit="1" customWidth="1"/>
    <col min="6659" max="6659" width="22.855468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4.42578125" style="3" bestFit="1" customWidth="1"/>
    <col min="6664" max="6666" width="5.5703125" style="3" bestFit="1" customWidth="1"/>
    <col min="6667" max="6667" width="4.85546875" style="3" bestFit="1" customWidth="1"/>
    <col min="6668" max="6668" width="11.5703125" style="3" customWidth="1"/>
    <col min="6669" max="6669" width="8.5703125" style="3" bestFit="1" customWidth="1"/>
    <col min="6670" max="6670" width="11.140625" style="3" bestFit="1" customWidth="1"/>
    <col min="6671" max="6913" width="9.140625" style="3"/>
    <col min="6914" max="6914" width="26" style="3" bestFit="1" customWidth="1"/>
    <col min="6915" max="6915" width="22.855468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4.42578125" style="3" bestFit="1" customWidth="1"/>
    <col min="6920" max="6922" width="5.5703125" style="3" bestFit="1" customWidth="1"/>
    <col min="6923" max="6923" width="4.85546875" style="3" bestFit="1" customWidth="1"/>
    <col min="6924" max="6924" width="11.5703125" style="3" customWidth="1"/>
    <col min="6925" max="6925" width="8.5703125" style="3" bestFit="1" customWidth="1"/>
    <col min="6926" max="6926" width="11.140625" style="3" bestFit="1" customWidth="1"/>
    <col min="6927" max="7169" width="9.140625" style="3"/>
    <col min="7170" max="7170" width="26" style="3" bestFit="1" customWidth="1"/>
    <col min="7171" max="7171" width="22.855468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4.42578125" style="3" bestFit="1" customWidth="1"/>
    <col min="7176" max="7178" width="5.5703125" style="3" bestFit="1" customWidth="1"/>
    <col min="7179" max="7179" width="4.85546875" style="3" bestFit="1" customWidth="1"/>
    <col min="7180" max="7180" width="11.5703125" style="3" customWidth="1"/>
    <col min="7181" max="7181" width="8.5703125" style="3" bestFit="1" customWidth="1"/>
    <col min="7182" max="7182" width="11.140625" style="3" bestFit="1" customWidth="1"/>
    <col min="7183" max="7425" width="9.140625" style="3"/>
    <col min="7426" max="7426" width="26" style="3" bestFit="1" customWidth="1"/>
    <col min="7427" max="7427" width="22.855468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4.42578125" style="3" bestFit="1" customWidth="1"/>
    <col min="7432" max="7434" width="5.5703125" style="3" bestFit="1" customWidth="1"/>
    <col min="7435" max="7435" width="4.85546875" style="3" bestFit="1" customWidth="1"/>
    <col min="7436" max="7436" width="11.5703125" style="3" customWidth="1"/>
    <col min="7437" max="7437" width="8.5703125" style="3" bestFit="1" customWidth="1"/>
    <col min="7438" max="7438" width="11.140625" style="3" bestFit="1" customWidth="1"/>
    <col min="7439" max="7681" width="9.140625" style="3"/>
    <col min="7682" max="7682" width="26" style="3" bestFit="1" customWidth="1"/>
    <col min="7683" max="7683" width="22.855468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4.42578125" style="3" bestFit="1" customWidth="1"/>
    <col min="7688" max="7690" width="5.5703125" style="3" bestFit="1" customWidth="1"/>
    <col min="7691" max="7691" width="4.85546875" style="3" bestFit="1" customWidth="1"/>
    <col min="7692" max="7692" width="11.5703125" style="3" customWidth="1"/>
    <col min="7693" max="7693" width="8.5703125" style="3" bestFit="1" customWidth="1"/>
    <col min="7694" max="7694" width="11.140625" style="3" bestFit="1" customWidth="1"/>
    <col min="7695" max="7937" width="9.140625" style="3"/>
    <col min="7938" max="7938" width="26" style="3" bestFit="1" customWidth="1"/>
    <col min="7939" max="7939" width="22.855468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4.42578125" style="3" bestFit="1" customWidth="1"/>
    <col min="7944" max="7946" width="5.5703125" style="3" bestFit="1" customWidth="1"/>
    <col min="7947" max="7947" width="4.85546875" style="3" bestFit="1" customWidth="1"/>
    <col min="7948" max="7948" width="11.5703125" style="3" customWidth="1"/>
    <col min="7949" max="7949" width="8.5703125" style="3" bestFit="1" customWidth="1"/>
    <col min="7950" max="7950" width="11.140625" style="3" bestFit="1" customWidth="1"/>
    <col min="7951" max="8193" width="9.140625" style="3"/>
    <col min="8194" max="8194" width="26" style="3" bestFit="1" customWidth="1"/>
    <col min="8195" max="8195" width="22.855468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4.42578125" style="3" bestFit="1" customWidth="1"/>
    <col min="8200" max="8202" width="5.5703125" style="3" bestFit="1" customWidth="1"/>
    <col min="8203" max="8203" width="4.85546875" style="3" bestFit="1" customWidth="1"/>
    <col min="8204" max="8204" width="11.5703125" style="3" customWidth="1"/>
    <col min="8205" max="8205" width="8.5703125" style="3" bestFit="1" customWidth="1"/>
    <col min="8206" max="8206" width="11.140625" style="3" bestFit="1" customWidth="1"/>
    <col min="8207" max="8449" width="9.140625" style="3"/>
    <col min="8450" max="8450" width="26" style="3" bestFit="1" customWidth="1"/>
    <col min="8451" max="8451" width="22.855468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4.42578125" style="3" bestFit="1" customWidth="1"/>
    <col min="8456" max="8458" width="5.5703125" style="3" bestFit="1" customWidth="1"/>
    <col min="8459" max="8459" width="4.85546875" style="3" bestFit="1" customWidth="1"/>
    <col min="8460" max="8460" width="11.5703125" style="3" customWidth="1"/>
    <col min="8461" max="8461" width="8.5703125" style="3" bestFit="1" customWidth="1"/>
    <col min="8462" max="8462" width="11.140625" style="3" bestFit="1" customWidth="1"/>
    <col min="8463" max="8705" width="9.140625" style="3"/>
    <col min="8706" max="8706" width="26" style="3" bestFit="1" customWidth="1"/>
    <col min="8707" max="8707" width="22.855468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4.42578125" style="3" bestFit="1" customWidth="1"/>
    <col min="8712" max="8714" width="5.5703125" style="3" bestFit="1" customWidth="1"/>
    <col min="8715" max="8715" width="4.85546875" style="3" bestFit="1" customWidth="1"/>
    <col min="8716" max="8716" width="11.5703125" style="3" customWidth="1"/>
    <col min="8717" max="8717" width="8.5703125" style="3" bestFit="1" customWidth="1"/>
    <col min="8718" max="8718" width="11.140625" style="3" bestFit="1" customWidth="1"/>
    <col min="8719" max="8961" width="9.140625" style="3"/>
    <col min="8962" max="8962" width="26" style="3" bestFit="1" customWidth="1"/>
    <col min="8963" max="8963" width="22.855468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4.42578125" style="3" bestFit="1" customWidth="1"/>
    <col min="8968" max="8970" width="5.5703125" style="3" bestFit="1" customWidth="1"/>
    <col min="8971" max="8971" width="4.85546875" style="3" bestFit="1" customWidth="1"/>
    <col min="8972" max="8972" width="11.5703125" style="3" customWidth="1"/>
    <col min="8973" max="8973" width="8.5703125" style="3" bestFit="1" customWidth="1"/>
    <col min="8974" max="8974" width="11.140625" style="3" bestFit="1" customWidth="1"/>
    <col min="8975" max="9217" width="9.140625" style="3"/>
    <col min="9218" max="9218" width="26" style="3" bestFit="1" customWidth="1"/>
    <col min="9219" max="9219" width="22.855468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4.42578125" style="3" bestFit="1" customWidth="1"/>
    <col min="9224" max="9226" width="5.5703125" style="3" bestFit="1" customWidth="1"/>
    <col min="9227" max="9227" width="4.85546875" style="3" bestFit="1" customWidth="1"/>
    <col min="9228" max="9228" width="11.5703125" style="3" customWidth="1"/>
    <col min="9229" max="9229" width="8.5703125" style="3" bestFit="1" customWidth="1"/>
    <col min="9230" max="9230" width="11.140625" style="3" bestFit="1" customWidth="1"/>
    <col min="9231" max="9473" width="9.140625" style="3"/>
    <col min="9474" max="9474" width="26" style="3" bestFit="1" customWidth="1"/>
    <col min="9475" max="9475" width="22.855468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4.42578125" style="3" bestFit="1" customWidth="1"/>
    <col min="9480" max="9482" width="5.5703125" style="3" bestFit="1" customWidth="1"/>
    <col min="9483" max="9483" width="4.85546875" style="3" bestFit="1" customWidth="1"/>
    <col min="9484" max="9484" width="11.5703125" style="3" customWidth="1"/>
    <col min="9485" max="9485" width="8.5703125" style="3" bestFit="1" customWidth="1"/>
    <col min="9486" max="9486" width="11.140625" style="3" bestFit="1" customWidth="1"/>
    <col min="9487" max="9729" width="9.140625" style="3"/>
    <col min="9730" max="9730" width="26" style="3" bestFit="1" customWidth="1"/>
    <col min="9731" max="9731" width="22.855468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4.42578125" style="3" bestFit="1" customWidth="1"/>
    <col min="9736" max="9738" width="5.5703125" style="3" bestFit="1" customWidth="1"/>
    <col min="9739" max="9739" width="4.85546875" style="3" bestFit="1" customWidth="1"/>
    <col min="9740" max="9740" width="11.5703125" style="3" customWidth="1"/>
    <col min="9741" max="9741" width="8.5703125" style="3" bestFit="1" customWidth="1"/>
    <col min="9742" max="9742" width="11.140625" style="3" bestFit="1" customWidth="1"/>
    <col min="9743" max="9985" width="9.140625" style="3"/>
    <col min="9986" max="9986" width="26" style="3" bestFit="1" customWidth="1"/>
    <col min="9987" max="9987" width="22.855468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4.42578125" style="3" bestFit="1" customWidth="1"/>
    <col min="9992" max="9994" width="5.5703125" style="3" bestFit="1" customWidth="1"/>
    <col min="9995" max="9995" width="4.85546875" style="3" bestFit="1" customWidth="1"/>
    <col min="9996" max="9996" width="11.5703125" style="3" customWidth="1"/>
    <col min="9997" max="9997" width="8.5703125" style="3" bestFit="1" customWidth="1"/>
    <col min="9998" max="9998" width="11.140625" style="3" bestFit="1" customWidth="1"/>
    <col min="9999" max="10241" width="9.140625" style="3"/>
    <col min="10242" max="10242" width="26" style="3" bestFit="1" customWidth="1"/>
    <col min="10243" max="10243" width="22.855468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4.42578125" style="3" bestFit="1" customWidth="1"/>
    <col min="10248" max="10250" width="5.5703125" style="3" bestFit="1" customWidth="1"/>
    <col min="10251" max="10251" width="4.85546875" style="3" bestFit="1" customWidth="1"/>
    <col min="10252" max="10252" width="11.5703125" style="3" customWidth="1"/>
    <col min="10253" max="10253" width="8.5703125" style="3" bestFit="1" customWidth="1"/>
    <col min="10254" max="10254" width="11.140625" style="3" bestFit="1" customWidth="1"/>
    <col min="10255" max="10497" width="9.140625" style="3"/>
    <col min="10498" max="10498" width="26" style="3" bestFit="1" customWidth="1"/>
    <col min="10499" max="10499" width="22.855468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4.42578125" style="3" bestFit="1" customWidth="1"/>
    <col min="10504" max="10506" width="5.5703125" style="3" bestFit="1" customWidth="1"/>
    <col min="10507" max="10507" width="4.85546875" style="3" bestFit="1" customWidth="1"/>
    <col min="10508" max="10508" width="11.5703125" style="3" customWidth="1"/>
    <col min="10509" max="10509" width="8.5703125" style="3" bestFit="1" customWidth="1"/>
    <col min="10510" max="10510" width="11.140625" style="3" bestFit="1" customWidth="1"/>
    <col min="10511" max="10753" width="9.140625" style="3"/>
    <col min="10754" max="10754" width="26" style="3" bestFit="1" customWidth="1"/>
    <col min="10755" max="10755" width="22.855468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4.42578125" style="3" bestFit="1" customWidth="1"/>
    <col min="10760" max="10762" width="5.5703125" style="3" bestFit="1" customWidth="1"/>
    <col min="10763" max="10763" width="4.85546875" style="3" bestFit="1" customWidth="1"/>
    <col min="10764" max="10764" width="11.5703125" style="3" customWidth="1"/>
    <col min="10765" max="10765" width="8.5703125" style="3" bestFit="1" customWidth="1"/>
    <col min="10766" max="10766" width="11.140625" style="3" bestFit="1" customWidth="1"/>
    <col min="10767" max="11009" width="9.140625" style="3"/>
    <col min="11010" max="11010" width="26" style="3" bestFit="1" customWidth="1"/>
    <col min="11011" max="11011" width="22.855468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4.42578125" style="3" bestFit="1" customWidth="1"/>
    <col min="11016" max="11018" width="5.5703125" style="3" bestFit="1" customWidth="1"/>
    <col min="11019" max="11019" width="4.85546875" style="3" bestFit="1" customWidth="1"/>
    <col min="11020" max="11020" width="11.5703125" style="3" customWidth="1"/>
    <col min="11021" max="11021" width="8.5703125" style="3" bestFit="1" customWidth="1"/>
    <col min="11022" max="11022" width="11.140625" style="3" bestFit="1" customWidth="1"/>
    <col min="11023" max="11265" width="9.140625" style="3"/>
    <col min="11266" max="11266" width="26" style="3" bestFit="1" customWidth="1"/>
    <col min="11267" max="11267" width="22.855468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4.42578125" style="3" bestFit="1" customWidth="1"/>
    <col min="11272" max="11274" width="5.5703125" style="3" bestFit="1" customWidth="1"/>
    <col min="11275" max="11275" width="4.85546875" style="3" bestFit="1" customWidth="1"/>
    <col min="11276" max="11276" width="11.5703125" style="3" customWidth="1"/>
    <col min="11277" max="11277" width="8.5703125" style="3" bestFit="1" customWidth="1"/>
    <col min="11278" max="11278" width="11.140625" style="3" bestFit="1" customWidth="1"/>
    <col min="11279" max="11521" width="9.140625" style="3"/>
    <col min="11522" max="11522" width="26" style="3" bestFit="1" customWidth="1"/>
    <col min="11523" max="11523" width="22.855468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4.42578125" style="3" bestFit="1" customWidth="1"/>
    <col min="11528" max="11530" width="5.5703125" style="3" bestFit="1" customWidth="1"/>
    <col min="11531" max="11531" width="4.85546875" style="3" bestFit="1" customWidth="1"/>
    <col min="11532" max="11532" width="11.5703125" style="3" customWidth="1"/>
    <col min="11533" max="11533" width="8.5703125" style="3" bestFit="1" customWidth="1"/>
    <col min="11534" max="11534" width="11.140625" style="3" bestFit="1" customWidth="1"/>
    <col min="11535" max="11777" width="9.140625" style="3"/>
    <col min="11778" max="11778" width="26" style="3" bestFit="1" customWidth="1"/>
    <col min="11779" max="11779" width="22.855468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4.42578125" style="3" bestFit="1" customWidth="1"/>
    <col min="11784" max="11786" width="5.5703125" style="3" bestFit="1" customWidth="1"/>
    <col min="11787" max="11787" width="4.85546875" style="3" bestFit="1" customWidth="1"/>
    <col min="11788" max="11788" width="11.5703125" style="3" customWidth="1"/>
    <col min="11789" max="11789" width="8.5703125" style="3" bestFit="1" customWidth="1"/>
    <col min="11790" max="11790" width="11.140625" style="3" bestFit="1" customWidth="1"/>
    <col min="11791" max="12033" width="9.140625" style="3"/>
    <col min="12034" max="12034" width="26" style="3" bestFit="1" customWidth="1"/>
    <col min="12035" max="12035" width="22.855468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4.42578125" style="3" bestFit="1" customWidth="1"/>
    <col min="12040" max="12042" width="5.5703125" style="3" bestFit="1" customWidth="1"/>
    <col min="12043" max="12043" width="4.85546875" style="3" bestFit="1" customWidth="1"/>
    <col min="12044" max="12044" width="11.5703125" style="3" customWidth="1"/>
    <col min="12045" max="12045" width="8.5703125" style="3" bestFit="1" customWidth="1"/>
    <col min="12046" max="12046" width="11.140625" style="3" bestFit="1" customWidth="1"/>
    <col min="12047" max="12289" width="9.140625" style="3"/>
    <col min="12290" max="12290" width="26" style="3" bestFit="1" customWidth="1"/>
    <col min="12291" max="12291" width="22.855468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4.42578125" style="3" bestFit="1" customWidth="1"/>
    <col min="12296" max="12298" width="5.5703125" style="3" bestFit="1" customWidth="1"/>
    <col min="12299" max="12299" width="4.85546875" style="3" bestFit="1" customWidth="1"/>
    <col min="12300" max="12300" width="11.5703125" style="3" customWidth="1"/>
    <col min="12301" max="12301" width="8.5703125" style="3" bestFit="1" customWidth="1"/>
    <col min="12302" max="12302" width="11.140625" style="3" bestFit="1" customWidth="1"/>
    <col min="12303" max="12545" width="9.140625" style="3"/>
    <col min="12546" max="12546" width="26" style="3" bestFit="1" customWidth="1"/>
    <col min="12547" max="12547" width="22.855468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4.42578125" style="3" bestFit="1" customWidth="1"/>
    <col min="12552" max="12554" width="5.5703125" style="3" bestFit="1" customWidth="1"/>
    <col min="12555" max="12555" width="4.85546875" style="3" bestFit="1" customWidth="1"/>
    <col min="12556" max="12556" width="11.5703125" style="3" customWidth="1"/>
    <col min="12557" max="12557" width="8.5703125" style="3" bestFit="1" customWidth="1"/>
    <col min="12558" max="12558" width="11.140625" style="3" bestFit="1" customWidth="1"/>
    <col min="12559" max="12801" width="9.140625" style="3"/>
    <col min="12802" max="12802" width="26" style="3" bestFit="1" customWidth="1"/>
    <col min="12803" max="12803" width="22.855468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4.42578125" style="3" bestFit="1" customWidth="1"/>
    <col min="12808" max="12810" width="5.5703125" style="3" bestFit="1" customWidth="1"/>
    <col min="12811" max="12811" width="4.85546875" style="3" bestFit="1" customWidth="1"/>
    <col min="12812" max="12812" width="11.5703125" style="3" customWidth="1"/>
    <col min="12813" max="12813" width="8.5703125" style="3" bestFit="1" customWidth="1"/>
    <col min="12814" max="12814" width="11.140625" style="3" bestFit="1" customWidth="1"/>
    <col min="12815" max="13057" width="9.140625" style="3"/>
    <col min="13058" max="13058" width="26" style="3" bestFit="1" customWidth="1"/>
    <col min="13059" max="13059" width="22.855468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4.42578125" style="3" bestFit="1" customWidth="1"/>
    <col min="13064" max="13066" width="5.5703125" style="3" bestFit="1" customWidth="1"/>
    <col min="13067" max="13067" width="4.85546875" style="3" bestFit="1" customWidth="1"/>
    <col min="13068" max="13068" width="11.5703125" style="3" customWidth="1"/>
    <col min="13069" max="13069" width="8.5703125" style="3" bestFit="1" customWidth="1"/>
    <col min="13070" max="13070" width="11.140625" style="3" bestFit="1" customWidth="1"/>
    <col min="13071" max="13313" width="9.140625" style="3"/>
    <col min="13314" max="13314" width="26" style="3" bestFit="1" customWidth="1"/>
    <col min="13315" max="13315" width="22.855468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4.42578125" style="3" bestFit="1" customWidth="1"/>
    <col min="13320" max="13322" width="5.5703125" style="3" bestFit="1" customWidth="1"/>
    <col min="13323" max="13323" width="4.85546875" style="3" bestFit="1" customWidth="1"/>
    <col min="13324" max="13324" width="11.5703125" style="3" customWidth="1"/>
    <col min="13325" max="13325" width="8.5703125" style="3" bestFit="1" customWidth="1"/>
    <col min="13326" max="13326" width="11.140625" style="3" bestFit="1" customWidth="1"/>
    <col min="13327" max="13569" width="9.140625" style="3"/>
    <col min="13570" max="13570" width="26" style="3" bestFit="1" customWidth="1"/>
    <col min="13571" max="13571" width="22.855468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4.42578125" style="3" bestFit="1" customWidth="1"/>
    <col min="13576" max="13578" width="5.5703125" style="3" bestFit="1" customWidth="1"/>
    <col min="13579" max="13579" width="4.85546875" style="3" bestFit="1" customWidth="1"/>
    <col min="13580" max="13580" width="11.5703125" style="3" customWidth="1"/>
    <col min="13581" max="13581" width="8.5703125" style="3" bestFit="1" customWidth="1"/>
    <col min="13582" max="13582" width="11.140625" style="3" bestFit="1" customWidth="1"/>
    <col min="13583" max="13825" width="9.140625" style="3"/>
    <col min="13826" max="13826" width="26" style="3" bestFit="1" customWidth="1"/>
    <col min="13827" max="13827" width="22.855468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4.42578125" style="3" bestFit="1" customWidth="1"/>
    <col min="13832" max="13834" width="5.5703125" style="3" bestFit="1" customWidth="1"/>
    <col min="13835" max="13835" width="4.85546875" style="3" bestFit="1" customWidth="1"/>
    <col min="13836" max="13836" width="11.5703125" style="3" customWidth="1"/>
    <col min="13837" max="13837" width="8.5703125" style="3" bestFit="1" customWidth="1"/>
    <col min="13838" max="13838" width="11.140625" style="3" bestFit="1" customWidth="1"/>
    <col min="13839" max="14081" width="9.140625" style="3"/>
    <col min="14082" max="14082" width="26" style="3" bestFit="1" customWidth="1"/>
    <col min="14083" max="14083" width="22.855468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4.42578125" style="3" bestFit="1" customWidth="1"/>
    <col min="14088" max="14090" width="5.5703125" style="3" bestFit="1" customWidth="1"/>
    <col min="14091" max="14091" width="4.85546875" style="3" bestFit="1" customWidth="1"/>
    <col min="14092" max="14092" width="11.5703125" style="3" customWidth="1"/>
    <col min="14093" max="14093" width="8.5703125" style="3" bestFit="1" customWidth="1"/>
    <col min="14094" max="14094" width="11.140625" style="3" bestFit="1" customWidth="1"/>
    <col min="14095" max="14337" width="9.140625" style="3"/>
    <col min="14338" max="14338" width="26" style="3" bestFit="1" customWidth="1"/>
    <col min="14339" max="14339" width="22.855468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4.42578125" style="3" bestFit="1" customWidth="1"/>
    <col min="14344" max="14346" width="5.5703125" style="3" bestFit="1" customWidth="1"/>
    <col min="14347" max="14347" width="4.85546875" style="3" bestFit="1" customWidth="1"/>
    <col min="14348" max="14348" width="11.5703125" style="3" customWidth="1"/>
    <col min="14349" max="14349" width="8.5703125" style="3" bestFit="1" customWidth="1"/>
    <col min="14350" max="14350" width="11.140625" style="3" bestFit="1" customWidth="1"/>
    <col min="14351" max="14593" width="9.140625" style="3"/>
    <col min="14594" max="14594" width="26" style="3" bestFit="1" customWidth="1"/>
    <col min="14595" max="14595" width="22.855468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4.42578125" style="3" bestFit="1" customWidth="1"/>
    <col min="14600" max="14602" width="5.5703125" style="3" bestFit="1" customWidth="1"/>
    <col min="14603" max="14603" width="4.85546875" style="3" bestFit="1" customWidth="1"/>
    <col min="14604" max="14604" width="11.5703125" style="3" customWidth="1"/>
    <col min="14605" max="14605" width="8.5703125" style="3" bestFit="1" customWidth="1"/>
    <col min="14606" max="14606" width="11.140625" style="3" bestFit="1" customWidth="1"/>
    <col min="14607" max="14849" width="9.140625" style="3"/>
    <col min="14850" max="14850" width="26" style="3" bestFit="1" customWidth="1"/>
    <col min="14851" max="14851" width="22.855468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4.42578125" style="3" bestFit="1" customWidth="1"/>
    <col min="14856" max="14858" width="5.5703125" style="3" bestFit="1" customWidth="1"/>
    <col min="14859" max="14859" width="4.85546875" style="3" bestFit="1" customWidth="1"/>
    <col min="14860" max="14860" width="11.5703125" style="3" customWidth="1"/>
    <col min="14861" max="14861" width="8.5703125" style="3" bestFit="1" customWidth="1"/>
    <col min="14862" max="14862" width="11.140625" style="3" bestFit="1" customWidth="1"/>
    <col min="14863" max="15105" width="9.140625" style="3"/>
    <col min="15106" max="15106" width="26" style="3" bestFit="1" customWidth="1"/>
    <col min="15107" max="15107" width="22.855468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4.42578125" style="3" bestFit="1" customWidth="1"/>
    <col min="15112" max="15114" width="5.5703125" style="3" bestFit="1" customWidth="1"/>
    <col min="15115" max="15115" width="4.85546875" style="3" bestFit="1" customWidth="1"/>
    <col min="15116" max="15116" width="11.5703125" style="3" customWidth="1"/>
    <col min="15117" max="15117" width="8.5703125" style="3" bestFit="1" customWidth="1"/>
    <col min="15118" max="15118" width="11.140625" style="3" bestFit="1" customWidth="1"/>
    <col min="15119" max="15361" width="9.140625" style="3"/>
    <col min="15362" max="15362" width="26" style="3" bestFit="1" customWidth="1"/>
    <col min="15363" max="15363" width="22.855468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4.42578125" style="3" bestFit="1" customWidth="1"/>
    <col min="15368" max="15370" width="5.5703125" style="3" bestFit="1" customWidth="1"/>
    <col min="15371" max="15371" width="4.85546875" style="3" bestFit="1" customWidth="1"/>
    <col min="15372" max="15372" width="11.5703125" style="3" customWidth="1"/>
    <col min="15373" max="15373" width="8.5703125" style="3" bestFit="1" customWidth="1"/>
    <col min="15374" max="15374" width="11.140625" style="3" bestFit="1" customWidth="1"/>
    <col min="15375" max="15617" width="9.140625" style="3"/>
    <col min="15618" max="15618" width="26" style="3" bestFit="1" customWidth="1"/>
    <col min="15619" max="15619" width="22.855468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4.42578125" style="3" bestFit="1" customWidth="1"/>
    <col min="15624" max="15626" width="5.5703125" style="3" bestFit="1" customWidth="1"/>
    <col min="15627" max="15627" width="4.85546875" style="3" bestFit="1" customWidth="1"/>
    <col min="15628" max="15628" width="11.5703125" style="3" customWidth="1"/>
    <col min="15629" max="15629" width="8.5703125" style="3" bestFit="1" customWidth="1"/>
    <col min="15630" max="15630" width="11.140625" style="3" bestFit="1" customWidth="1"/>
    <col min="15631" max="15873" width="9.140625" style="3"/>
    <col min="15874" max="15874" width="26" style="3" bestFit="1" customWidth="1"/>
    <col min="15875" max="15875" width="22.855468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4.42578125" style="3" bestFit="1" customWidth="1"/>
    <col min="15880" max="15882" width="5.5703125" style="3" bestFit="1" customWidth="1"/>
    <col min="15883" max="15883" width="4.85546875" style="3" bestFit="1" customWidth="1"/>
    <col min="15884" max="15884" width="11.5703125" style="3" customWidth="1"/>
    <col min="15885" max="15885" width="8.5703125" style="3" bestFit="1" customWidth="1"/>
    <col min="15886" max="15886" width="11.140625" style="3" bestFit="1" customWidth="1"/>
    <col min="15887" max="16129" width="9.140625" style="3"/>
    <col min="16130" max="16130" width="26" style="3" bestFit="1" customWidth="1"/>
    <col min="16131" max="16131" width="22.855468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4.42578125" style="3" bestFit="1" customWidth="1"/>
    <col min="16136" max="16138" width="5.5703125" style="3" bestFit="1" customWidth="1"/>
    <col min="16139" max="16139" width="4.85546875" style="3" bestFit="1" customWidth="1"/>
    <col min="16140" max="16140" width="11.5703125" style="3" customWidth="1"/>
    <col min="16141" max="16141" width="8.5703125" style="3" bestFit="1" customWidth="1"/>
    <col min="16142" max="16142" width="11.140625" style="3" bestFit="1" customWidth="1"/>
    <col min="16143" max="16384" width="9.140625" style="3"/>
  </cols>
  <sheetData>
    <row r="1" spans="1:14" s="2" customFormat="1" ht="29.1" customHeight="1" x14ac:dyDescent="0.2">
      <c r="A1" s="40" t="s">
        <v>572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1447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295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31" t="s">
        <v>26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6" t="s">
        <v>573</v>
      </c>
      <c r="B6" s="6" t="s">
        <v>1443</v>
      </c>
      <c r="C6" s="6" t="s">
        <v>574</v>
      </c>
      <c r="D6" s="6" t="s">
        <v>575</v>
      </c>
      <c r="E6" s="6" t="str">
        <f>"0,6729"</f>
        <v>0,6729</v>
      </c>
      <c r="F6" s="6" t="s">
        <v>14</v>
      </c>
      <c r="G6" s="6" t="s">
        <v>437</v>
      </c>
      <c r="H6" s="8" t="s">
        <v>576</v>
      </c>
      <c r="I6" s="8" t="s">
        <v>395</v>
      </c>
      <c r="J6" s="7" t="s">
        <v>577</v>
      </c>
      <c r="K6" s="7"/>
      <c r="L6" s="6" t="str">
        <f>"260,0"</f>
        <v>260,0</v>
      </c>
      <c r="M6" s="8" t="str">
        <f>"174,9540"</f>
        <v>174,9540</v>
      </c>
      <c r="N6" s="6" t="s">
        <v>62</v>
      </c>
    </row>
    <row r="8" spans="1:14" ht="15" x14ac:dyDescent="0.2">
      <c r="A8" s="32" t="s">
        <v>50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A9" s="6" t="s">
        <v>578</v>
      </c>
      <c r="B9" s="6" t="s">
        <v>1443</v>
      </c>
      <c r="C9" s="6" t="s">
        <v>579</v>
      </c>
      <c r="D9" s="6" t="s">
        <v>67</v>
      </c>
      <c r="E9" s="6" t="str">
        <f>"0,6421"</f>
        <v>0,6421</v>
      </c>
      <c r="F9" s="6" t="s">
        <v>65</v>
      </c>
      <c r="G9" s="6" t="s">
        <v>66</v>
      </c>
      <c r="H9" s="8" t="s">
        <v>508</v>
      </c>
      <c r="I9" s="7" t="s">
        <v>405</v>
      </c>
      <c r="J9" s="7" t="s">
        <v>405</v>
      </c>
      <c r="K9" s="7"/>
      <c r="L9" s="6" t="str">
        <f>"250,0"</f>
        <v>250,0</v>
      </c>
      <c r="M9" s="8" t="str">
        <f>"160,5250"</f>
        <v>160,5250</v>
      </c>
      <c r="N9" s="6" t="s">
        <v>62</v>
      </c>
    </row>
    <row r="11" spans="1:14" ht="15" x14ac:dyDescent="0.2">
      <c r="A11" s="32" t="s">
        <v>70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x14ac:dyDescent="0.2">
      <c r="A12" s="9" t="s">
        <v>580</v>
      </c>
      <c r="B12" s="9" t="s">
        <v>1443</v>
      </c>
      <c r="C12" s="9" t="s">
        <v>581</v>
      </c>
      <c r="D12" s="9" t="s">
        <v>582</v>
      </c>
      <c r="E12" s="9" t="str">
        <f>"0,6254"</f>
        <v>0,6254</v>
      </c>
      <c r="F12" s="9" t="s">
        <v>65</v>
      </c>
      <c r="G12" s="9" t="s">
        <v>66</v>
      </c>
      <c r="H12" s="10" t="s">
        <v>507</v>
      </c>
      <c r="I12" s="10" t="s">
        <v>394</v>
      </c>
      <c r="J12" s="10" t="s">
        <v>508</v>
      </c>
      <c r="K12" s="25"/>
      <c r="L12" s="9" t="str">
        <f>"250,0"</f>
        <v>250,0</v>
      </c>
      <c r="M12" s="10" t="str">
        <f>"156,3500"</f>
        <v>156,3500</v>
      </c>
      <c r="N12" s="9" t="s">
        <v>34</v>
      </c>
    </row>
    <row r="13" spans="1:14" x14ac:dyDescent="0.2">
      <c r="A13" s="14" t="s">
        <v>583</v>
      </c>
      <c r="B13" s="14" t="s">
        <v>1442</v>
      </c>
      <c r="C13" s="14" t="s">
        <v>584</v>
      </c>
      <c r="D13" s="14" t="s">
        <v>585</v>
      </c>
      <c r="E13" s="14" t="str">
        <f>"0,6161"</f>
        <v>0,6161</v>
      </c>
      <c r="F13" s="14" t="s">
        <v>586</v>
      </c>
      <c r="G13" s="14" t="s">
        <v>587</v>
      </c>
      <c r="H13" s="16" t="s">
        <v>507</v>
      </c>
      <c r="I13" s="15" t="s">
        <v>508</v>
      </c>
      <c r="J13" s="15" t="s">
        <v>508</v>
      </c>
      <c r="K13" s="15"/>
      <c r="L13" s="14" t="str">
        <f>"230,0"</f>
        <v>230,0</v>
      </c>
      <c r="M13" s="16" t="str">
        <f>"141,7030"</f>
        <v>141,7030</v>
      </c>
      <c r="N13" s="14" t="s">
        <v>588</v>
      </c>
    </row>
    <row r="15" spans="1:14" ht="15" x14ac:dyDescent="0.2">
      <c r="F15" s="17" t="s">
        <v>96</v>
      </c>
    </row>
    <row r="16" spans="1:14" ht="15" x14ac:dyDescent="0.2">
      <c r="F16" s="17" t="s">
        <v>97</v>
      </c>
    </row>
    <row r="17" spans="6:6" s="3" customFormat="1" ht="15" x14ac:dyDescent="0.2">
      <c r="F17" s="17" t="s">
        <v>98</v>
      </c>
    </row>
    <row r="18" spans="6:6" s="3" customFormat="1" x14ac:dyDescent="0.2">
      <c r="F18" s="4"/>
    </row>
    <row r="19" spans="6:6" s="3" customFormat="1" x14ac:dyDescent="0.2">
      <c r="F19" s="4"/>
    </row>
    <row r="20" spans="6:6" s="3" customFormat="1" x14ac:dyDescent="0.2">
      <c r="F20" s="4"/>
    </row>
    <row r="21" spans="6:6" s="3" customFormat="1" x14ac:dyDescent="0.2">
      <c r="F21" s="4"/>
    </row>
    <row r="22" spans="6:6" s="3" customFormat="1" x14ac:dyDescent="0.2">
      <c r="F22" s="4"/>
    </row>
    <row r="23" spans="6:6" s="3" customFormat="1" x14ac:dyDescent="0.2">
      <c r="F23" s="4"/>
    </row>
    <row r="24" spans="6:6" s="3" customFormat="1" x14ac:dyDescent="0.2">
      <c r="F24" s="4"/>
    </row>
    <row r="25" spans="6:6" s="3" customFormat="1" x14ac:dyDescent="0.2">
      <c r="F25" s="4"/>
    </row>
    <row r="26" spans="6:6" s="3" customFormat="1" x14ac:dyDescent="0.2">
      <c r="F26" s="4"/>
    </row>
    <row r="27" spans="6:6" s="3" customFormat="1" x14ac:dyDescent="0.2">
      <c r="F27" s="4"/>
    </row>
    <row r="28" spans="6:6" s="3" customFormat="1" x14ac:dyDescent="0.2">
      <c r="F28" s="4"/>
    </row>
    <row r="29" spans="6:6" s="3" customFormat="1" x14ac:dyDescent="0.2">
      <c r="F29" s="4"/>
    </row>
    <row r="30" spans="6:6" s="3" customFormat="1" x14ac:dyDescent="0.2">
      <c r="F30" s="4"/>
    </row>
    <row r="31" spans="6:6" s="3" customFormat="1" x14ac:dyDescent="0.2">
      <c r="F31" s="4"/>
    </row>
    <row r="32" spans="6:6" s="3" customFormat="1" x14ac:dyDescent="0.2">
      <c r="F32" s="4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5">
    <mergeCell ref="A11:N11"/>
    <mergeCell ref="A8:N8"/>
    <mergeCell ref="A5:N5"/>
    <mergeCell ref="N3:N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80" zoomScaleNormal="80" workbookViewId="0">
      <selection activeCell="A82" sqref="A82"/>
    </sheetView>
  </sheetViews>
  <sheetFormatPr defaultRowHeight="12.75" x14ac:dyDescent="0.2"/>
  <cols>
    <col min="1" max="1" width="26" style="4" bestFit="1" customWidth="1"/>
    <col min="2" max="2" width="13.710937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7.28515625" style="4" bestFit="1" customWidth="1"/>
    <col min="8" max="10" width="5.5703125" style="3" bestFit="1" customWidth="1"/>
    <col min="11" max="11" width="4.85546875" style="3" bestFit="1" customWidth="1"/>
    <col min="12" max="12" width="12.28515625" style="4" customWidth="1"/>
    <col min="13" max="13" width="8.5703125" style="3" bestFit="1" customWidth="1"/>
    <col min="14" max="14" width="16.4257812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7.28515625" style="3" bestFit="1" customWidth="1"/>
    <col min="264" max="266" width="5.5703125" style="3" bestFit="1" customWidth="1"/>
    <col min="267" max="267" width="4.85546875" style="3" bestFit="1" customWidth="1"/>
    <col min="268" max="268" width="12.28515625" style="3" customWidth="1"/>
    <col min="269" max="269" width="8.5703125" style="3" bestFit="1" customWidth="1"/>
    <col min="270" max="270" width="16.4257812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7.28515625" style="3" bestFit="1" customWidth="1"/>
    <col min="520" max="522" width="5.5703125" style="3" bestFit="1" customWidth="1"/>
    <col min="523" max="523" width="4.85546875" style="3" bestFit="1" customWidth="1"/>
    <col min="524" max="524" width="12.28515625" style="3" customWidth="1"/>
    <col min="525" max="525" width="8.5703125" style="3" bestFit="1" customWidth="1"/>
    <col min="526" max="526" width="16.4257812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7.28515625" style="3" bestFit="1" customWidth="1"/>
    <col min="776" max="778" width="5.5703125" style="3" bestFit="1" customWidth="1"/>
    <col min="779" max="779" width="4.85546875" style="3" bestFit="1" customWidth="1"/>
    <col min="780" max="780" width="12.28515625" style="3" customWidth="1"/>
    <col min="781" max="781" width="8.5703125" style="3" bestFit="1" customWidth="1"/>
    <col min="782" max="782" width="16.4257812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7.28515625" style="3" bestFit="1" customWidth="1"/>
    <col min="1032" max="1034" width="5.5703125" style="3" bestFit="1" customWidth="1"/>
    <col min="1035" max="1035" width="4.85546875" style="3" bestFit="1" customWidth="1"/>
    <col min="1036" max="1036" width="12.28515625" style="3" customWidth="1"/>
    <col min="1037" max="1037" width="8.5703125" style="3" bestFit="1" customWidth="1"/>
    <col min="1038" max="1038" width="16.4257812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7.28515625" style="3" bestFit="1" customWidth="1"/>
    <col min="1288" max="1290" width="5.5703125" style="3" bestFit="1" customWidth="1"/>
    <col min="1291" max="1291" width="4.85546875" style="3" bestFit="1" customWidth="1"/>
    <col min="1292" max="1292" width="12.28515625" style="3" customWidth="1"/>
    <col min="1293" max="1293" width="8.5703125" style="3" bestFit="1" customWidth="1"/>
    <col min="1294" max="1294" width="16.4257812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7.28515625" style="3" bestFit="1" customWidth="1"/>
    <col min="1544" max="1546" width="5.5703125" style="3" bestFit="1" customWidth="1"/>
    <col min="1547" max="1547" width="4.85546875" style="3" bestFit="1" customWidth="1"/>
    <col min="1548" max="1548" width="12.28515625" style="3" customWidth="1"/>
    <col min="1549" max="1549" width="8.5703125" style="3" bestFit="1" customWidth="1"/>
    <col min="1550" max="1550" width="16.4257812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7.28515625" style="3" bestFit="1" customWidth="1"/>
    <col min="1800" max="1802" width="5.5703125" style="3" bestFit="1" customWidth="1"/>
    <col min="1803" max="1803" width="4.85546875" style="3" bestFit="1" customWidth="1"/>
    <col min="1804" max="1804" width="12.28515625" style="3" customWidth="1"/>
    <col min="1805" max="1805" width="8.5703125" style="3" bestFit="1" customWidth="1"/>
    <col min="1806" max="1806" width="16.4257812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7.28515625" style="3" bestFit="1" customWidth="1"/>
    <col min="2056" max="2058" width="5.5703125" style="3" bestFit="1" customWidth="1"/>
    <col min="2059" max="2059" width="4.85546875" style="3" bestFit="1" customWidth="1"/>
    <col min="2060" max="2060" width="12.28515625" style="3" customWidth="1"/>
    <col min="2061" max="2061" width="8.5703125" style="3" bestFit="1" customWidth="1"/>
    <col min="2062" max="2062" width="16.4257812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7.28515625" style="3" bestFit="1" customWidth="1"/>
    <col min="2312" max="2314" width="5.5703125" style="3" bestFit="1" customWidth="1"/>
    <col min="2315" max="2315" width="4.85546875" style="3" bestFit="1" customWidth="1"/>
    <col min="2316" max="2316" width="12.28515625" style="3" customWidth="1"/>
    <col min="2317" max="2317" width="8.5703125" style="3" bestFit="1" customWidth="1"/>
    <col min="2318" max="2318" width="16.4257812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7.28515625" style="3" bestFit="1" customWidth="1"/>
    <col min="2568" max="2570" width="5.5703125" style="3" bestFit="1" customWidth="1"/>
    <col min="2571" max="2571" width="4.85546875" style="3" bestFit="1" customWidth="1"/>
    <col min="2572" max="2572" width="12.28515625" style="3" customWidth="1"/>
    <col min="2573" max="2573" width="8.5703125" style="3" bestFit="1" customWidth="1"/>
    <col min="2574" max="2574" width="16.4257812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7.28515625" style="3" bestFit="1" customWidth="1"/>
    <col min="2824" max="2826" width="5.5703125" style="3" bestFit="1" customWidth="1"/>
    <col min="2827" max="2827" width="4.85546875" style="3" bestFit="1" customWidth="1"/>
    <col min="2828" max="2828" width="12.28515625" style="3" customWidth="1"/>
    <col min="2829" max="2829" width="8.5703125" style="3" bestFit="1" customWidth="1"/>
    <col min="2830" max="2830" width="16.4257812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7.28515625" style="3" bestFit="1" customWidth="1"/>
    <col min="3080" max="3082" width="5.5703125" style="3" bestFit="1" customWidth="1"/>
    <col min="3083" max="3083" width="4.85546875" style="3" bestFit="1" customWidth="1"/>
    <col min="3084" max="3084" width="12.28515625" style="3" customWidth="1"/>
    <col min="3085" max="3085" width="8.5703125" style="3" bestFit="1" customWidth="1"/>
    <col min="3086" max="3086" width="16.4257812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7.28515625" style="3" bestFit="1" customWidth="1"/>
    <col min="3336" max="3338" width="5.5703125" style="3" bestFit="1" customWidth="1"/>
    <col min="3339" max="3339" width="4.85546875" style="3" bestFit="1" customWidth="1"/>
    <col min="3340" max="3340" width="12.28515625" style="3" customWidth="1"/>
    <col min="3341" max="3341" width="8.5703125" style="3" bestFit="1" customWidth="1"/>
    <col min="3342" max="3342" width="16.4257812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7.28515625" style="3" bestFit="1" customWidth="1"/>
    <col min="3592" max="3594" width="5.5703125" style="3" bestFit="1" customWidth="1"/>
    <col min="3595" max="3595" width="4.85546875" style="3" bestFit="1" customWidth="1"/>
    <col min="3596" max="3596" width="12.28515625" style="3" customWidth="1"/>
    <col min="3597" max="3597" width="8.5703125" style="3" bestFit="1" customWidth="1"/>
    <col min="3598" max="3598" width="16.4257812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7.28515625" style="3" bestFit="1" customWidth="1"/>
    <col min="3848" max="3850" width="5.5703125" style="3" bestFit="1" customWidth="1"/>
    <col min="3851" max="3851" width="4.85546875" style="3" bestFit="1" customWidth="1"/>
    <col min="3852" max="3852" width="12.28515625" style="3" customWidth="1"/>
    <col min="3853" max="3853" width="8.5703125" style="3" bestFit="1" customWidth="1"/>
    <col min="3854" max="3854" width="16.4257812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7.28515625" style="3" bestFit="1" customWidth="1"/>
    <col min="4104" max="4106" width="5.5703125" style="3" bestFit="1" customWidth="1"/>
    <col min="4107" max="4107" width="4.85546875" style="3" bestFit="1" customWidth="1"/>
    <col min="4108" max="4108" width="12.28515625" style="3" customWidth="1"/>
    <col min="4109" max="4109" width="8.5703125" style="3" bestFit="1" customWidth="1"/>
    <col min="4110" max="4110" width="16.4257812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7.28515625" style="3" bestFit="1" customWidth="1"/>
    <col min="4360" max="4362" width="5.5703125" style="3" bestFit="1" customWidth="1"/>
    <col min="4363" max="4363" width="4.85546875" style="3" bestFit="1" customWidth="1"/>
    <col min="4364" max="4364" width="12.28515625" style="3" customWidth="1"/>
    <col min="4365" max="4365" width="8.5703125" style="3" bestFit="1" customWidth="1"/>
    <col min="4366" max="4366" width="16.4257812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7.28515625" style="3" bestFit="1" customWidth="1"/>
    <col min="4616" max="4618" width="5.5703125" style="3" bestFit="1" customWidth="1"/>
    <col min="4619" max="4619" width="4.85546875" style="3" bestFit="1" customWidth="1"/>
    <col min="4620" max="4620" width="12.28515625" style="3" customWidth="1"/>
    <col min="4621" max="4621" width="8.5703125" style="3" bestFit="1" customWidth="1"/>
    <col min="4622" max="4622" width="16.4257812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7.28515625" style="3" bestFit="1" customWidth="1"/>
    <col min="4872" max="4874" width="5.5703125" style="3" bestFit="1" customWidth="1"/>
    <col min="4875" max="4875" width="4.85546875" style="3" bestFit="1" customWidth="1"/>
    <col min="4876" max="4876" width="12.28515625" style="3" customWidth="1"/>
    <col min="4877" max="4877" width="8.5703125" style="3" bestFit="1" customWidth="1"/>
    <col min="4878" max="4878" width="16.4257812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7.28515625" style="3" bestFit="1" customWidth="1"/>
    <col min="5128" max="5130" width="5.5703125" style="3" bestFit="1" customWidth="1"/>
    <col min="5131" max="5131" width="4.85546875" style="3" bestFit="1" customWidth="1"/>
    <col min="5132" max="5132" width="12.28515625" style="3" customWidth="1"/>
    <col min="5133" max="5133" width="8.5703125" style="3" bestFit="1" customWidth="1"/>
    <col min="5134" max="5134" width="16.4257812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7.28515625" style="3" bestFit="1" customWidth="1"/>
    <col min="5384" max="5386" width="5.5703125" style="3" bestFit="1" customWidth="1"/>
    <col min="5387" max="5387" width="4.85546875" style="3" bestFit="1" customWidth="1"/>
    <col min="5388" max="5388" width="12.28515625" style="3" customWidth="1"/>
    <col min="5389" max="5389" width="8.5703125" style="3" bestFit="1" customWidth="1"/>
    <col min="5390" max="5390" width="16.4257812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7.28515625" style="3" bestFit="1" customWidth="1"/>
    <col min="5640" max="5642" width="5.5703125" style="3" bestFit="1" customWidth="1"/>
    <col min="5643" max="5643" width="4.85546875" style="3" bestFit="1" customWidth="1"/>
    <col min="5644" max="5644" width="12.28515625" style="3" customWidth="1"/>
    <col min="5645" max="5645" width="8.5703125" style="3" bestFit="1" customWidth="1"/>
    <col min="5646" max="5646" width="16.4257812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7.28515625" style="3" bestFit="1" customWidth="1"/>
    <col min="5896" max="5898" width="5.5703125" style="3" bestFit="1" customWidth="1"/>
    <col min="5899" max="5899" width="4.85546875" style="3" bestFit="1" customWidth="1"/>
    <col min="5900" max="5900" width="12.28515625" style="3" customWidth="1"/>
    <col min="5901" max="5901" width="8.5703125" style="3" bestFit="1" customWidth="1"/>
    <col min="5902" max="5902" width="16.4257812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7.28515625" style="3" bestFit="1" customWidth="1"/>
    <col min="6152" max="6154" width="5.5703125" style="3" bestFit="1" customWidth="1"/>
    <col min="6155" max="6155" width="4.85546875" style="3" bestFit="1" customWidth="1"/>
    <col min="6156" max="6156" width="12.28515625" style="3" customWidth="1"/>
    <col min="6157" max="6157" width="8.5703125" style="3" bestFit="1" customWidth="1"/>
    <col min="6158" max="6158" width="16.4257812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7.28515625" style="3" bestFit="1" customWidth="1"/>
    <col min="6408" max="6410" width="5.5703125" style="3" bestFit="1" customWidth="1"/>
    <col min="6411" max="6411" width="4.85546875" style="3" bestFit="1" customWidth="1"/>
    <col min="6412" max="6412" width="12.28515625" style="3" customWidth="1"/>
    <col min="6413" max="6413" width="8.5703125" style="3" bestFit="1" customWidth="1"/>
    <col min="6414" max="6414" width="16.4257812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7.28515625" style="3" bestFit="1" customWidth="1"/>
    <col min="6664" max="6666" width="5.5703125" style="3" bestFit="1" customWidth="1"/>
    <col min="6667" max="6667" width="4.85546875" style="3" bestFit="1" customWidth="1"/>
    <col min="6668" max="6668" width="12.28515625" style="3" customWidth="1"/>
    <col min="6669" max="6669" width="8.5703125" style="3" bestFit="1" customWidth="1"/>
    <col min="6670" max="6670" width="16.4257812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7.28515625" style="3" bestFit="1" customWidth="1"/>
    <col min="6920" max="6922" width="5.5703125" style="3" bestFit="1" customWidth="1"/>
    <col min="6923" max="6923" width="4.85546875" style="3" bestFit="1" customWidth="1"/>
    <col min="6924" max="6924" width="12.28515625" style="3" customWidth="1"/>
    <col min="6925" max="6925" width="8.5703125" style="3" bestFit="1" customWidth="1"/>
    <col min="6926" max="6926" width="16.4257812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7.28515625" style="3" bestFit="1" customWidth="1"/>
    <col min="7176" max="7178" width="5.5703125" style="3" bestFit="1" customWidth="1"/>
    <col min="7179" max="7179" width="4.85546875" style="3" bestFit="1" customWidth="1"/>
    <col min="7180" max="7180" width="12.28515625" style="3" customWidth="1"/>
    <col min="7181" max="7181" width="8.5703125" style="3" bestFit="1" customWidth="1"/>
    <col min="7182" max="7182" width="16.4257812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7.28515625" style="3" bestFit="1" customWidth="1"/>
    <col min="7432" max="7434" width="5.5703125" style="3" bestFit="1" customWidth="1"/>
    <col min="7435" max="7435" width="4.85546875" style="3" bestFit="1" customWidth="1"/>
    <col min="7436" max="7436" width="12.28515625" style="3" customWidth="1"/>
    <col min="7437" max="7437" width="8.5703125" style="3" bestFit="1" customWidth="1"/>
    <col min="7438" max="7438" width="16.4257812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7.28515625" style="3" bestFit="1" customWidth="1"/>
    <col min="7688" max="7690" width="5.5703125" style="3" bestFit="1" customWidth="1"/>
    <col min="7691" max="7691" width="4.85546875" style="3" bestFit="1" customWidth="1"/>
    <col min="7692" max="7692" width="12.28515625" style="3" customWidth="1"/>
    <col min="7693" max="7693" width="8.5703125" style="3" bestFit="1" customWidth="1"/>
    <col min="7694" max="7694" width="16.4257812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7.28515625" style="3" bestFit="1" customWidth="1"/>
    <col min="7944" max="7946" width="5.5703125" style="3" bestFit="1" customWidth="1"/>
    <col min="7947" max="7947" width="4.85546875" style="3" bestFit="1" customWidth="1"/>
    <col min="7948" max="7948" width="12.28515625" style="3" customWidth="1"/>
    <col min="7949" max="7949" width="8.5703125" style="3" bestFit="1" customWidth="1"/>
    <col min="7950" max="7950" width="16.4257812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7.28515625" style="3" bestFit="1" customWidth="1"/>
    <col min="8200" max="8202" width="5.5703125" style="3" bestFit="1" customWidth="1"/>
    <col min="8203" max="8203" width="4.85546875" style="3" bestFit="1" customWidth="1"/>
    <col min="8204" max="8204" width="12.28515625" style="3" customWidth="1"/>
    <col min="8205" max="8205" width="8.5703125" style="3" bestFit="1" customWidth="1"/>
    <col min="8206" max="8206" width="16.4257812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7.28515625" style="3" bestFit="1" customWidth="1"/>
    <col min="8456" max="8458" width="5.5703125" style="3" bestFit="1" customWidth="1"/>
    <col min="8459" max="8459" width="4.85546875" style="3" bestFit="1" customWidth="1"/>
    <col min="8460" max="8460" width="12.28515625" style="3" customWidth="1"/>
    <col min="8461" max="8461" width="8.5703125" style="3" bestFit="1" customWidth="1"/>
    <col min="8462" max="8462" width="16.4257812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7.28515625" style="3" bestFit="1" customWidth="1"/>
    <col min="8712" max="8714" width="5.5703125" style="3" bestFit="1" customWidth="1"/>
    <col min="8715" max="8715" width="4.85546875" style="3" bestFit="1" customWidth="1"/>
    <col min="8716" max="8716" width="12.28515625" style="3" customWidth="1"/>
    <col min="8717" max="8717" width="8.5703125" style="3" bestFit="1" customWidth="1"/>
    <col min="8718" max="8718" width="16.4257812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7.28515625" style="3" bestFit="1" customWidth="1"/>
    <col min="8968" max="8970" width="5.5703125" style="3" bestFit="1" customWidth="1"/>
    <col min="8971" max="8971" width="4.85546875" style="3" bestFit="1" customWidth="1"/>
    <col min="8972" max="8972" width="12.28515625" style="3" customWidth="1"/>
    <col min="8973" max="8973" width="8.5703125" style="3" bestFit="1" customWidth="1"/>
    <col min="8974" max="8974" width="16.4257812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7.28515625" style="3" bestFit="1" customWidth="1"/>
    <col min="9224" max="9226" width="5.5703125" style="3" bestFit="1" customWidth="1"/>
    <col min="9227" max="9227" width="4.85546875" style="3" bestFit="1" customWidth="1"/>
    <col min="9228" max="9228" width="12.28515625" style="3" customWidth="1"/>
    <col min="9229" max="9229" width="8.5703125" style="3" bestFit="1" customWidth="1"/>
    <col min="9230" max="9230" width="16.4257812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7.28515625" style="3" bestFit="1" customWidth="1"/>
    <col min="9480" max="9482" width="5.5703125" style="3" bestFit="1" customWidth="1"/>
    <col min="9483" max="9483" width="4.85546875" style="3" bestFit="1" customWidth="1"/>
    <col min="9484" max="9484" width="12.28515625" style="3" customWidth="1"/>
    <col min="9485" max="9485" width="8.5703125" style="3" bestFit="1" customWidth="1"/>
    <col min="9486" max="9486" width="16.4257812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7.28515625" style="3" bestFit="1" customWidth="1"/>
    <col min="9736" max="9738" width="5.5703125" style="3" bestFit="1" customWidth="1"/>
    <col min="9739" max="9739" width="4.85546875" style="3" bestFit="1" customWidth="1"/>
    <col min="9740" max="9740" width="12.28515625" style="3" customWidth="1"/>
    <col min="9741" max="9741" width="8.5703125" style="3" bestFit="1" customWidth="1"/>
    <col min="9742" max="9742" width="16.4257812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7.28515625" style="3" bestFit="1" customWidth="1"/>
    <col min="9992" max="9994" width="5.5703125" style="3" bestFit="1" customWidth="1"/>
    <col min="9995" max="9995" width="4.85546875" style="3" bestFit="1" customWidth="1"/>
    <col min="9996" max="9996" width="12.28515625" style="3" customWidth="1"/>
    <col min="9997" max="9997" width="8.5703125" style="3" bestFit="1" customWidth="1"/>
    <col min="9998" max="9998" width="16.4257812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7.28515625" style="3" bestFit="1" customWidth="1"/>
    <col min="10248" max="10250" width="5.5703125" style="3" bestFit="1" customWidth="1"/>
    <col min="10251" max="10251" width="4.85546875" style="3" bestFit="1" customWidth="1"/>
    <col min="10252" max="10252" width="12.28515625" style="3" customWidth="1"/>
    <col min="10253" max="10253" width="8.5703125" style="3" bestFit="1" customWidth="1"/>
    <col min="10254" max="10254" width="16.4257812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7.28515625" style="3" bestFit="1" customWidth="1"/>
    <col min="10504" max="10506" width="5.5703125" style="3" bestFit="1" customWidth="1"/>
    <col min="10507" max="10507" width="4.85546875" style="3" bestFit="1" customWidth="1"/>
    <col min="10508" max="10508" width="12.28515625" style="3" customWidth="1"/>
    <col min="10509" max="10509" width="8.5703125" style="3" bestFit="1" customWidth="1"/>
    <col min="10510" max="10510" width="16.4257812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7.28515625" style="3" bestFit="1" customWidth="1"/>
    <col min="10760" max="10762" width="5.5703125" style="3" bestFit="1" customWidth="1"/>
    <col min="10763" max="10763" width="4.85546875" style="3" bestFit="1" customWidth="1"/>
    <col min="10764" max="10764" width="12.28515625" style="3" customWidth="1"/>
    <col min="10765" max="10765" width="8.5703125" style="3" bestFit="1" customWidth="1"/>
    <col min="10766" max="10766" width="16.4257812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7.28515625" style="3" bestFit="1" customWidth="1"/>
    <col min="11016" max="11018" width="5.5703125" style="3" bestFit="1" customWidth="1"/>
    <col min="11019" max="11019" width="4.85546875" style="3" bestFit="1" customWidth="1"/>
    <col min="11020" max="11020" width="12.28515625" style="3" customWidth="1"/>
    <col min="11021" max="11021" width="8.5703125" style="3" bestFit="1" customWidth="1"/>
    <col min="11022" max="11022" width="16.4257812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7.28515625" style="3" bestFit="1" customWidth="1"/>
    <col min="11272" max="11274" width="5.5703125" style="3" bestFit="1" customWidth="1"/>
    <col min="11275" max="11275" width="4.85546875" style="3" bestFit="1" customWidth="1"/>
    <col min="11276" max="11276" width="12.28515625" style="3" customWidth="1"/>
    <col min="11277" max="11277" width="8.5703125" style="3" bestFit="1" customWidth="1"/>
    <col min="11278" max="11278" width="16.4257812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7.28515625" style="3" bestFit="1" customWidth="1"/>
    <col min="11528" max="11530" width="5.5703125" style="3" bestFit="1" customWidth="1"/>
    <col min="11531" max="11531" width="4.85546875" style="3" bestFit="1" customWidth="1"/>
    <col min="11532" max="11532" width="12.28515625" style="3" customWidth="1"/>
    <col min="11533" max="11533" width="8.5703125" style="3" bestFit="1" customWidth="1"/>
    <col min="11534" max="11534" width="16.4257812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7.28515625" style="3" bestFit="1" customWidth="1"/>
    <col min="11784" max="11786" width="5.5703125" style="3" bestFit="1" customWidth="1"/>
    <col min="11787" max="11787" width="4.85546875" style="3" bestFit="1" customWidth="1"/>
    <col min="11788" max="11788" width="12.28515625" style="3" customWidth="1"/>
    <col min="11789" max="11789" width="8.5703125" style="3" bestFit="1" customWidth="1"/>
    <col min="11790" max="11790" width="16.4257812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7.28515625" style="3" bestFit="1" customWidth="1"/>
    <col min="12040" max="12042" width="5.5703125" style="3" bestFit="1" customWidth="1"/>
    <col min="12043" max="12043" width="4.85546875" style="3" bestFit="1" customWidth="1"/>
    <col min="12044" max="12044" width="12.28515625" style="3" customWidth="1"/>
    <col min="12045" max="12045" width="8.5703125" style="3" bestFit="1" customWidth="1"/>
    <col min="12046" max="12046" width="16.4257812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7.28515625" style="3" bestFit="1" customWidth="1"/>
    <col min="12296" max="12298" width="5.5703125" style="3" bestFit="1" customWidth="1"/>
    <col min="12299" max="12299" width="4.85546875" style="3" bestFit="1" customWidth="1"/>
    <col min="12300" max="12300" width="12.28515625" style="3" customWidth="1"/>
    <col min="12301" max="12301" width="8.5703125" style="3" bestFit="1" customWidth="1"/>
    <col min="12302" max="12302" width="16.4257812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7.28515625" style="3" bestFit="1" customWidth="1"/>
    <col min="12552" max="12554" width="5.5703125" style="3" bestFit="1" customWidth="1"/>
    <col min="12555" max="12555" width="4.85546875" style="3" bestFit="1" customWidth="1"/>
    <col min="12556" max="12556" width="12.28515625" style="3" customWidth="1"/>
    <col min="12557" max="12557" width="8.5703125" style="3" bestFit="1" customWidth="1"/>
    <col min="12558" max="12558" width="16.4257812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7.28515625" style="3" bestFit="1" customWidth="1"/>
    <col min="12808" max="12810" width="5.5703125" style="3" bestFit="1" customWidth="1"/>
    <col min="12811" max="12811" width="4.85546875" style="3" bestFit="1" customWidth="1"/>
    <col min="12812" max="12812" width="12.28515625" style="3" customWidth="1"/>
    <col min="12813" max="12813" width="8.5703125" style="3" bestFit="1" customWidth="1"/>
    <col min="12814" max="12814" width="16.4257812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7.28515625" style="3" bestFit="1" customWidth="1"/>
    <col min="13064" max="13066" width="5.5703125" style="3" bestFit="1" customWidth="1"/>
    <col min="13067" max="13067" width="4.85546875" style="3" bestFit="1" customWidth="1"/>
    <col min="13068" max="13068" width="12.28515625" style="3" customWidth="1"/>
    <col min="13069" max="13069" width="8.5703125" style="3" bestFit="1" customWidth="1"/>
    <col min="13070" max="13070" width="16.4257812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7.28515625" style="3" bestFit="1" customWidth="1"/>
    <col min="13320" max="13322" width="5.5703125" style="3" bestFit="1" customWidth="1"/>
    <col min="13323" max="13323" width="4.85546875" style="3" bestFit="1" customWidth="1"/>
    <col min="13324" max="13324" width="12.28515625" style="3" customWidth="1"/>
    <col min="13325" max="13325" width="8.5703125" style="3" bestFit="1" customWidth="1"/>
    <col min="13326" max="13326" width="16.4257812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7.28515625" style="3" bestFit="1" customWidth="1"/>
    <col min="13576" max="13578" width="5.5703125" style="3" bestFit="1" customWidth="1"/>
    <col min="13579" max="13579" width="4.85546875" style="3" bestFit="1" customWidth="1"/>
    <col min="13580" max="13580" width="12.28515625" style="3" customWidth="1"/>
    <col min="13581" max="13581" width="8.5703125" style="3" bestFit="1" customWidth="1"/>
    <col min="13582" max="13582" width="16.4257812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7.28515625" style="3" bestFit="1" customWidth="1"/>
    <col min="13832" max="13834" width="5.5703125" style="3" bestFit="1" customWidth="1"/>
    <col min="13835" max="13835" width="4.85546875" style="3" bestFit="1" customWidth="1"/>
    <col min="13836" max="13836" width="12.28515625" style="3" customWidth="1"/>
    <col min="13837" max="13837" width="8.5703125" style="3" bestFit="1" customWidth="1"/>
    <col min="13838" max="13838" width="16.4257812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7.28515625" style="3" bestFit="1" customWidth="1"/>
    <col min="14088" max="14090" width="5.5703125" style="3" bestFit="1" customWidth="1"/>
    <col min="14091" max="14091" width="4.85546875" style="3" bestFit="1" customWidth="1"/>
    <col min="14092" max="14092" width="12.28515625" style="3" customWidth="1"/>
    <col min="14093" max="14093" width="8.5703125" style="3" bestFit="1" customWidth="1"/>
    <col min="14094" max="14094" width="16.4257812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7.28515625" style="3" bestFit="1" customWidth="1"/>
    <col min="14344" max="14346" width="5.5703125" style="3" bestFit="1" customWidth="1"/>
    <col min="14347" max="14347" width="4.85546875" style="3" bestFit="1" customWidth="1"/>
    <col min="14348" max="14348" width="12.28515625" style="3" customWidth="1"/>
    <col min="14349" max="14349" width="8.5703125" style="3" bestFit="1" customWidth="1"/>
    <col min="14350" max="14350" width="16.4257812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7.28515625" style="3" bestFit="1" customWidth="1"/>
    <col min="14600" max="14602" width="5.5703125" style="3" bestFit="1" customWidth="1"/>
    <col min="14603" max="14603" width="4.85546875" style="3" bestFit="1" customWidth="1"/>
    <col min="14604" max="14604" width="12.28515625" style="3" customWidth="1"/>
    <col min="14605" max="14605" width="8.5703125" style="3" bestFit="1" customWidth="1"/>
    <col min="14606" max="14606" width="16.4257812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7.28515625" style="3" bestFit="1" customWidth="1"/>
    <col min="14856" max="14858" width="5.5703125" style="3" bestFit="1" customWidth="1"/>
    <col min="14859" max="14859" width="4.85546875" style="3" bestFit="1" customWidth="1"/>
    <col min="14860" max="14860" width="12.28515625" style="3" customWidth="1"/>
    <col min="14861" max="14861" width="8.5703125" style="3" bestFit="1" customWidth="1"/>
    <col min="14862" max="14862" width="16.4257812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7.28515625" style="3" bestFit="1" customWidth="1"/>
    <col min="15112" max="15114" width="5.5703125" style="3" bestFit="1" customWidth="1"/>
    <col min="15115" max="15115" width="4.85546875" style="3" bestFit="1" customWidth="1"/>
    <col min="15116" max="15116" width="12.28515625" style="3" customWidth="1"/>
    <col min="15117" max="15117" width="8.5703125" style="3" bestFit="1" customWidth="1"/>
    <col min="15118" max="15118" width="16.4257812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7.28515625" style="3" bestFit="1" customWidth="1"/>
    <col min="15368" max="15370" width="5.5703125" style="3" bestFit="1" customWidth="1"/>
    <col min="15371" max="15371" width="4.85546875" style="3" bestFit="1" customWidth="1"/>
    <col min="15372" max="15372" width="12.28515625" style="3" customWidth="1"/>
    <col min="15373" max="15373" width="8.5703125" style="3" bestFit="1" customWidth="1"/>
    <col min="15374" max="15374" width="16.4257812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7.28515625" style="3" bestFit="1" customWidth="1"/>
    <col min="15624" max="15626" width="5.5703125" style="3" bestFit="1" customWidth="1"/>
    <col min="15627" max="15627" width="4.85546875" style="3" bestFit="1" customWidth="1"/>
    <col min="15628" max="15628" width="12.28515625" style="3" customWidth="1"/>
    <col min="15629" max="15629" width="8.5703125" style="3" bestFit="1" customWidth="1"/>
    <col min="15630" max="15630" width="16.4257812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7.28515625" style="3" bestFit="1" customWidth="1"/>
    <col min="15880" max="15882" width="5.5703125" style="3" bestFit="1" customWidth="1"/>
    <col min="15883" max="15883" width="4.85546875" style="3" bestFit="1" customWidth="1"/>
    <col min="15884" max="15884" width="12.28515625" style="3" customWidth="1"/>
    <col min="15885" max="15885" width="8.5703125" style="3" bestFit="1" customWidth="1"/>
    <col min="15886" max="15886" width="16.4257812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7.28515625" style="3" bestFit="1" customWidth="1"/>
    <col min="16136" max="16138" width="5.5703125" style="3" bestFit="1" customWidth="1"/>
    <col min="16139" max="16139" width="4.85546875" style="3" bestFit="1" customWidth="1"/>
    <col min="16140" max="16140" width="12.28515625" style="3" customWidth="1"/>
    <col min="16141" max="16141" width="8.5703125" style="3" bestFit="1" customWidth="1"/>
    <col min="16142" max="16142" width="16.42578125" style="3" bestFit="1" customWidth="1"/>
    <col min="16143" max="16384" width="9.140625" style="3"/>
  </cols>
  <sheetData>
    <row r="1" spans="1:14" s="2" customFormat="1" ht="29.1" customHeight="1" x14ac:dyDescent="0.2">
      <c r="A1" s="40" t="s">
        <v>589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31" t="s">
        <v>225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9" t="s">
        <v>590</v>
      </c>
      <c r="B6" s="9" t="s">
        <v>1442</v>
      </c>
      <c r="C6" s="9" t="s">
        <v>591</v>
      </c>
      <c r="D6" s="9" t="s">
        <v>592</v>
      </c>
      <c r="E6" s="9" t="str">
        <f>"1,1832"</f>
        <v>1,1832</v>
      </c>
      <c r="F6" s="9" t="s">
        <v>65</v>
      </c>
      <c r="G6" s="9" t="s">
        <v>66</v>
      </c>
      <c r="H6" s="10" t="s">
        <v>593</v>
      </c>
      <c r="I6" s="10" t="s">
        <v>231</v>
      </c>
      <c r="J6" s="10" t="s">
        <v>594</v>
      </c>
      <c r="K6" s="25"/>
      <c r="L6" s="9" t="str">
        <f>"57,5"</f>
        <v>57,5</v>
      </c>
      <c r="M6" s="10" t="str">
        <f>"68,0340"</f>
        <v>68,0340</v>
      </c>
      <c r="N6" s="9" t="s">
        <v>595</v>
      </c>
    </row>
    <row r="7" spans="1:14" x14ac:dyDescent="0.2">
      <c r="A7" s="14" t="s">
        <v>596</v>
      </c>
      <c r="B7" s="14" t="s">
        <v>1442</v>
      </c>
      <c r="C7" s="14" t="s">
        <v>597</v>
      </c>
      <c r="D7" s="14" t="s">
        <v>332</v>
      </c>
      <c r="E7" s="14" t="str">
        <f>"1,1950"</f>
        <v>1,1950</v>
      </c>
      <c r="F7" s="14" t="s">
        <v>65</v>
      </c>
      <c r="G7" s="14" t="s">
        <v>66</v>
      </c>
      <c r="H7" s="16" t="s">
        <v>598</v>
      </c>
      <c r="I7" s="15" t="s">
        <v>594</v>
      </c>
      <c r="J7" s="15" t="s">
        <v>236</v>
      </c>
      <c r="K7" s="15"/>
      <c r="L7" s="14" t="str">
        <f>"55,0"</f>
        <v>55,0</v>
      </c>
      <c r="M7" s="16" t="str">
        <f>"65,7250"</f>
        <v>65,7250</v>
      </c>
      <c r="N7" s="14" t="s">
        <v>599</v>
      </c>
    </row>
    <row r="9" spans="1:14" ht="15" x14ac:dyDescent="0.2">
      <c r="A9" s="32" t="s">
        <v>196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2">
      <c r="A10" s="9" t="s">
        <v>600</v>
      </c>
      <c r="B10" s="9" t="s">
        <v>1443</v>
      </c>
      <c r="C10" s="9" t="s">
        <v>444</v>
      </c>
      <c r="D10" s="9" t="s">
        <v>199</v>
      </c>
      <c r="E10" s="9" t="str">
        <f>"1,1149"</f>
        <v>1,1149</v>
      </c>
      <c r="F10" s="9" t="s">
        <v>65</v>
      </c>
      <c r="G10" s="9" t="s">
        <v>66</v>
      </c>
      <c r="H10" s="10" t="s">
        <v>16</v>
      </c>
      <c r="I10" s="10" t="s">
        <v>23</v>
      </c>
      <c r="J10" s="25" t="s">
        <v>48</v>
      </c>
      <c r="K10" s="25"/>
      <c r="L10" s="9" t="str">
        <f>"72,5"</f>
        <v>72,5</v>
      </c>
      <c r="M10" s="10" t="str">
        <f>"80,8302"</f>
        <v>80,8302</v>
      </c>
      <c r="N10" s="9" t="s">
        <v>601</v>
      </c>
    </row>
    <row r="11" spans="1:14" x14ac:dyDescent="0.2">
      <c r="A11" s="11" t="s">
        <v>602</v>
      </c>
      <c r="B11" s="11" t="s">
        <v>1442</v>
      </c>
      <c r="C11" s="11" t="s">
        <v>603</v>
      </c>
      <c r="D11" s="11" t="s">
        <v>604</v>
      </c>
      <c r="E11" s="11" t="str">
        <f>"1,1295"</f>
        <v>1,1295</v>
      </c>
      <c r="F11" s="11" t="s">
        <v>65</v>
      </c>
      <c r="G11" s="11" t="s">
        <v>66</v>
      </c>
      <c r="H11" s="13" t="s">
        <v>231</v>
      </c>
      <c r="I11" s="12" t="s">
        <v>594</v>
      </c>
      <c r="J11" s="13" t="s">
        <v>594</v>
      </c>
      <c r="K11" s="12"/>
      <c r="L11" s="11" t="str">
        <f>"57,5"</f>
        <v>57,5</v>
      </c>
      <c r="M11" s="13" t="str">
        <f>"64,9463"</f>
        <v>64,9463</v>
      </c>
      <c r="N11" s="11" t="s">
        <v>605</v>
      </c>
    </row>
    <row r="12" spans="1:14" x14ac:dyDescent="0.2">
      <c r="A12" s="14" t="s">
        <v>606</v>
      </c>
      <c r="B12" s="14" t="s">
        <v>1442</v>
      </c>
      <c r="C12" s="14" t="s">
        <v>607</v>
      </c>
      <c r="D12" s="14" t="s">
        <v>608</v>
      </c>
      <c r="E12" s="14" t="str">
        <f>"1,1310"</f>
        <v>1,1310</v>
      </c>
      <c r="F12" s="14" t="s">
        <v>14</v>
      </c>
      <c r="G12" s="14" t="s">
        <v>381</v>
      </c>
      <c r="H12" s="16" t="s">
        <v>230</v>
      </c>
      <c r="I12" s="15" t="s">
        <v>609</v>
      </c>
      <c r="J12" s="15" t="s">
        <v>231</v>
      </c>
      <c r="K12" s="15"/>
      <c r="L12" s="14" t="str">
        <f>"50,0"</f>
        <v>50,0</v>
      </c>
      <c r="M12" s="16" t="str">
        <f>"69,2738"</f>
        <v>69,2738</v>
      </c>
      <c r="N12" s="14"/>
    </row>
    <row r="14" spans="1:14" ht="15" x14ac:dyDescent="0.2">
      <c r="A14" s="32" t="s">
        <v>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x14ac:dyDescent="0.2">
      <c r="A15" s="9" t="s">
        <v>610</v>
      </c>
      <c r="B15" s="9" t="s">
        <v>1438</v>
      </c>
      <c r="C15" s="9" t="s">
        <v>611</v>
      </c>
      <c r="D15" s="9" t="s">
        <v>612</v>
      </c>
      <c r="E15" s="9" t="str">
        <f>"1,0362"</f>
        <v>1,0362</v>
      </c>
      <c r="F15" s="9" t="s">
        <v>65</v>
      </c>
      <c r="G15" s="9" t="s">
        <v>66</v>
      </c>
      <c r="H15" s="10" t="s">
        <v>49</v>
      </c>
      <c r="I15" s="10" t="s">
        <v>230</v>
      </c>
      <c r="J15" s="25" t="s">
        <v>231</v>
      </c>
      <c r="K15" s="25"/>
      <c r="L15" s="9" t="str">
        <f>"50,0"</f>
        <v>50,0</v>
      </c>
      <c r="M15" s="10" t="str">
        <f>"51,8100"</f>
        <v>51,8100</v>
      </c>
      <c r="N15" s="9" t="s">
        <v>613</v>
      </c>
    </row>
    <row r="16" spans="1:14" x14ac:dyDescent="0.2">
      <c r="A16" s="11" t="s">
        <v>614</v>
      </c>
      <c r="B16" s="11" t="s">
        <v>1443</v>
      </c>
      <c r="C16" s="11" t="s">
        <v>615</v>
      </c>
      <c r="D16" s="11" t="s">
        <v>616</v>
      </c>
      <c r="E16" s="11" t="str">
        <f>"1,0564"</f>
        <v>1,0564</v>
      </c>
      <c r="F16" s="11" t="s">
        <v>65</v>
      </c>
      <c r="G16" s="11" t="s">
        <v>66</v>
      </c>
      <c r="H16" s="13" t="s">
        <v>23</v>
      </c>
      <c r="I16" s="13" t="s">
        <v>106</v>
      </c>
      <c r="J16" s="12" t="s">
        <v>48</v>
      </c>
      <c r="K16" s="12"/>
      <c r="L16" s="11" t="str">
        <f>"75,0"</f>
        <v>75,0</v>
      </c>
      <c r="M16" s="13" t="str">
        <f>"79,2300"</f>
        <v>79,2300</v>
      </c>
      <c r="N16" s="11" t="s">
        <v>617</v>
      </c>
    </row>
    <row r="17" spans="1:14" x14ac:dyDescent="0.2">
      <c r="A17" s="14" t="s">
        <v>618</v>
      </c>
      <c r="B17" s="14" t="s">
        <v>1443</v>
      </c>
      <c r="C17" s="14" t="s">
        <v>619</v>
      </c>
      <c r="D17" s="14" t="s">
        <v>620</v>
      </c>
      <c r="E17" s="14" t="str">
        <f>"1,0455"</f>
        <v>1,0455</v>
      </c>
      <c r="F17" s="14" t="s">
        <v>14</v>
      </c>
      <c r="G17" s="14" t="s">
        <v>621</v>
      </c>
      <c r="H17" s="16" t="s">
        <v>248</v>
      </c>
      <c r="I17" s="15" t="s">
        <v>106</v>
      </c>
      <c r="J17" s="16" t="s">
        <v>106</v>
      </c>
      <c r="K17" s="15"/>
      <c r="L17" s="14" t="str">
        <f>"75,0"</f>
        <v>75,0</v>
      </c>
      <c r="M17" s="16" t="str">
        <f>"78,4125"</f>
        <v>78,4125</v>
      </c>
      <c r="N17" s="14" t="s">
        <v>622</v>
      </c>
    </row>
    <row r="19" spans="1:14" ht="15" x14ac:dyDescent="0.2">
      <c r="A19" s="32" t="s">
        <v>19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x14ac:dyDescent="0.2">
      <c r="A20" s="6" t="s">
        <v>623</v>
      </c>
      <c r="B20" s="6" t="s">
        <v>1436</v>
      </c>
      <c r="C20" s="6" t="s">
        <v>624</v>
      </c>
      <c r="D20" s="6" t="s">
        <v>625</v>
      </c>
      <c r="E20" s="6" t="str">
        <f>"0,9646"</f>
        <v>0,9646</v>
      </c>
      <c r="F20" s="6" t="s">
        <v>65</v>
      </c>
      <c r="G20" s="6" t="s">
        <v>66</v>
      </c>
      <c r="H20" s="7" t="s">
        <v>32</v>
      </c>
      <c r="I20" s="7" t="s">
        <v>32</v>
      </c>
      <c r="J20" s="7" t="s">
        <v>32</v>
      </c>
      <c r="K20" s="7"/>
      <c r="L20" s="6" t="str">
        <f>"0,0"</f>
        <v>0,0</v>
      </c>
      <c r="M20" s="8" t="str">
        <f>"0,0000"</f>
        <v>0,0000</v>
      </c>
      <c r="N20" s="6" t="s">
        <v>626</v>
      </c>
    </row>
    <row r="22" spans="1:14" ht="15" x14ac:dyDescent="0.2">
      <c r="A22" s="32" t="s">
        <v>225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x14ac:dyDescent="0.2">
      <c r="A23" s="6" t="s">
        <v>627</v>
      </c>
      <c r="B23" s="6" t="s">
        <v>1439</v>
      </c>
      <c r="C23" s="6" t="s">
        <v>628</v>
      </c>
      <c r="D23" s="6" t="s">
        <v>629</v>
      </c>
      <c r="E23" s="6" t="str">
        <f>"0,9233"</f>
        <v>0,9233</v>
      </c>
      <c r="F23" s="6" t="s">
        <v>65</v>
      </c>
      <c r="G23" s="6" t="s">
        <v>66</v>
      </c>
      <c r="H23" s="8" t="s">
        <v>236</v>
      </c>
      <c r="I23" s="7" t="s">
        <v>237</v>
      </c>
      <c r="J23" s="7" t="s">
        <v>248</v>
      </c>
      <c r="K23" s="7"/>
      <c r="L23" s="6" t="str">
        <f>"60,0"</f>
        <v>60,0</v>
      </c>
      <c r="M23" s="8" t="str">
        <f>"55,3980"</f>
        <v>55,3980</v>
      </c>
      <c r="N23" s="6"/>
    </row>
    <row r="25" spans="1:14" ht="15" x14ac:dyDescent="0.2">
      <c r="A25" s="32" t="s">
        <v>196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x14ac:dyDescent="0.2">
      <c r="A26" s="6" t="s">
        <v>630</v>
      </c>
      <c r="B26" s="6" t="s">
        <v>1443</v>
      </c>
      <c r="C26" s="6" t="s">
        <v>631</v>
      </c>
      <c r="D26" s="6" t="s">
        <v>632</v>
      </c>
      <c r="E26" s="6" t="str">
        <f>"0,8568"</f>
        <v>0,8568</v>
      </c>
      <c r="F26" s="6" t="s">
        <v>14</v>
      </c>
      <c r="G26" s="6" t="s">
        <v>93</v>
      </c>
      <c r="H26" s="7" t="s">
        <v>94</v>
      </c>
      <c r="I26" s="8" t="s">
        <v>94</v>
      </c>
      <c r="J26" s="7"/>
      <c r="K26" s="7"/>
      <c r="L26" s="6" t="str">
        <f>"115,0"</f>
        <v>115,0</v>
      </c>
      <c r="M26" s="8" t="str">
        <f>"98,5320"</f>
        <v>98,5320</v>
      </c>
      <c r="N26" s="6" t="s">
        <v>633</v>
      </c>
    </row>
    <row r="28" spans="1:14" ht="15" x14ac:dyDescent="0.2">
      <c r="A28" s="32" t="s">
        <v>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x14ac:dyDescent="0.2">
      <c r="A29" s="9" t="s">
        <v>634</v>
      </c>
      <c r="B29" s="9" t="s">
        <v>1442</v>
      </c>
      <c r="C29" s="9" t="s">
        <v>635</v>
      </c>
      <c r="D29" s="9" t="s">
        <v>636</v>
      </c>
      <c r="E29" s="9" t="str">
        <f>"0,7872"</f>
        <v>0,7872</v>
      </c>
      <c r="F29" s="26" t="s">
        <v>14</v>
      </c>
      <c r="G29" s="9" t="s">
        <v>431</v>
      </c>
      <c r="H29" s="25" t="s">
        <v>179</v>
      </c>
      <c r="I29" s="10" t="s">
        <v>179</v>
      </c>
      <c r="J29" s="25" t="s">
        <v>83</v>
      </c>
      <c r="K29" s="25"/>
      <c r="L29" s="9" t="str">
        <f>"107,5"</f>
        <v>107,5</v>
      </c>
      <c r="M29" s="10" t="str">
        <f>"84,6240"</f>
        <v>84,6240</v>
      </c>
      <c r="N29" s="9" t="s">
        <v>637</v>
      </c>
    </row>
    <row r="30" spans="1:14" x14ac:dyDescent="0.2">
      <c r="A30" s="14" t="s">
        <v>638</v>
      </c>
      <c r="B30" s="14" t="s">
        <v>1439</v>
      </c>
      <c r="C30" s="14" t="s">
        <v>369</v>
      </c>
      <c r="D30" s="14" t="s">
        <v>235</v>
      </c>
      <c r="E30" s="14" t="str">
        <f>"0,7891"</f>
        <v>0,7891</v>
      </c>
      <c r="F30" s="14" t="s">
        <v>14</v>
      </c>
      <c r="G30" s="14" t="s">
        <v>370</v>
      </c>
      <c r="H30" s="16" t="s">
        <v>248</v>
      </c>
      <c r="I30" s="15" t="s">
        <v>32</v>
      </c>
      <c r="J30" s="15" t="s">
        <v>55</v>
      </c>
      <c r="K30" s="15"/>
      <c r="L30" s="14" t="str">
        <f>"70,0"</f>
        <v>70,0</v>
      </c>
      <c r="M30" s="16" t="str">
        <f>"55,2370"</f>
        <v>55,2370</v>
      </c>
      <c r="N30" s="14" t="s">
        <v>371</v>
      </c>
    </row>
    <row r="32" spans="1:14" ht="15" x14ac:dyDescent="0.2">
      <c r="A32" s="32" t="s">
        <v>19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x14ac:dyDescent="0.2">
      <c r="A33" s="9" t="s">
        <v>639</v>
      </c>
      <c r="B33" s="9" t="s">
        <v>1441</v>
      </c>
      <c r="C33" s="9" t="s">
        <v>640</v>
      </c>
      <c r="D33" s="9" t="s">
        <v>641</v>
      </c>
      <c r="E33" s="9" t="str">
        <f>"0,7337"</f>
        <v>0,7337</v>
      </c>
      <c r="F33" s="9" t="s">
        <v>14</v>
      </c>
      <c r="G33" s="9" t="s">
        <v>152</v>
      </c>
      <c r="H33" s="10" t="s">
        <v>318</v>
      </c>
      <c r="I33" s="25" t="s">
        <v>114</v>
      </c>
      <c r="J33" s="25"/>
      <c r="K33" s="25"/>
      <c r="L33" s="9" t="str">
        <f>"97,5"</f>
        <v>97,5</v>
      </c>
      <c r="M33" s="10" t="str">
        <f>"71,5357"</f>
        <v>71,5357</v>
      </c>
      <c r="N33" s="9" t="s">
        <v>642</v>
      </c>
    </row>
    <row r="34" spans="1:14" x14ac:dyDescent="0.2">
      <c r="A34" s="11" t="s">
        <v>643</v>
      </c>
      <c r="B34" s="11" t="s">
        <v>1442</v>
      </c>
      <c r="C34" s="11" t="s">
        <v>644</v>
      </c>
      <c r="D34" s="11" t="s">
        <v>645</v>
      </c>
      <c r="E34" s="11" t="str">
        <f>"0,7207"</f>
        <v>0,7207</v>
      </c>
      <c r="F34" s="11" t="s">
        <v>14</v>
      </c>
      <c r="G34" s="11" t="s">
        <v>349</v>
      </c>
      <c r="H34" s="12" t="s">
        <v>329</v>
      </c>
      <c r="I34" s="13" t="s">
        <v>329</v>
      </c>
      <c r="J34" s="12" t="s">
        <v>646</v>
      </c>
      <c r="K34" s="12"/>
      <c r="L34" s="11" t="str">
        <f>"127,5"</f>
        <v>127,5</v>
      </c>
      <c r="M34" s="13" t="str">
        <f>"91,8893"</f>
        <v>91,8893</v>
      </c>
      <c r="N34" s="11" t="s">
        <v>62</v>
      </c>
    </row>
    <row r="35" spans="1:14" x14ac:dyDescent="0.2">
      <c r="A35" s="11" t="s">
        <v>647</v>
      </c>
      <c r="B35" s="11" t="s">
        <v>1442</v>
      </c>
      <c r="C35" s="11" t="s">
        <v>648</v>
      </c>
      <c r="D35" s="11" t="s">
        <v>649</v>
      </c>
      <c r="E35" s="11" t="str">
        <f>"0,7235"</f>
        <v>0,7235</v>
      </c>
      <c r="F35" s="11" t="s">
        <v>14</v>
      </c>
      <c r="G35" s="11" t="s">
        <v>370</v>
      </c>
      <c r="H35" s="12" t="s">
        <v>88</v>
      </c>
      <c r="I35" s="13" t="s">
        <v>88</v>
      </c>
      <c r="J35" s="12" t="s">
        <v>646</v>
      </c>
      <c r="K35" s="12"/>
      <c r="L35" s="11" t="str">
        <f>"117,5"</f>
        <v>117,5</v>
      </c>
      <c r="M35" s="13" t="str">
        <f>"85,0113"</f>
        <v>85,0113</v>
      </c>
      <c r="N35" s="11" t="s">
        <v>62</v>
      </c>
    </row>
    <row r="36" spans="1:14" x14ac:dyDescent="0.2">
      <c r="A36" s="11" t="s">
        <v>650</v>
      </c>
      <c r="B36" s="11" t="s">
        <v>1441</v>
      </c>
      <c r="C36" s="11" t="s">
        <v>651</v>
      </c>
      <c r="D36" s="11" t="s">
        <v>652</v>
      </c>
      <c r="E36" s="11" t="str">
        <f>"0,7510"</f>
        <v>0,7510</v>
      </c>
      <c r="F36" s="11" t="s">
        <v>14</v>
      </c>
      <c r="G36" s="11" t="s">
        <v>15</v>
      </c>
      <c r="H36" s="13" t="s">
        <v>74</v>
      </c>
      <c r="I36" s="12" t="s">
        <v>79</v>
      </c>
      <c r="J36" s="13" t="s">
        <v>79</v>
      </c>
      <c r="K36" s="12"/>
      <c r="L36" s="11" t="str">
        <f>"95,0"</f>
        <v>95,0</v>
      </c>
      <c r="M36" s="13" t="str">
        <f>"71,3450"</f>
        <v>71,3450</v>
      </c>
      <c r="N36" s="11" t="s">
        <v>62</v>
      </c>
    </row>
    <row r="37" spans="1:14" x14ac:dyDescent="0.2">
      <c r="A37" s="14" t="s">
        <v>653</v>
      </c>
      <c r="B37" s="14" t="s">
        <v>1444</v>
      </c>
      <c r="C37" s="14" t="s">
        <v>654</v>
      </c>
      <c r="D37" s="14" t="s">
        <v>655</v>
      </c>
      <c r="E37" s="14" t="str">
        <f>"0,7126"</f>
        <v>0,7126</v>
      </c>
      <c r="F37" s="14" t="s">
        <v>65</v>
      </c>
      <c r="G37" s="14" t="s">
        <v>66</v>
      </c>
      <c r="H37" s="15" t="s">
        <v>304</v>
      </c>
      <c r="I37" s="15" t="s">
        <v>304</v>
      </c>
      <c r="J37" s="16" t="s">
        <v>304</v>
      </c>
      <c r="K37" s="15"/>
      <c r="L37" s="14" t="str">
        <f>"125,0"</f>
        <v>125,0</v>
      </c>
      <c r="M37" s="16" t="str">
        <f>"129,1587"</f>
        <v>129,1587</v>
      </c>
      <c r="N37" s="14" t="s">
        <v>62</v>
      </c>
    </row>
    <row r="39" spans="1:14" ht="15" x14ac:dyDescent="0.2">
      <c r="A39" s="32" t="s">
        <v>26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x14ac:dyDescent="0.2">
      <c r="A40" s="9" t="s">
        <v>656</v>
      </c>
      <c r="B40" s="9" t="s">
        <v>1438</v>
      </c>
      <c r="C40" s="9" t="s">
        <v>657</v>
      </c>
      <c r="D40" s="9" t="s">
        <v>658</v>
      </c>
      <c r="E40" s="9" t="str">
        <f>"0,7061"</f>
        <v>0,7061</v>
      </c>
      <c r="F40" s="9" t="s">
        <v>65</v>
      </c>
      <c r="G40" s="9" t="s">
        <v>66</v>
      </c>
      <c r="H40" s="10" t="s">
        <v>32</v>
      </c>
      <c r="I40" s="10" t="s">
        <v>659</v>
      </c>
      <c r="J40" s="10" t="s">
        <v>55</v>
      </c>
      <c r="K40" s="25"/>
      <c r="L40" s="9" t="str">
        <f>"87,5"</f>
        <v>87,5</v>
      </c>
      <c r="M40" s="10" t="str">
        <f>"61,7837"</f>
        <v>61,7837</v>
      </c>
      <c r="N40" s="9" t="s">
        <v>660</v>
      </c>
    </row>
    <row r="41" spans="1:14" x14ac:dyDescent="0.2">
      <c r="A41" s="11" t="s">
        <v>661</v>
      </c>
      <c r="B41" s="11" t="s">
        <v>1443</v>
      </c>
      <c r="C41" s="11" t="s">
        <v>662</v>
      </c>
      <c r="D41" s="11" t="s">
        <v>663</v>
      </c>
      <c r="E41" s="11" t="str">
        <f>"0,6816"</f>
        <v>0,6816</v>
      </c>
      <c r="F41" s="11" t="s">
        <v>65</v>
      </c>
      <c r="G41" s="11" t="s">
        <v>66</v>
      </c>
      <c r="H41" s="13" t="s">
        <v>357</v>
      </c>
      <c r="I41" s="13" t="s">
        <v>664</v>
      </c>
      <c r="J41" s="13" t="s">
        <v>665</v>
      </c>
      <c r="K41" s="12"/>
      <c r="L41" s="11" t="str">
        <f>"147,5"</f>
        <v>147,5</v>
      </c>
      <c r="M41" s="13" t="str">
        <f>"100,5360"</f>
        <v>100,5360</v>
      </c>
      <c r="N41" s="11" t="s">
        <v>62</v>
      </c>
    </row>
    <row r="42" spans="1:14" x14ac:dyDescent="0.2">
      <c r="A42" s="11" t="s">
        <v>666</v>
      </c>
      <c r="B42" s="11" t="s">
        <v>1442</v>
      </c>
      <c r="C42" s="11" t="s">
        <v>667</v>
      </c>
      <c r="D42" s="11" t="s">
        <v>668</v>
      </c>
      <c r="E42" s="11" t="str">
        <f>"0,6759"</f>
        <v>0,6759</v>
      </c>
      <c r="F42" s="11" t="s">
        <v>65</v>
      </c>
      <c r="G42" s="11" t="s">
        <v>66</v>
      </c>
      <c r="H42" s="13" t="s">
        <v>355</v>
      </c>
      <c r="I42" s="12" t="s">
        <v>357</v>
      </c>
      <c r="J42" s="12" t="s">
        <v>357</v>
      </c>
      <c r="K42" s="12"/>
      <c r="L42" s="11" t="str">
        <f>"135,0"</f>
        <v>135,0</v>
      </c>
      <c r="M42" s="13" t="str">
        <f>"91,2465"</f>
        <v>91,2465</v>
      </c>
      <c r="N42" s="11"/>
    </row>
    <row r="43" spans="1:14" x14ac:dyDescent="0.2">
      <c r="A43" s="11" t="s">
        <v>669</v>
      </c>
      <c r="B43" s="11" t="s">
        <v>1442</v>
      </c>
      <c r="C43" s="11" t="s">
        <v>670</v>
      </c>
      <c r="D43" s="11" t="s">
        <v>671</v>
      </c>
      <c r="E43" s="11" t="str">
        <f>"0,6774"</f>
        <v>0,6774</v>
      </c>
      <c r="F43" s="27" t="s">
        <v>65</v>
      </c>
      <c r="G43" s="11" t="s">
        <v>65</v>
      </c>
      <c r="H43" s="13" t="s">
        <v>183</v>
      </c>
      <c r="I43" s="12" t="s">
        <v>357</v>
      </c>
      <c r="J43" s="12" t="s">
        <v>357</v>
      </c>
      <c r="K43" s="12"/>
      <c r="L43" s="11" t="str">
        <f>"130,0"</f>
        <v>130,0</v>
      </c>
      <c r="M43" s="13" t="str">
        <f>"88,0620"</f>
        <v>88,0620</v>
      </c>
      <c r="N43" s="11" t="s">
        <v>62</v>
      </c>
    </row>
    <row r="44" spans="1:14" x14ac:dyDescent="0.2">
      <c r="A44" s="11" t="s">
        <v>672</v>
      </c>
      <c r="B44" s="11" t="s">
        <v>1442</v>
      </c>
      <c r="C44" s="11" t="s">
        <v>673</v>
      </c>
      <c r="D44" s="11" t="s">
        <v>38</v>
      </c>
      <c r="E44" s="11" t="str">
        <f>"0,6779"</f>
        <v>0,6779</v>
      </c>
      <c r="F44" s="11" t="s">
        <v>65</v>
      </c>
      <c r="G44" s="11" t="s">
        <v>66</v>
      </c>
      <c r="H44" s="13" t="s">
        <v>323</v>
      </c>
      <c r="I44" s="13" t="s">
        <v>329</v>
      </c>
      <c r="J44" s="12" t="s">
        <v>355</v>
      </c>
      <c r="K44" s="12"/>
      <c r="L44" s="11" t="str">
        <f>"127,5"</f>
        <v>127,5</v>
      </c>
      <c r="M44" s="13" t="str">
        <f>"86,4323"</f>
        <v>86,4323</v>
      </c>
      <c r="N44" s="11" t="s">
        <v>62</v>
      </c>
    </row>
    <row r="45" spans="1:14" x14ac:dyDescent="0.2">
      <c r="A45" s="11" t="s">
        <v>674</v>
      </c>
      <c r="B45" s="11" t="s">
        <v>1442</v>
      </c>
      <c r="C45" s="11" t="s">
        <v>675</v>
      </c>
      <c r="D45" s="11" t="s">
        <v>360</v>
      </c>
      <c r="E45" s="11" t="str">
        <f>"0,6795"</f>
        <v>0,6795</v>
      </c>
      <c r="F45" s="11" t="s">
        <v>14</v>
      </c>
      <c r="G45" s="11" t="s">
        <v>349</v>
      </c>
      <c r="H45" s="13" t="s">
        <v>323</v>
      </c>
      <c r="I45" s="13" t="s">
        <v>304</v>
      </c>
      <c r="J45" s="12" t="s">
        <v>183</v>
      </c>
      <c r="K45" s="12"/>
      <c r="L45" s="11" t="str">
        <f>"125,0"</f>
        <v>125,0</v>
      </c>
      <c r="M45" s="13" t="str">
        <f>"84,9375"</f>
        <v>84,9375</v>
      </c>
      <c r="N45" s="11" t="s">
        <v>62</v>
      </c>
    </row>
    <row r="46" spans="1:14" x14ac:dyDescent="0.2">
      <c r="A46" s="14" t="s">
        <v>676</v>
      </c>
      <c r="B46" s="14" t="s">
        <v>1443</v>
      </c>
      <c r="C46" s="14" t="s">
        <v>677</v>
      </c>
      <c r="D46" s="14" t="s">
        <v>678</v>
      </c>
      <c r="E46" s="14" t="str">
        <f>"0,6734"</f>
        <v>0,6734</v>
      </c>
      <c r="F46" s="14" t="s">
        <v>14</v>
      </c>
      <c r="G46" s="14" t="s">
        <v>679</v>
      </c>
      <c r="H46" s="16" t="s">
        <v>304</v>
      </c>
      <c r="I46" s="16" t="s">
        <v>183</v>
      </c>
      <c r="J46" s="15" t="s">
        <v>680</v>
      </c>
      <c r="K46" s="15"/>
      <c r="L46" s="14" t="str">
        <f>"130,0"</f>
        <v>130,0</v>
      </c>
      <c r="M46" s="16" t="str">
        <f>"98,9225"</f>
        <v>98,9225</v>
      </c>
      <c r="N46" s="14" t="s">
        <v>681</v>
      </c>
    </row>
    <row r="48" spans="1:14" ht="15" x14ac:dyDescent="0.2">
      <c r="A48" s="32" t="s">
        <v>50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x14ac:dyDescent="0.2">
      <c r="A49" s="9" t="s">
        <v>682</v>
      </c>
      <c r="B49" s="9" t="s">
        <v>1442</v>
      </c>
      <c r="C49" s="9" t="s">
        <v>683</v>
      </c>
      <c r="D49" s="9" t="s">
        <v>684</v>
      </c>
      <c r="E49" s="9" t="str">
        <f>"0,6499"</f>
        <v>0,6499</v>
      </c>
      <c r="F49" s="9" t="s">
        <v>65</v>
      </c>
      <c r="G49" s="9" t="s">
        <v>66</v>
      </c>
      <c r="H49" s="10" t="s">
        <v>323</v>
      </c>
      <c r="I49" s="10" t="s">
        <v>183</v>
      </c>
      <c r="J49" s="10" t="s">
        <v>356</v>
      </c>
      <c r="K49" s="25"/>
      <c r="L49" s="9" t="str">
        <f>"140,0"</f>
        <v>140,0</v>
      </c>
      <c r="M49" s="10" t="str">
        <f>"90,9860"</f>
        <v>90,9860</v>
      </c>
      <c r="N49" s="9" t="s">
        <v>685</v>
      </c>
    </row>
    <row r="50" spans="1:14" x14ac:dyDescent="0.2">
      <c r="A50" s="11" t="s">
        <v>686</v>
      </c>
      <c r="B50" s="11" t="s">
        <v>1442</v>
      </c>
      <c r="C50" s="11" t="s">
        <v>687</v>
      </c>
      <c r="D50" s="11" t="s">
        <v>137</v>
      </c>
      <c r="E50" s="11" t="str">
        <f>"0,6424"</f>
        <v>0,6424</v>
      </c>
      <c r="F50" s="11" t="s">
        <v>14</v>
      </c>
      <c r="G50" s="11" t="s">
        <v>381</v>
      </c>
      <c r="H50" s="13" t="s">
        <v>304</v>
      </c>
      <c r="I50" s="13" t="s">
        <v>183</v>
      </c>
      <c r="J50" s="12" t="s">
        <v>646</v>
      </c>
      <c r="K50" s="12"/>
      <c r="L50" s="11" t="str">
        <f>"130,0"</f>
        <v>130,0</v>
      </c>
      <c r="M50" s="13" t="str">
        <f>"83,5120"</f>
        <v>83,5120</v>
      </c>
      <c r="N50" s="11" t="s">
        <v>688</v>
      </c>
    </row>
    <row r="51" spans="1:14" x14ac:dyDescent="0.2">
      <c r="A51" s="11" t="s">
        <v>689</v>
      </c>
      <c r="B51" s="11" t="s">
        <v>1443</v>
      </c>
      <c r="C51" s="11" t="s">
        <v>690</v>
      </c>
      <c r="D51" s="11" t="s">
        <v>691</v>
      </c>
      <c r="E51" s="11" t="str">
        <f>"0,6413"</f>
        <v>0,6413</v>
      </c>
      <c r="F51" s="11" t="s">
        <v>14</v>
      </c>
      <c r="G51" s="11" t="s">
        <v>15</v>
      </c>
      <c r="H51" s="13" t="s">
        <v>356</v>
      </c>
      <c r="I51" s="13" t="s">
        <v>264</v>
      </c>
      <c r="J51" s="13" t="s">
        <v>426</v>
      </c>
      <c r="K51" s="12"/>
      <c r="L51" s="11" t="str">
        <f>"155,0"</f>
        <v>155,0</v>
      </c>
      <c r="M51" s="13" t="str">
        <f>"99,4015"</f>
        <v>99,4015</v>
      </c>
      <c r="N51" s="11" t="s">
        <v>427</v>
      </c>
    </row>
    <row r="52" spans="1:14" x14ac:dyDescent="0.2">
      <c r="A52" s="11" t="s">
        <v>692</v>
      </c>
      <c r="B52" s="11" t="s">
        <v>1443</v>
      </c>
      <c r="C52" s="11" t="s">
        <v>693</v>
      </c>
      <c r="D52" s="11" t="s">
        <v>694</v>
      </c>
      <c r="E52" s="11" t="str">
        <f>"0,6432"</f>
        <v>0,6432</v>
      </c>
      <c r="F52" s="11" t="s">
        <v>65</v>
      </c>
      <c r="G52" s="11" t="s">
        <v>66</v>
      </c>
      <c r="H52" s="12" t="s">
        <v>264</v>
      </c>
      <c r="I52" s="13" t="s">
        <v>264</v>
      </c>
      <c r="J52" s="13" t="s">
        <v>466</v>
      </c>
      <c r="K52" s="12"/>
      <c r="L52" s="11" t="str">
        <f>"152,5"</f>
        <v>152,5</v>
      </c>
      <c r="M52" s="13" t="str">
        <f>"98,0880"</f>
        <v>98,0880</v>
      </c>
      <c r="N52" s="11" t="s">
        <v>695</v>
      </c>
    </row>
    <row r="53" spans="1:14" x14ac:dyDescent="0.2">
      <c r="A53" s="11" t="s">
        <v>696</v>
      </c>
      <c r="B53" s="11" t="s">
        <v>1443</v>
      </c>
      <c r="C53" s="11" t="s">
        <v>697</v>
      </c>
      <c r="D53" s="11" t="s">
        <v>698</v>
      </c>
      <c r="E53" s="11" t="str">
        <f>"0,6455"</f>
        <v>0,6455</v>
      </c>
      <c r="F53" s="27" t="s">
        <v>14</v>
      </c>
      <c r="G53" s="11" t="s">
        <v>15</v>
      </c>
      <c r="H53" s="13" t="s">
        <v>355</v>
      </c>
      <c r="I53" s="13" t="s">
        <v>664</v>
      </c>
      <c r="J53" s="13" t="s">
        <v>264</v>
      </c>
      <c r="K53" s="12"/>
      <c r="L53" s="11" t="str">
        <f>"150,0"</f>
        <v>150,0</v>
      </c>
      <c r="M53" s="13" t="str">
        <f>"96,8250"</f>
        <v>96,8250</v>
      </c>
      <c r="N53" s="11" t="s">
        <v>633</v>
      </c>
    </row>
    <row r="54" spans="1:14" x14ac:dyDescent="0.2">
      <c r="A54" s="11" t="s">
        <v>699</v>
      </c>
      <c r="B54" s="11" t="s">
        <v>1442</v>
      </c>
      <c r="C54" s="11" t="s">
        <v>700</v>
      </c>
      <c r="D54" s="11" t="s">
        <v>488</v>
      </c>
      <c r="E54" s="11" t="str">
        <f>"0,6503"</f>
        <v>0,6503</v>
      </c>
      <c r="F54" s="11" t="s">
        <v>65</v>
      </c>
      <c r="G54" s="11" t="s">
        <v>66</v>
      </c>
      <c r="H54" s="12" t="s">
        <v>304</v>
      </c>
      <c r="I54" s="13" t="s">
        <v>183</v>
      </c>
      <c r="J54" s="12" t="s">
        <v>355</v>
      </c>
      <c r="K54" s="12"/>
      <c r="L54" s="11" t="str">
        <f>"130,0"</f>
        <v>130,0</v>
      </c>
      <c r="M54" s="13" t="str">
        <f>"84,5390"</f>
        <v>84,5390</v>
      </c>
      <c r="N54" s="11"/>
    </row>
    <row r="55" spans="1:14" x14ac:dyDescent="0.2">
      <c r="A55" s="11" t="s">
        <v>701</v>
      </c>
      <c r="B55" s="11" t="s">
        <v>1442</v>
      </c>
      <c r="C55" s="11" t="s">
        <v>702</v>
      </c>
      <c r="D55" s="11" t="s">
        <v>479</v>
      </c>
      <c r="E55" s="11" t="str">
        <f>"0,6417"</f>
        <v>0,6417</v>
      </c>
      <c r="F55" s="11" t="s">
        <v>65</v>
      </c>
      <c r="G55" s="11" t="s">
        <v>66</v>
      </c>
      <c r="H55" s="12" t="s">
        <v>304</v>
      </c>
      <c r="I55" s="13" t="s">
        <v>183</v>
      </c>
      <c r="J55" s="12" t="s">
        <v>355</v>
      </c>
      <c r="K55" s="12"/>
      <c r="L55" s="11" t="str">
        <f>"130,0"</f>
        <v>130,0</v>
      </c>
      <c r="M55" s="13" t="str">
        <f>"83,4210"</f>
        <v>83,4210</v>
      </c>
      <c r="N55" s="11"/>
    </row>
    <row r="56" spans="1:14" x14ac:dyDescent="0.2">
      <c r="A56" s="11" t="s">
        <v>703</v>
      </c>
      <c r="B56" s="11" t="s">
        <v>1442</v>
      </c>
      <c r="C56" s="11" t="s">
        <v>704</v>
      </c>
      <c r="D56" s="11" t="s">
        <v>479</v>
      </c>
      <c r="E56" s="11" t="str">
        <f>"0,6417"</f>
        <v>0,6417</v>
      </c>
      <c r="F56" s="11" t="s">
        <v>65</v>
      </c>
      <c r="G56" s="11" t="s">
        <v>66</v>
      </c>
      <c r="H56" s="12" t="s">
        <v>304</v>
      </c>
      <c r="I56" s="13" t="s">
        <v>183</v>
      </c>
      <c r="J56" s="12" t="s">
        <v>355</v>
      </c>
      <c r="K56" s="12"/>
      <c r="L56" s="11" t="str">
        <f>"130,0"</f>
        <v>130,0</v>
      </c>
      <c r="M56" s="13" t="str">
        <f>"83,4210"</f>
        <v>83,4210</v>
      </c>
      <c r="N56" s="11" t="s">
        <v>314</v>
      </c>
    </row>
    <row r="57" spans="1:14" x14ac:dyDescent="0.2">
      <c r="A57" s="11" t="s">
        <v>705</v>
      </c>
      <c r="B57" s="11" t="s">
        <v>1437</v>
      </c>
      <c r="C57" s="11" t="s">
        <v>706</v>
      </c>
      <c r="D57" s="11" t="s">
        <v>707</v>
      </c>
      <c r="E57" s="11" t="str">
        <f>"0,6495"</f>
        <v>0,6495</v>
      </c>
      <c r="F57" s="11" t="s">
        <v>65</v>
      </c>
      <c r="G57" s="11" t="s">
        <v>66</v>
      </c>
      <c r="H57" s="13" t="s">
        <v>94</v>
      </c>
      <c r="I57" s="13" t="s">
        <v>323</v>
      </c>
      <c r="J57" s="12" t="s">
        <v>304</v>
      </c>
      <c r="K57" s="12"/>
      <c r="L57" s="11" t="str">
        <f>"120,0"</f>
        <v>120,0</v>
      </c>
      <c r="M57" s="13" t="str">
        <f>"77,9400"</f>
        <v>77,9400</v>
      </c>
      <c r="N57" s="11" t="s">
        <v>62</v>
      </c>
    </row>
    <row r="58" spans="1:14" x14ac:dyDescent="0.2">
      <c r="A58" s="11" t="s">
        <v>708</v>
      </c>
      <c r="B58" s="11" t="s">
        <v>1443</v>
      </c>
      <c r="C58" s="11" t="s">
        <v>709</v>
      </c>
      <c r="D58" s="11" t="s">
        <v>698</v>
      </c>
      <c r="E58" s="11" t="str">
        <f>"0,6455"</f>
        <v>0,6455</v>
      </c>
      <c r="F58" s="11" t="s">
        <v>65</v>
      </c>
      <c r="G58" s="11" t="s">
        <v>66</v>
      </c>
      <c r="H58" s="12" t="s">
        <v>664</v>
      </c>
      <c r="I58" s="13" t="s">
        <v>664</v>
      </c>
      <c r="J58" s="13" t="s">
        <v>264</v>
      </c>
      <c r="K58" s="12"/>
      <c r="L58" s="11" t="str">
        <f>"150,0"</f>
        <v>150,0</v>
      </c>
      <c r="M58" s="13" t="str">
        <f>"97,7933"</f>
        <v>97,7933</v>
      </c>
      <c r="N58" s="11"/>
    </row>
    <row r="59" spans="1:14" x14ac:dyDescent="0.2">
      <c r="A59" s="11" t="s">
        <v>710</v>
      </c>
      <c r="B59" s="11" t="s">
        <v>1443</v>
      </c>
      <c r="C59" s="11" t="s">
        <v>711</v>
      </c>
      <c r="D59" s="11" t="s">
        <v>712</v>
      </c>
      <c r="E59" s="11" t="str">
        <f>"0,6451"</f>
        <v>0,6451</v>
      </c>
      <c r="F59" s="11" t="s">
        <v>713</v>
      </c>
      <c r="G59" s="11" t="s">
        <v>714</v>
      </c>
      <c r="H59" s="13" t="s">
        <v>356</v>
      </c>
      <c r="I59" s="13" t="s">
        <v>664</v>
      </c>
      <c r="J59" s="12" t="s">
        <v>264</v>
      </c>
      <c r="K59" s="12"/>
      <c r="L59" s="11" t="str">
        <f>"145,0"</f>
        <v>145,0</v>
      </c>
      <c r="M59" s="13" t="str">
        <f>"93,5395"</f>
        <v>93,5395</v>
      </c>
      <c r="N59" s="11" t="s">
        <v>62</v>
      </c>
    </row>
    <row r="60" spans="1:14" x14ac:dyDescent="0.2">
      <c r="A60" s="11" t="s">
        <v>715</v>
      </c>
      <c r="B60" s="11" t="s">
        <v>1443</v>
      </c>
      <c r="C60" s="11" t="s">
        <v>716</v>
      </c>
      <c r="D60" s="11" t="s">
        <v>717</v>
      </c>
      <c r="E60" s="11" t="str">
        <f>"0,6447"</f>
        <v>0,6447</v>
      </c>
      <c r="F60" s="11" t="s">
        <v>14</v>
      </c>
      <c r="G60" s="11" t="s">
        <v>718</v>
      </c>
      <c r="H60" s="12" t="s">
        <v>357</v>
      </c>
      <c r="I60" s="13" t="s">
        <v>357</v>
      </c>
      <c r="J60" s="12" t="s">
        <v>264</v>
      </c>
      <c r="K60" s="12"/>
      <c r="L60" s="11" t="str">
        <f>"142,5"</f>
        <v>142,5</v>
      </c>
      <c r="M60" s="13" t="str">
        <f>"98,1169"</f>
        <v>98,1169</v>
      </c>
      <c r="N60" s="11"/>
    </row>
    <row r="61" spans="1:14" x14ac:dyDescent="0.2">
      <c r="A61" s="14" t="s">
        <v>719</v>
      </c>
      <c r="B61" s="14" t="s">
        <v>1444</v>
      </c>
      <c r="C61" s="14" t="s">
        <v>720</v>
      </c>
      <c r="D61" s="14" t="s">
        <v>698</v>
      </c>
      <c r="E61" s="14" t="str">
        <f>"0,6455"</f>
        <v>0,6455</v>
      </c>
      <c r="F61" s="14" t="s">
        <v>721</v>
      </c>
      <c r="G61" s="14" t="s">
        <v>722</v>
      </c>
      <c r="H61" s="16" t="s">
        <v>264</v>
      </c>
      <c r="I61" s="16" t="s">
        <v>265</v>
      </c>
      <c r="J61" s="16" t="s">
        <v>467</v>
      </c>
      <c r="K61" s="15"/>
      <c r="L61" s="14" t="str">
        <f>"162,5"</f>
        <v>162,5</v>
      </c>
      <c r="M61" s="16" t="str">
        <f>"128,4948"</f>
        <v>128,4948</v>
      </c>
      <c r="N61" s="14"/>
    </row>
    <row r="63" spans="1:14" ht="15" x14ac:dyDescent="0.2">
      <c r="A63" s="32" t="s">
        <v>70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14" x14ac:dyDescent="0.2">
      <c r="A64" s="9" t="s">
        <v>723</v>
      </c>
      <c r="B64" s="9" t="s">
        <v>1443</v>
      </c>
      <c r="C64" s="9" t="s">
        <v>724</v>
      </c>
      <c r="D64" s="9" t="s">
        <v>725</v>
      </c>
      <c r="E64" s="9" t="str">
        <f>"0,6131"</f>
        <v>0,6131</v>
      </c>
      <c r="F64" s="26" t="s">
        <v>65</v>
      </c>
      <c r="G64" s="9" t="s">
        <v>66</v>
      </c>
      <c r="H64" s="10" t="s">
        <v>426</v>
      </c>
      <c r="I64" s="25" t="s">
        <v>400</v>
      </c>
      <c r="J64" s="10" t="s">
        <v>400</v>
      </c>
      <c r="K64" s="25"/>
      <c r="L64" s="9" t="str">
        <f>"160,0"</f>
        <v>160,0</v>
      </c>
      <c r="M64" s="10" t="str">
        <f>"98,0960"</f>
        <v>98,0960</v>
      </c>
      <c r="N64" s="9" t="s">
        <v>314</v>
      </c>
    </row>
    <row r="65" spans="1:14" x14ac:dyDescent="0.2">
      <c r="A65" s="11" t="s">
        <v>726</v>
      </c>
      <c r="B65" s="11" t="s">
        <v>1443</v>
      </c>
      <c r="C65" s="11" t="s">
        <v>727</v>
      </c>
      <c r="D65" s="11" t="s">
        <v>728</v>
      </c>
      <c r="E65" s="11" t="str">
        <f>"0,6129"</f>
        <v>0,6129</v>
      </c>
      <c r="F65" s="11" t="s">
        <v>14</v>
      </c>
      <c r="G65" s="11" t="s">
        <v>729</v>
      </c>
      <c r="H65" s="13" t="s">
        <v>426</v>
      </c>
      <c r="I65" s="13" t="s">
        <v>400</v>
      </c>
      <c r="J65" s="12" t="s">
        <v>269</v>
      </c>
      <c r="K65" s="12"/>
      <c r="L65" s="11" t="str">
        <f>"160,0"</f>
        <v>160,0</v>
      </c>
      <c r="M65" s="13" t="str">
        <f>"98,0640"</f>
        <v>98,0640</v>
      </c>
      <c r="N65" s="11" t="s">
        <v>62</v>
      </c>
    </row>
    <row r="66" spans="1:14" x14ac:dyDescent="0.2">
      <c r="A66" s="11" t="s">
        <v>730</v>
      </c>
      <c r="B66" s="11" t="s">
        <v>1442</v>
      </c>
      <c r="C66" s="11" t="s">
        <v>731</v>
      </c>
      <c r="D66" s="11" t="s">
        <v>732</v>
      </c>
      <c r="E66" s="11" t="str">
        <f>"0,6116"</f>
        <v>0,6116</v>
      </c>
      <c r="F66" s="11" t="s">
        <v>14</v>
      </c>
      <c r="G66" s="11" t="s">
        <v>15</v>
      </c>
      <c r="H66" s="12" t="s">
        <v>664</v>
      </c>
      <c r="I66" s="13" t="s">
        <v>664</v>
      </c>
      <c r="J66" s="12" t="s">
        <v>264</v>
      </c>
      <c r="K66" s="12"/>
      <c r="L66" s="11" t="str">
        <f>"145,0"</f>
        <v>145,0</v>
      </c>
      <c r="M66" s="13" t="str">
        <f>"88,6820"</f>
        <v>88,6820</v>
      </c>
      <c r="N66" s="11"/>
    </row>
    <row r="67" spans="1:14" x14ac:dyDescent="0.2">
      <c r="A67" s="11" t="s">
        <v>733</v>
      </c>
      <c r="B67" s="11" t="s">
        <v>1442</v>
      </c>
      <c r="C67" s="11" t="s">
        <v>734</v>
      </c>
      <c r="D67" s="11" t="s">
        <v>252</v>
      </c>
      <c r="E67" s="11" t="str">
        <f>"0,6126"</f>
        <v>0,6126</v>
      </c>
      <c r="F67" s="11" t="s">
        <v>65</v>
      </c>
      <c r="G67" s="11" t="s">
        <v>229</v>
      </c>
      <c r="H67" s="13" t="s">
        <v>183</v>
      </c>
      <c r="I67" s="13" t="s">
        <v>550</v>
      </c>
      <c r="J67" s="13" t="s">
        <v>357</v>
      </c>
      <c r="K67" s="12"/>
      <c r="L67" s="11" t="str">
        <f>"142,5"</f>
        <v>142,5</v>
      </c>
      <c r="M67" s="13" t="str">
        <f>"87,2955"</f>
        <v>87,2955</v>
      </c>
      <c r="N67" s="11" t="s">
        <v>735</v>
      </c>
    </row>
    <row r="68" spans="1:14" x14ac:dyDescent="0.2">
      <c r="A68" s="11" t="s">
        <v>736</v>
      </c>
      <c r="B68" s="11" t="s">
        <v>1442</v>
      </c>
      <c r="C68" s="11" t="s">
        <v>737</v>
      </c>
      <c r="D68" s="11" t="s">
        <v>170</v>
      </c>
      <c r="E68" s="11" t="str">
        <f>"0,6103"</f>
        <v>0,6103</v>
      </c>
      <c r="F68" s="11" t="s">
        <v>65</v>
      </c>
      <c r="G68" s="11" t="s">
        <v>66</v>
      </c>
      <c r="H68" s="13" t="s">
        <v>355</v>
      </c>
      <c r="I68" s="12" t="s">
        <v>466</v>
      </c>
      <c r="J68" s="12" t="s">
        <v>466</v>
      </c>
      <c r="K68" s="12"/>
      <c r="L68" s="11" t="str">
        <f>"135,0"</f>
        <v>135,0</v>
      </c>
      <c r="M68" s="13" t="str">
        <f>"82,3905"</f>
        <v>82,3905</v>
      </c>
      <c r="N68" s="11"/>
    </row>
    <row r="69" spans="1:14" x14ac:dyDescent="0.2">
      <c r="A69" s="14" t="s">
        <v>738</v>
      </c>
      <c r="B69" s="14" t="s">
        <v>1437</v>
      </c>
      <c r="C69" s="14" t="s">
        <v>739</v>
      </c>
      <c r="D69" s="14" t="s">
        <v>163</v>
      </c>
      <c r="E69" s="14" t="str">
        <f>"0,6142"</f>
        <v>0,6142</v>
      </c>
      <c r="F69" s="28" t="s">
        <v>14</v>
      </c>
      <c r="G69" s="14" t="s">
        <v>387</v>
      </c>
      <c r="H69" s="16" t="s">
        <v>94</v>
      </c>
      <c r="I69" s="16" t="s">
        <v>323</v>
      </c>
      <c r="J69" s="15" t="s">
        <v>304</v>
      </c>
      <c r="K69" s="15"/>
      <c r="L69" s="14" t="str">
        <f>"120,0"</f>
        <v>120,0</v>
      </c>
      <c r="M69" s="16" t="str">
        <f>"75,1781"</f>
        <v>75,1781</v>
      </c>
      <c r="N69" s="14" t="s">
        <v>740</v>
      </c>
    </row>
    <row r="71" spans="1:14" ht="15" x14ac:dyDescent="0.2">
      <c r="A71" s="32" t="s">
        <v>81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4" x14ac:dyDescent="0.2">
      <c r="A72" s="9" t="s">
        <v>741</v>
      </c>
      <c r="B72" s="9" t="s">
        <v>1442</v>
      </c>
      <c r="C72" s="9" t="s">
        <v>742</v>
      </c>
      <c r="D72" s="9" t="s">
        <v>743</v>
      </c>
      <c r="E72" s="9" t="str">
        <f>"0,5941"</f>
        <v>0,5941</v>
      </c>
      <c r="F72" s="9" t="s">
        <v>65</v>
      </c>
      <c r="G72" s="9" t="s">
        <v>66</v>
      </c>
      <c r="H72" s="10" t="s">
        <v>355</v>
      </c>
      <c r="I72" s="10" t="s">
        <v>664</v>
      </c>
      <c r="J72" s="25" t="s">
        <v>264</v>
      </c>
      <c r="K72" s="25"/>
      <c r="L72" s="9" t="str">
        <f>"145,0"</f>
        <v>145,0</v>
      </c>
      <c r="M72" s="10" t="str">
        <f>"86,1445"</f>
        <v>86,1445</v>
      </c>
      <c r="N72" s="9" t="s">
        <v>62</v>
      </c>
    </row>
    <row r="73" spans="1:14" x14ac:dyDescent="0.2">
      <c r="A73" s="11" t="s">
        <v>744</v>
      </c>
      <c r="B73" s="11" t="s">
        <v>1436</v>
      </c>
      <c r="C73" s="11" t="s">
        <v>516</v>
      </c>
      <c r="D73" s="11" t="s">
        <v>517</v>
      </c>
      <c r="E73" s="11" t="str">
        <f>"0,6062"</f>
        <v>0,6062</v>
      </c>
      <c r="F73" s="11" t="s">
        <v>65</v>
      </c>
      <c r="G73" s="11" t="s">
        <v>66</v>
      </c>
      <c r="H73" s="12" t="s">
        <v>400</v>
      </c>
      <c r="I73" s="12" t="s">
        <v>400</v>
      </c>
      <c r="J73" s="12" t="s">
        <v>400</v>
      </c>
      <c r="K73" s="12"/>
      <c r="L73" s="11" t="str">
        <f>"0,0"</f>
        <v>0,0</v>
      </c>
      <c r="M73" s="13" t="str">
        <f>"0,0000"</f>
        <v>0,0000</v>
      </c>
      <c r="N73" s="11" t="s">
        <v>520</v>
      </c>
    </row>
    <row r="74" spans="1:14" x14ac:dyDescent="0.2">
      <c r="A74" s="11" t="s">
        <v>745</v>
      </c>
      <c r="B74" s="11" t="s">
        <v>1443</v>
      </c>
      <c r="C74" s="11" t="s">
        <v>177</v>
      </c>
      <c r="D74" s="11" t="s">
        <v>178</v>
      </c>
      <c r="E74" s="11" t="str">
        <f>"0,5952"</f>
        <v>0,5952</v>
      </c>
      <c r="F74" s="11" t="s">
        <v>65</v>
      </c>
      <c r="G74" s="11" t="s">
        <v>66</v>
      </c>
      <c r="H74" s="13" t="s">
        <v>269</v>
      </c>
      <c r="I74" s="13" t="s">
        <v>241</v>
      </c>
      <c r="J74" s="13" t="s">
        <v>242</v>
      </c>
      <c r="K74" s="12"/>
      <c r="L74" s="11" t="str">
        <f>"175,0"</f>
        <v>175,0</v>
      </c>
      <c r="M74" s="13" t="str">
        <f>"104,1600"</f>
        <v>104,1600</v>
      </c>
      <c r="N74" s="11" t="s">
        <v>181</v>
      </c>
    </row>
    <row r="75" spans="1:14" x14ac:dyDescent="0.2">
      <c r="A75" s="11" t="s">
        <v>746</v>
      </c>
      <c r="B75" s="11" t="s">
        <v>1443</v>
      </c>
      <c r="C75" s="11" t="s">
        <v>747</v>
      </c>
      <c r="D75" s="11" t="s">
        <v>748</v>
      </c>
      <c r="E75" s="11" t="str">
        <f>"0,6032"</f>
        <v>0,6032</v>
      </c>
      <c r="F75" s="11" t="s">
        <v>14</v>
      </c>
      <c r="G75" s="11" t="s">
        <v>729</v>
      </c>
      <c r="H75" s="13" t="s">
        <v>400</v>
      </c>
      <c r="I75" s="13" t="s">
        <v>269</v>
      </c>
      <c r="J75" s="13" t="s">
        <v>241</v>
      </c>
      <c r="K75" s="12"/>
      <c r="L75" s="11" t="str">
        <f>"170,0"</f>
        <v>170,0</v>
      </c>
      <c r="M75" s="13" t="str">
        <f>"102,5440"</f>
        <v>102,5440</v>
      </c>
      <c r="N75" s="11" t="s">
        <v>749</v>
      </c>
    </row>
    <row r="76" spans="1:14" x14ac:dyDescent="0.2">
      <c r="A76" s="11" t="s">
        <v>750</v>
      </c>
      <c r="B76" s="11" t="s">
        <v>1443</v>
      </c>
      <c r="C76" s="11" t="s">
        <v>751</v>
      </c>
      <c r="D76" s="11" t="s">
        <v>752</v>
      </c>
      <c r="E76" s="11" t="str">
        <f>"0,5926"</f>
        <v>0,5926</v>
      </c>
      <c r="F76" s="11" t="s">
        <v>14</v>
      </c>
      <c r="G76" s="11" t="s">
        <v>753</v>
      </c>
      <c r="H76" s="13" t="s">
        <v>400</v>
      </c>
      <c r="I76" s="13" t="s">
        <v>269</v>
      </c>
      <c r="J76" s="13" t="s">
        <v>241</v>
      </c>
      <c r="K76" s="12"/>
      <c r="L76" s="11" t="str">
        <f>"170,0"</f>
        <v>170,0</v>
      </c>
      <c r="M76" s="13" t="str">
        <f>"100,7420"</f>
        <v>100,7420</v>
      </c>
      <c r="N76" s="11"/>
    </row>
    <row r="77" spans="1:14" x14ac:dyDescent="0.2">
      <c r="A77" s="11" t="s">
        <v>754</v>
      </c>
      <c r="B77" s="11" t="s">
        <v>1442</v>
      </c>
      <c r="C77" s="11" t="s">
        <v>755</v>
      </c>
      <c r="D77" s="11" t="s">
        <v>756</v>
      </c>
      <c r="E77" s="11" t="str">
        <f>"0,5887"</f>
        <v>0,5887</v>
      </c>
      <c r="F77" s="27" t="s">
        <v>14</v>
      </c>
      <c r="G77" s="11" t="s">
        <v>757</v>
      </c>
      <c r="H77" s="13" t="s">
        <v>664</v>
      </c>
      <c r="I77" s="13" t="s">
        <v>400</v>
      </c>
      <c r="J77" s="12" t="s">
        <v>269</v>
      </c>
      <c r="K77" s="12"/>
      <c r="L77" s="11" t="str">
        <f>"160,0"</f>
        <v>160,0</v>
      </c>
      <c r="M77" s="13" t="str">
        <f>"94,1920"</f>
        <v>94,1920</v>
      </c>
      <c r="N77" s="11" t="s">
        <v>62</v>
      </c>
    </row>
    <row r="78" spans="1:14" x14ac:dyDescent="0.2">
      <c r="A78" s="11" t="s">
        <v>758</v>
      </c>
      <c r="B78" s="11" t="s">
        <v>1442</v>
      </c>
      <c r="C78" s="11" t="s">
        <v>759</v>
      </c>
      <c r="D78" s="11" t="s">
        <v>760</v>
      </c>
      <c r="E78" s="11" t="str">
        <f>"0,5970"</f>
        <v>0,5970</v>
      </c>
      <c r="F78" s="11" t="s">
        <v>277</v>
      </c>
      <c r="G78" s="11" t="s">
        <v>278</v>
      </c>
      <c r="H78" s="13" t="s">
        <v>356</v>
      </c>
      <c r="I78" s="13" t="s">
        <v>664</v>
      </c>
      <c r="J78" s="13" t="s">
        <v>665</v>
      </c>
      <c r="K78" s="12"/>
      <c r="L78" s="11" t="str">
        <f>"147,5"</f>
        <v>147,5</v>
      </c>
      <c r="M78" s="13" t="str">
        <f>"88,0575"</f>
        <v>88,0575</v>
      </c>
      <c r="N78" s="11" t="s">
        <v>761</v>
      </c>
    </row>
    <row r="79" spans="1:14" x14ac:dyDescent="0.2">
      <c r="A79" s="14" t="s">
        <v>762</v>
      </c>
      <c r="B79" s="14" t="s">
        <v>1443</v>
      </c>
      <c r="C79" s="14" t="s">
        <v>763</v>
      </c>
      <c r="D79" s="14" t="s">
        <v>276</v>
      </c>
      <c r="E79" s="14" t="str">
        <f>"0,5937"</f>
        <v>0,5937</v>
      </c>
      <c r="F79" s="14" t="s">
        <v>14</v>
      </c>
      <c r="G79" s="14" t="s">
        <v>764</v>
      </c>
      <c r="H79" s="16" t="s">
        <v>664</v>
      </c>
      <c r="I79" s="16" t="s">
        <v>466</v>
      </c>
      <c r="J79" s="16" t="s">
        <v>400</v>
      </c>
      <c r="K79" s="15"/>
      <c r="L79" s="14" t="str">
        <f>"160,0"</f>
        <v>160,0</v>
      </c>
      <c r="M79" s="16" t="str">
        <f>"107,3410"</f>
        <v>107,3410</v>
      </c>
      <c r="N79" s="14" t="s">
        <v>633</v>
      </c>
    </row>
    <row r="81" spans="1:14" ht="15" x14ac:dyDescent="0.2">
      <c r="A81" s="32" t="s">
        <v>84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  <row r="82" spans="1:14" x14ac:dyDescent="0.2">
      <c r="A82" s="9" t="s">
        <v>765</v>
      </c>
      <c r="B82" s="9" t="s">
        <v>1443</v>
      </c>
      <c r="C82" s="9" t="s">
        <v>766</v>
      </c>
      <c r="D82" s="9" t="s">
        <v>767</v>
      </c>
      <c r="E82" s="9" t="str">
        <f>"0,5718"</f>
        <v>0,5718</v>
      </c>
      <c r="F82" s="9" t="s">
        <v>14</v>
      </c>
      <c r="G82" s="9" t="s">
        <v>768</v>
      </c>
      <c r="H82" s="10" t="s">
        <v>243</v>
      </c>
      <c r="I82" s="10" t="s">
        <v>769</v>
      </c>
      <c r="J82" s="25" t="s">
        <v>449</v>
      </c>
      <c r="K82" s="25"/>
      <c r="L82" s="9" t="str">
        <f>"187,5"</f>
        <v>187,5</v>
      </c>
      <c r="M82" s="10" t="str">
        <f>"107,2125"</f>
        <v>107,2125</v>
      </c>
      <c r="N82" s="9" t="s">
        <v>770</v>
      </c>
    </row>
    <row r="83" spans="1:14" x14ac:dyDescent="0.2">
      <c r="A83" s="14" t="s">
        <v>771</v>
      </c>
      <c r="B83" s="14" t="s">
        <v>1444</v>
      </c>
      <c r="C83" s="14" t="s">
        <v>772</v>
      </c>
      <c r="D83" s="14" t="s">
        <v>773</v>
      </c>
      <c r="E83" s="14" t="str">
        <f>"0,5713"</f>
        <v>0,5713</v>
      </c>
      <c r="F83" s="14" t="s">
        <v>65</v>
      </c>
      <c r="G83" s="14" t="s">
        <v>66</v>
      </c>
      <c r="H83" s="16" t="s">
        <v>241</v>
      </c>
      <c r="I83" s="16" t="s">
        <v>242</v>
      </c>
      <c r="J83" s="15" t="s">
        <v>774</v>
      </c>
      <c r="K83" s="15"/>
      <c r="L83" s="14" t="str">
        <f>"175,0"</f>
        <v>175,0</v>
      </c>
      <c r="M83" s="16" t="str">
        <f>"118,3734"</f>
        <v>118,3734</v>
      </c>
      <c r="N83" s="14"/>
    </row>
    <row r="85" spans="1:14" ht="15" x14ac:dyDescent="0.2">
      <c r="A85" s="32" t="s">
        <v>182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</row>
    <row r="86" spans="1:14" x14ac:dyDescent="0.2">
      <c r="A86" s="6" t="s">
        <v>775</v>
      </c>
      <c r="B86" s="6" t="s">
        <v>1444</v>
      </c>
      <c r="C86" s="6" t="s">
        <v>776</v>
      </c>
      <c r="D86" s="6" t="s">
        <v>777</v>
      </c>
      <c r="E86" s="6" t="str">
        <f>"0,5589"</f>
        <v>0,5589</v>
      </c>
      <c r="F86" s="6" t="s">
        <v>65</v>
      </c>
      <c r="G86" s="6" t="s">
        <v>66</v>
      </c>
      <c r="H86" s="7" t="s">
        <v>242</v>
      </c>
      <c r="I86" s="7" t="s">
        <v>242</v>
      </c>
      <c r="J86" s="8" t="s">
        <v>242</v>
      </c>
      <c r="K86" s="7"/>
      <c r="L86" s="6" t="str">
        <f>"175,0"</f>
        <v>175,0</v>
      </c>
      <c r="M86" s="8" t="str">
        <f>"121,8681"</f>
        <v>121,8681</v>
      </c>
      <c r="N86" s="6" t="s">
        <v>62</v>
      </c>
    </row>
    <row r="88" spans="1:14" ht="15" x14ac:dyDescent="0.2">
      <c r="F88" s="17" t="s">
        <v>96</v>
      </c>
    </row>
    <row r="89" spans="1:14" ht="15" x14ac:dyDescent="0.2">
      <c r="F89" s="17" t="s">
        <v>97</v>
      </c>
    </row>
    <row r="90" spans="1:14" ht="15" x14ac:dyDescent="0.2">
      <c r="F90" s="17" t="s">
        <v>98</v>
      </c>
    </row>
    <row r="91" spans="1:14" ht="15" x14ac:dyDescent="0.2">
      <c r="F91" s="17"/>
    </row>
    <row r="93" spans="1:14" ht="18" x14ac:dyDescent="0.25">
      <c r="A93" s="18" t="s">
        <v>99</v>
      </c>
      <c r="B93" s="18"/>
      <c r="C93" s="18"/>
    </row>
    <row r="94" spans="1:14" ht="15" x14ac:dyDescent="0.2">
      <c r="A94" s="19" t="s">
        <v>547</v>
      </c>
      <c r="B94" s="19"/>
      <c r="C94" s="19"/>
    </row>
    <row r="95" spans="1:14" ht="14.25" x14ac:dyDescent="0.2">
      <c r="A95" s="21"/>
      <c r="B95" s="21"/>
      <c r="C95" s="22" t="s">
        <v>107</v>
      </c>
    </row>
    <row r="96" spans="1:14" ht="15" x14ac:dyDescent="0.2">
      <c r="A96" s="23" t="s">
        <v>101</v>
      </c>
      <c r="B96" s="23"/>
      <c r="C96" s="23" t="s">
        <v>102</v>
      </c>
      <c r="D96" s="23" t="s">
        <v>103</v>
      </c>
      <c r="E96" s="23" t="s">
        <v>104</v>
      </c>
      <c r="F96" s="23" t="s">
        <v>291</v>
      </c>
    </row>
    <row r="97" spans="1:14" x14ac:dyDescent="0.2">
      <c r="A97" s="20" t="s">
        <v>778</v>
      </c>
      <c r="B97" s="20"/>
      <c r="C97" s="4" t="s">
        <v>107</v>
      </c>
      <c r="D97" s="4" t="s">
        <v>236</v>
      </c>
      <c r="E97" s="4" t="s">
        <v>23</v>
      </c>
      <c r="F97" s="24" t="s">
        <v>779</v>
      </c>
      <c r="G97" s="3"/>
      <c r="L97" s="3"/>
      <c r="N97" s="3"/>
    </row>
    <row r="98" spans="1:14" x14ac:dyDescent="0.2">
      <c r="G98" s="3"/>
      <c r="L98" s="3"/>
      <c r="N98" s="3"/>
    </row>
    <row r="99" spans="1:14" x14ac:dyDescent="0.2">
      <c r="G99" s="3"/>
      <c r="L99" s="3"/>
      <c r="N99" s="3"/>
    </row>
    <row r="100" spans="1:14" ht="15" x14ac:dyDescent="0.2">
      <c r="A100" s="19" t="s">
        <v>100</v>
      </c>
      <c r="B100" s="19"/>
      <c r="C100" s="19"/>
      <c r="G100" s="3"/>
      <c r="L100" s="3"/>
      <c r="N100" s="3"/>
    </row>
    <row r="101" spans="1:14" ht="14.25" x14ac:dyDescent="0.2">
      <c r="A101" s="21"/>
      <c r="B101" s="21"/>
      <c r="C101" s="22" t="s">
        <v>107</v>
      </c>
      <c r="G101" s="3"/>
      <c r="L101" s="3"/>
      <c r="N101" s="3"/>
    </row>
    <row r="102" spans="1:14" ht="15" x14ac:dyDescent="0.2">
      <c r="A102" s="23" t="s">
        <v>101</v>
      </c>
      <c r="B102" s="23"/>
      <c r="C102" s="23" t="s">
        <v>102</v>
      </c>
      <c r="D102" s="23" t="s">
        <v>103</v>
      </c>
      <c r="E102" s="23" t="s">
        <v>104</v>
      </c>
      <c r="F102" s="23" t="s">
        <v>291</v>
      </c>
      <c r="G102" s="3"/>
      <c r="L102" s="3"/>
      <c r="N102" s="3"/>
    </row>
    <row r="103" spans="1:14" x14ac:dyDescent="0.2">
      <c r="A103" s="20" t="s">
        <v>780</v>
      </c>
      <c r="B103" s="20"/>
      <c r="C103" s="4" t="s">
        <v>107</v>
      </c>
      <c r="D103" s="4" t="s">
        <v>304</v>
      </c>
      <c r="E103" s="4" t="s">
        <v>769</v>
      </c>
      <c r="F103" s="24" t="s">
        <v>781</v>
      </c>
      <c r="G103" s="3"/>
      <c r="L103" s="3"/>
      <c r="N103" s="3"/>
    </row>
    <row r="104" spans="1:14" x14ac:dyDescent="0.2">
      <c r="A104" s="20" t="s">
        <v>782</v>
      </c>
      <c r="B104" s="20"/>
      <c r="C104" s="4" t="s">
        <v>107</v>
      </c>
      <c r="D104" s="4" t="s">
        <v>83</v>
      </c>
      <c r="E104" s="4" t="s">
        <v>242</v>
      </c>
      <c r="F104" s="24" t="s">
        <v>783</v>
      </c>
      <c r="G104" s="3"/>
      <c r="L104" s="3"/>
      <c r="N104" s="3"/>
    </row>
    <row r="105" spans="1:14" x14ac:dyDescent="0.2">
      <c r="A105" s="20" t="s">
        <v>784</v>
      </c>
      <c r="B105" s="20"/>
      <c r="C105" s="4" t="s">
        <v>107</v>
      </c>
      <c r="D105" s="4" t="s">
        <v>83</v>
      </c>
      <c r="E105" s="4" t="s">
        <v>241</v>
      </c>
      <c r="F105" s="24" t="s">
        <v>785</v>
      </c>
      <c r="G105" s="3"/>
      <c r="L105" s="3"/>
      <c r="N105" s="3"/>
    </row>
    <row r="106" spans="1:14" x14ac:dyDescent="0.2">
      <c r="G106" s="3"/>
      <c r="L106" s="3"/>
      <c r="N106" s="3"/>
    </row>
    <row r="107" spans="1:14" ht="14.25" x14ac:dyDescent="0.2">
      <c r="A107" s="21"/>
      <c r="B107" s="21"/>
      <c r="C107" s="22" t="s">
        <v>562</v>
      </c>
      <c r="G107" s="3"/>
      <c r="L107" s="3"/>
      <c r="N107" s="3"/>
    </row>
    <row r="108" spans="1:14" ht="15" x14ac:dyDescent="0.2">
      <c r="A108" s="23" t="s">
        <v>101</v>
      </c>
      <c r="B108" s="23"/>
      <c r="C108" s="23" t="s">
        <v>102</v>
      </c>
      <c r="D108" s="23" t="s">
        <v>103</v>
      </c>
      <c r="E108" s="23" t="s">
        <v>104</v>
      </c>
      <c r="F108" s="23" t="s">
        <v>291</v>
      </c>
      <c r="G108" s="3"/>
      <c r="L108" s="3"/>
      <c r="N108" s="3"/>
    </row>
    <row r="109" spans="1:14" x14ac:dyDescent="0.2">
      <c r="A109" s="20" t="s">
        <v>786</v>
      </c>
      <c r="B109" s="20"/>
      <c r="C109" s="4" t="s">
        <v>564</v>
      </c>
      <c r="D109" s="4" t="s">
        <v>106</v>
      </c>
      <c r="E109" s="4" t="s">
        <v>304</v>
      </c>
      <c r="F109" s="24" t="s">
        <v>787</v>
      </c>
      <c r="G109" s="3"/>
      <c r="L109" s="3"/>
      <c r="N109" s="3"/>
    </row>
    <row r="110" spans="1:14" x14ac:dyDescent="0.2">
      <c r="A110" s="20" t="s">
        <v>788</v>
      </c>
      <c r="B110" s="20"/>
      <c r="C110" s="4" t="s">
        <v>570</v>
      </c>
      <c r="D110" s="4" t="s">
        <v>68</v>
      </c>
      <c r="E110" s="4" t="s">
        <v>467</v>
      </c>
      <c r="F110" s="24" t="s">
        <v>789</v>
      </c>
      <c r="G110" s="3"/>
      <c r="L110" s="3"/>
      <c r="N110" s="3"/>
    </row>
    <row r="111" spans="1:14" x14ac:dyDescent="0.2">
      <c r="A111" s="20" t="s">
        <v>790</v>
      </c>
      <c r="B111" s="20"/>
      <c r="C111" s="4" t="s">
        <v>570</v>
      </c>
      <c r="D111" s="4" t="s">
        <v>356</v>
      </c>
      <c r="E111" s="4" t="s">
        <v>242</v>
      </c>
      <c r="F111" s="24" t="s">
        <v>791</v>
      </c>
      <c r="G111" s="3"/>
      <c r="L111" s="3"/>
      <c r="N111" s="3"/>
    </row>
    <row r="112" spans="1:14" x14ac:dyDescent="0.2">
      <c r="G112" s="3"/>
      <c r="L112" s="3"/>
      <c r="N112" s="3"/>
    </row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26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B3:B4"/>
    <mergeCell ref="A63:N63"/>
    <mergeCell ref="A71:N71"/>
    <mergeCell ref="A81:N81"/>
    <mergeCell ref="A85:N85"/>
    <mergeCell ref="A19:N19"/>
    <mergeCell ref="A22:N22"/>
    <mergeCell ref="A25:N25"/>
    <mergeCell ref="A28:N28"/>
    <mergeCell ref="A32:N32"/>
    <mergeCell ref="A39:N39"/>
    <mergeCell ref="A48:N48"/>
    <mergeCell ref="A5:N5"/>
    <mergeCell ref="A9:N9"/>
    <mergeCell ref="A14:N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topLeftCell="A67" zoomScale="80" zoomScaleNormal="80" workbookViewId="0">
      <selection activeCell="A80" sqref="A80:XFD80"/>
    </sheetView>
  </sheetViews>
  <sheetFormatPr defaultRowHeight="12.75" x14ac:dyDescent="0.2"/>
  <cols>
    <col min="1" max="1" width="26" style="4" bestFit="1" customWidth="1"/>
    <col min="2" max="2" width="13.1406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7.42578125" style="4" bestFit="1" customWidth="1"/>
    <col min="8" max="11" width="5.5703125" style="3" bestFit="1" customWidth="1"/>
    <col min="12" max="12" width="11.42578125" style="4" customWidth="1"/>
    <col min="13" max="13" width="8.5703125" style="3" bestFit="1" customWidth="1"/>
    <col min="14" max="14" width="27.710937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7.42578125" style="3" bestFit="1" customWidth="1"/>
    <col min="264" max="267" width="5.5703125" style="3" bestFit="1" customWidth="1"/>
    <col min="268" max="268" width="11.42578125" style="3" customWidth="1"/>
    <col min="269" max="269" width="8.5703125" style="3" bestFit="1" customWidth="1"/>
    <col min="270" max="270" width="27.710937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7.42578125" style="3" bestFit="1" customWidth="1"/>
    <col min="520" max="523" width="5.5703125" style="3" bestFit="1" customWidth="1"/>
    <col min="524" max="524" width="11.42578125" style="3" customWidth="1"/>
    <col min="525" max="525" width="8.5703125" style="3" bestFit="1" customWidth="1"/>
    <col min="526" max="526" width="27.710937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7.42578125" style="3" bestFit="1" customWidth="1"/>
    <col min="776" max="779" width="5.5703125" style="3" bestFit="1" customWidth="1"/>
    <col min="780" max="780" width="11.42578125" style="3" customWidth="1"/>
    <col min="781" max="781" width="8.5703125" style="3" bestFit="1" customWidth="1"/>
    <col min="782" max="782" width="27.710937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7.42578125" style="3" bestFit="1" customWidth="1"/>
    <col min="1032" max="1035" width="5.5703125" style="3" bestFit="1" customWidth="1"/>
    <col min="1036" max="1036" width="11.42578125" style="3" customWidth="1"/>
    <col min="1037" max="1037" width="8.5703125" style="3" bestFit="1" customWidth="1"/>
    <col min="1038" max="1038" width="27.710937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7.42578125" style="3" bestFit="1" customWidth="1"/>
    <col min="1288" max="1291" width="5.5703125" style="3" bestFit="1" customWidth="1"/>
    <col min="1292" max="1292" width="11.42578125" style="3" customWidth="1"/>
    <col min="1293" max="1293" width="8.5703125" style="3" bestFit="1" customWidth="1"/>
    <col min="1294" max="1294" width="27.710937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7.42578125" style="3" bestFit="1" customWidth="1"/>
    <col min="1544" max="1547" width="5.5703125" style="3" bestFit="1" customWidth="1"/>
    <col min="1548" max="1548" width="11.42578125" style="3" customWidth="1"/>
    <col min="1549" max="1549" width="8.5703125" style="3" bestFit="1" customWidth="1"/>
    <col min="1550" max="1550" width="27.710937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7.42578125" style="3" bestFit="1" customWidth="1"/>
    <col min="1800" max="1803" width="5.5703125" style="3" bestFit="1" customWidth="1"/>
    <col min="1804" max="1804" width="11.42578125" style="3" customWidth="1"/>
    <col min="1805" max="1805" width="8.5703125" style="3" bestFit="1" customWidth="1"/>
    <col min="1806" max="1806" width="27.710937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7.42578125" style="3" bestFit="1" customWidth="1"/>
    <col min="2056" max="2059" width="5.5703125" style="3" bestFit="1" customWidth="1"/>
    <col min="2060" max="2060" width="11.42578125" style="3" customWidth="1"/>
    <col min="2061" max="2061" width="8.5703125" style="3" bestFit="1" customWidth="1"/>
    <col min="2062" max="2062" width="27.710937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7.42578125" style="3" bestFit="1" customWidth="1"/>
    <col min="2312" max="2315" width="5.5703125" style="3" bestFit="1" customWidth="1"/>
    <col min="2316" max="2316" width="11.42578125" style="3" customWidth="1"/>
    <col min="2317" max="2317" width="8.5703125" style="3" bestFit="1" customWidth="1"/>
    <col min="2318" max="2318" width="27.710937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7.42578125" style="3" bestFit="1" customWidth="1"/>
    <col min="2568" max="2571" width="5.5703125" style="3" bestFit="1" customWidth="1"/>
    <col min="2572" max="2572" width="11.42578125" style="3" customWidth="1"/>
    <col min="2573" max="2573" width="8.5703125" style="3" bestFit="1" customWidth="1"/>
    <col min="2574" max="2574" width="27.710937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7.42578125" style="3" bestFit="1" customWidth="1"/>
    <col min="2824" max="2827" width="5.5703125" style="3" bestFit="1" customWidth="1"/>
    <col min="2828" max="2828" width="11.42578125" style="3" customWidth="1"/>
    <col min="2829" max="2829" width="8.5703125" style="3" bestFit="1" customWidth="1"/>
    <col min="2830" max="2830" width="27.710937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7.42578125" style="3" bestFit="1" customWidth="1"/>
    <col min="3080" max="3083" width="5.5703125" style="3" bestFit="1" customWidth="1"/>
    <col min="3084" max="3084" width="11.42578125" style="3" customWidth="1"/>
    <col min="3085" max="3085" width="8.5703125" style="3" bestFit="1" customWidth="1"/>
    <col min="3086" max="3086" width="27.710937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7.42578125" style="3" bestFit="1" customWidth="1"/>
    <col min="3336" max="3339" width="5.5703125" style="3" bestFit="1" customWidth="1"/>
    <col min="3340" max="3340" width="11.42578125" style="3" customWidth="1"/>
    <col min="3341" max="3341" width="8.5703125" style="3" bestFit="1" customWidth="1"/>
    <col min="3342" max="3342" width="27.710937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7.42578125" style="3" bestFit="1" customWidth="1"/>
    <col min="3592" max="3595" width="5.5703125" style="3" bestFit="1" customWidth="1"/>
    <col min="3596" max="3596" width="11.42578125" style="3" customWidth="1"/>
    <col min="3597" max="3597" width="8.5703125" style="3" bestFit="1" customWidth="1"/>
    <col min="3598" max="3598" width="27.710937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7.42578125" style="3" bestFit="1" customWidth="1"/>
    <col min="3848" max="3851" width="5.5703125" style="3" bestFit="1" customWidth="1"/>
    <col min="3852" max="3852" width="11.42578125" style="3" customWidth="1"/>
    <col min="3853" max="3853" width="8.5703125" style="3" bestFit="1" customWidth="1"/>
    <col min="3854" max="3854" width="27.710937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7.42578125" style="3" bestFit="1" customWidth="1"/>
    <col min="4104" max="4107" width="5.5703125" style="3" bestFit="1" customWidth="1"/>
    <col min="4108" max="4108" width="11.42578125" style="3" customWidth="1"/>
    <col min="4109" max="4109" width="8.5703125" style="3" bestFit="1" customWidth="1"/>
    <col min="4110" max="4110" width="27.710937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7.42578125" style="3" bestFit="1" customWidth="1"/>
    <col min="4360" max="4363" width="5.5703125" style="3" bestFit="1" customWidth="1"/>
    <col min="4364" max="4364" width="11.42578125" style="3" customWidth="1"/>
    <col min="4365" max="4365" width="8.5703125" style="3" bestFit="1" customWidth="1"/>
    <col min="4366" max="4366" width="27.710937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7.42578125" style="3" bestFit="1" customWidth="1"/>
    <col min="4616" max="4619" width="5.5703125" style="3" bestFit="1" customWidth="1"/>
    <col min="4620" max="4620" width="11.42578125" style="3" customWidth="1"/>
    <col min="4621" max="4621" width="8.5703125" style="3" bestFit="1" customWidth="1"/>
    <col min="4622" max="4622" width="27.710937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7.42578125" style="3" bestFit="1" customWidth="1"/>
    <col min="4872" max="4875" width="5.5703125" style="3" bestFit="1" customWidth="1"/>
    <col min="4876" max="4876" width="11.42578125" style="3" customWidth="1"/>
    <col min="4877" max="4877" width="8.5703125" style="3" bestFit="1" customWidth="1"/>
    <col min="4878" max="4878" width="27.710937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7.42578125" style="3" bestFit="1" customWidth="1"/>
    <col min="5128" max="5131" width="5.5703125" style="3" bestFit="1" customWidth="1"/>
    <col min="5132" max="5132" width="11.42578125" style="3" customWidth="1"/>
    <col min="5133" max="5133" width="8.5703125" style="3" bestFit="1" customWidth="1"/>
    <col min="5134" max="5134" width="27.710937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7.42578125" style="3" bestFit="1" customWidth="1"/>
    <col min="5384" max="5387" width="5.5703125" style="3" bestFit="1" customWidth="1"/>
    <col min="5388" max="5388" width="11.42578125" style="3" customWidth="1"/>
    <col min="5389" max="5389" width="8.5703125" style="3" bestFit="1" customWidth="1"/>
    <col min="5390" max="5390" width="27.710937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7.42578125" style="3" bestFit="1" customWidth="1"/>
    <col min="5640" max="5643" width="5.5703125" style="3" bestFit="1" customWidth="1"/>
    <col min="5644" max="5644" width="11.42578125" style="3" customWidth="1"/>
    <col min="5645" max="5645" width="8.5703125" style="3" bestFit="1" customWidth="1"/>
    <col min="5646" max="5646" width="27.710937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7.42578125" style="3" bestFit="1" customWidth="1"/>
    <col min="5896" max="5899" width="5.5703125" style="3" bestFit="1" customWidth="1"/>
    <col min="5900" max="5900" width="11.42578125" style="3" customWidth="1"/>
    <col min="5901" max="5901" width="8.5703125" style="3" bestFit="1" customWidth="1"/>
    <col min="5902" max="5902" width="27.710937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7.42578125" style="3" bestFit="1" customWidth="1"/>
    <col min="6152" max="6155" width="5.5703125" style="3" bestFit="1" customWidth="1"/>
    <col min="6156" max="6156" width="11.42578125" style="3" customWidth="1"/>
    <col min="6157" max="6157" width="8.5703125" style="3" bestFit="1" customWidth="1"/>
    <col min="6158" max="6158" width="27.710937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7.42578125" style="3" bestFit="1" customWidth="1"/>
    <col min="6408" max="6411" width="5.5703125" style="3" bestFit="1" customWidth="1"/>
    <col min="6412" max="6412" width="11.42578125" style="3" customWidth="1"/>
    <col min="6413" max="6413" width="8.5703125" style="3" bestFit="1" customWidth="1"/>
    <col min="6414" max="6414" width="27.710937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7.42578125" style="3" bestFit="1" customWidth="1"/>
    <col min="6664" max="6667" width="5.5703125" style="3" bestFit="1" customWidth="1"/>
    <col min="6668" max="6668" width="11.42578125" style="3" customWidth="1"/>
    <col min="6669" max="6669" width="8.5703125" style="3" bestFit="1" customWidth="1"/>
    <col min="6670" max="6670" width="27.710937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7.42578125" style="3" bestFit="1" customWidth="1"/>
    <col min="6920" max="6923" width="5.5703125" style="3" bestFit="1" customWidth="1"/>
    <col min="6924" max="6924" width="11.42578125" style="3" customWidth="1"/>
    <col min="6925" max="6925" width="8.5703125" style="3" bestFit="1" customWidth="1"/>
    <col min="6926" max="6926" width="27.710937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7.42578125" style="3" bestFit="1" customWidth="1"/>
    <col min="7176" max="7179" width="5.5703125" style="3" bestFit="1" customWidth="1"/>
    <col min="7180" max="7180" width="11.42578125" style="3" customWidth="1"/>
    <col min="7181" max="7181" width="8.5703125" style="3" bestFit="1" customWidth="1"/>
    <col min="7182" max="7182" width="27.710937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7.42578125" style="3" bestFit="1" customWidth="1"/>
    <col min="7432" max="7435" width="5.5703125" style="3" bestFit="1" customWidth="1"/>
    <col min="7436" max="7436" width="11.42578125" style="3" customWidth="1"/>
    <col min="7437" max="7437" width="8.5703125" style="3" bestFit="1" customWidth="1"/>
    <col min="7438" max="7438" width="27.710937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7.42578125" style="3" bestFit="1" customWidth="1"/>
    <col min="7688" max="7691" width="5.5703125" style="3" bestFit="1" customWidth="1"/>
    <col min="7692" max="7692" width="11.42578125" style="3" customWidth="1"/>
    <col min="7693" max="7693" width="8.5703125" style="3" bestFit="1" customWidth="1"/>
    <col min="7694" max="7694" width="27.710937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7.42578125" style="3" bestFit="1" customWidth="1"/>
    <col min="7944" max="7947" width="5.5703125" style="3" bestFit="1" customWidth="1"/>
    <col min="7948" max="7948" width="11.42578125" style="3" customWidth="1"/>
    <col min="7949" max="7949" width="8.5703125" style="3" bestFit="1" customWidth="1"/>
    <col min="7950" max="7950" width="27.710937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7.42578125" style="3" bestFit="1" customWidth="1"/>
    <col min="8200" max="8203" width="5.5703125" style="3" bestFit="1" customWidth="1"/>
    <col min="8204" max="8204" width="11.42578125" style="3" customWidth="1"/>
    <col min="8205" max="8205" width="8.5703125" style="3" bestFit="1" customWidth="1"/>
    <col min="8206" max="8206" width="27.710937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7.42578125" style="3" bestFit="1" customWidth="1"/>
    <col min="8456" max="8459" width="5.5703125" style="3" bestFit="1" customWidth="1"/>
    <col min="8460" max="8460" width="11.42578125" style="3" customWidth="1"/>
    <col min="8461" max="8461" width="8.5703125" style="3" bestFit="1" customWidth="1"/>
    <col min="8462" max="8462" width="27.710937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7.42578125" style="3" bestFit="1" customWidth="1"/>
    <col min="8712" max="8715" width="5.5703125" style="3" bestFit="1" customWidth="1"/>
    <col min="8716" max="8716" width="11.42578125" style="3" customWidth="1"/>
    <col min="8717" max="8717" width="8.5703125" style="3" bestFit="1" customWidth="1"/>
    <col min="8718" max="8718" width="27.710937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7.42578125" style="3" bestFit="1" customWidth="1"/>
    <col min="8968" max="8971" width="5.5703125" style="3" bestFit="1" customWidth="1"/>
    <col min="8972" max="8972" width="11.42578125" style="3" customWidth="1"/>
    <col min="8973" max="8973" width="8.5703125" style="3" bestFit="1" customWidth="1"/>
    <col min="8974" max="8974" width="27.710937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7.42578125" style="3" bestFit="1" customWidth="1"/>
    <col min="9224" max="9227" width="5.5703125" style="3" bestFit="1" customWidth="1"/>
    <col min="9228" max="9228" width="11.42578125" style="3" customWidth="1"/>
    <col min="9229" max="9229" width="8.5703125" style="3" bestFit="1" customWidth="1"/>
    <col min="9230" max="9230" width="27.710937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7.42578125" style="3" bestFit="1" customWidth="1"/>
    <col min="9480" max="9483" width="5.5703125" style="3" bestFit="1" customWidth="1"/>
    <col min="9484" max="9484" width="11.42578125" style="3" customWidth="1"/>
    <col min="9485" max="9485" width="8.5703125" style="3" bestFit="1" customWidth="1"/>
    <col min="9486" max="9486" width="27.710937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7.42578125" style="3" bestFit="1" customWidth="1"/>
    <col min="9736" max="9739" width="5.5703125" style="3" bestFit="1" customWidth="1"/>
    <col min="9740" max="9740" width="11.42578125" style="3" customWidth="1"/>
    <col min="9741" max="9741" width="8.5703125" style="3" bestFit="1" customWidth="1"/>
    <col min="9742" max="9742" width="27.710937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7.42578125" style="3" bestFit="1" customWidth="1"/>
    <col min="9992" max="9995" width="5.5703125" style="3" bestFit="1" customWidth="1"/>
    <col min="9996" max="9996" width="11.42578125" style="3" customWidth="1"/>
    <col min="9997" max="9997" width="8.5703125" style="3" bestFit="1" customWidth="1"/>
    <col min="9998" max="9998" width="27.710937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7.42578125" style="3" bestFit="1" customWidth="1"/>
    <col min="10248" max="10251" width="5.5703125" style="3" bestFit="1" customWidth="1"/>
    <col min="10252" max="10252" width="11.42578125" style="3" customWidth="1"/>
    <col min="10253" max="10253" width="8.5703125" style="3" bestFit="1" customWidth="1"/>
    <col min="10254" max="10254" width="27.710937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7.42578125" style="3" bestFit="1" customWidth="1"/>
    <col min="10504" max="10507" width="5.5703125" style="3" bestFit="1" customWidth="1"/>
    <col min="10508" max="10508" width="11.42578125" style="3" customWidth="1"/>
    <col min="10509" max="10509" width="8.5703125" style="3" bestFit="1" customWidth="1"/>
    <col min="10510" max="10510" width="27.710937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7.42578125" style="3" bestFit="1" customWidth="1"/>
    <col min="10760" max="10763" width="5.5703125" style="3" bestFit="1" customWidth="1"/>
    <col min="10764" max="10764" width="11.42578125" style="3" customWidth="1"/>
    <col min="10765" max="10765" width="8.5703125" style="3" bestFit="1" customWidth="1"/>
    <col min="10766" max="10766" width="27.710937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7.42578125" style="3" bestFit="1" customWidth="1"/>
    <col min="11016" max="11019" width="5.5703125" style="3" bestFit="1" customWidth="1"/>
    <col min="11020" max="11020" width="11.42578125" style="3" customWidth="1"/>
    <col min="11021" max="11021" width="8.5703125" style="3" bestFit="1" customWidth="1"/>
    <col min="11022" max="11022" width="27.710937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7.42578125" style="3" bestFit="1" customWidth="1"/>
    <col min="11272" max="11275" width="5.5703125" style="3" bestFit="1" customWidth="1"/>
    <col min="11276" max="11276" width="11.42578125" style="3" customWidth="1"/>
    <col min="11277" max="11277" width="8.5703125" style="3" bestFit="1" customWidth="1"/>
    <col min="11278" max="11278" width="27.710937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7.42578125" style="3" bestFit="1" customWidth="1"/>
    <col min="11528" max="11531" width="5.5703125" style="3" bestFit="1" customWidth="1"/>
    <col min="11532" max="11532" width="11.42578125" style="3" customWidth="1"/>
    <col min="11533" max="11533" width="8.5703125" style="3" bestFit="1" customWidth="1"/>
    <col min="11534" max="11534" width="27.710937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7.42578125" style="3" bestFit="1" customWidth="1"/>
    <col min="11784" max="11787" width="5.5703125" style="3" bestFit="1" customWidth="1"/>
    <col min="11788" max="11788" width="11.42578125" style="3" customWidth="1"/>
    <col min="11789" max="11789" width="8.5703125" style="3" bestFit="1" customWidth="1"/>
    <col min="11790" max="11790" width="27.710937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7.42578125" style="3" bestFit="1" customWidth="1"/>
    <col min="12040" max="12043" width="5.5703125" style="3" bestFit="1" customWidth="1"/>
    <col min="12044" max="12044" width="11.42578125" style="3" customWidth="1"/>
    <col min="12045" max="12045" width="8.5703125" style="3" bestFit="1" customWidth="1"/>
    <col min="12046" max="12046" width="27.710937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7.42578125" style="3" bestFit="1" customWidth="1"/>
    <col min="12296" max="12299" width="5.5703125" style="3" bestFit="1" customWidth="1"/>
    <col min="12300" max="12300" width="11.42578125" style="3" customWidth="1"/>
    <col min="12301" max="12301" width="8.5703125" style="3" bestFit="1" customWidth="1"/>
    <col min="12302" max="12302" width="27.710937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7.42578125" style="3" bestFit="1" customWidth="1"/>
    <col min="12552" max="12555" width="5.5703125" style="3" bestFit="1" customWidth="1"/>
    <col min="12556" max="12556" width="11.42578125" style="3" customWidth="1"/>
    <col min="12557" max="12557" width="8.5703125" style="3" bestFit="1" customWidth="1"/>
    <col min="12558" max="12558" width="27.710937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7.42578125" style="3" bestFit="1" customWidth="1"/>
    <col min="12808" max="12811" width="5.5703125" style="3" bestFit="1" customWidth="1"/>
    <col min="12812" max="12812" width="11.42578125" style="3" customWidth="1"/>
    <col min="12813" max="12813" width="8.5703125" style="3" bestFit="1" customWidth="1"/>
    <col min="12814" max="12814" width="27.710937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7.42578125" style="3" bestFit="1" customWidth="1"/>
    <col min="13064" max="13067" width="5.5703125" style="3" bestFit="1" customWidth="1"/>
    <col min="13068" max="13068" width="11.42578125" style="3" customWidth="1"/>
    <col min="13069" max="13069" width="8.5703125" style="3" bestFit="1" customWidth="1"/>
    <col min="13070" max="13070" width="27.710937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7.42578125" style="3" bestFit="1" customWidth="1"/>
    <col min="13320" max="13323" width="5.5703125" style="3" bestFit="1" customWidth="1"/>
    <col min="13324" max="13324" width="11.42578125" style="3" customWidth="1"/>
    <col min="13325" max="13325" width="8.5703125" style="3" bestFit="1" customWidth="1"/>
    <col min="13326" max="13326" width="27.710937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7.42578125" style="3" bestFit="1" customWidth="1"/>
    <col min="13576" max="13579" width="5.5703125" style="3" bestFit="1" customWidth="1"/>
    <col min="13580" max="13580" width="11.42578125" style="3" customWidth="1"/>
    <col min="13581" max="13581" width="8.5703125" style="3" bestFit="1" customWidth="1"/>
    <col min="13582" max="13582" width="27.710937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7.42578125" style="3" bestFit="1" customWidth="1"/>
    <col min="13832" max="13835" width="5.5703125" style="3" bestFit="1" customWidth="1"/>
    <col min="13836" max="13836" width="11.42578125" style="3" customWidth="1"/>
    <col min="13837" max="13837" width="8.5703125" style="3" bestFit="1" customWidth="1"/>
    <col min="13838" max="13838" width="27.710937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7.42578125" style="3" bestFit="1" customWidth="1"/>
    <col min="14088" max="14091" width="5.5703125" style="3" bestFit="1" customWidth="1"/>
    <col min="14092" max="14092" width="11.42578125" style="3" customWidth="1"/>
    <col min="14093" max="14093" width="8.5703125" style="3" bestFit="1" customWidth="1"/>
    <col min="14094" max="14094" width="27.710937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7.42578125" style="3" bestFit="1" customWidth="1"/>
    <col min="14344" max="14347" width="5.5703125" style="3" bestFit="1" customWidth="1"/>
    <col min="14348" max="14348" width="11.42578125" style="3" customWidth="1"/>
    <col min="14349" max="14349" width="8.5703125" style="3" bestFit="1" customWidth="1"/>
    <col min="14350" max="14350" width="27.710937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7.42578125" style="3" bestFit="1" customWidth="1"/>
    <col min="14600" max="14603" width="5.5703125" style="3" bestFit="1" customWidth="1"/>
    <col min="14604" max="14604" width="11.42578125" style="3" customWidth="1"/>
    <col min="14605" max="14605" width="8.5703125" style="3" bestFit="1" customWidth="1"/>
    <col min="14606" max="14606" width="27.710937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7.42578125" style="3" bestFit="1" customWidth="1"/>
    <col min="14856" max="14859" width="5.5703125" style="3" bestFit="1" customWidth="1"/>
    <col min="14860" max="14860" width="11.42578125" style="3" customWidth="1"/>
    <col min="14861" max="14861" width="8.5703125" style="3" bestFit="1" customWidth="1"/>
    <col min="14862" max="14862" width="27.710937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7.42578125" style="3" bestFit="1" customWidth="1"/>
    <col min="15112" max="15115" width="5.5703125" style="3" bestFit="1" customWidth="1"/>
    <col min="15116" max="15116" width="11.42578125" style="3" customWidth="1"/>
    <col min="15117" max="15117" width="8.5703125" style="3" bestFit="1" customWidth="1"/>
    <col min="15118" max="15118" width="27.710937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7.42578125" style="3" bestFit="1" customWidth="1"/>
    <col min="15368" max="15371" width="5.5703125" style="3" bestFit="1" customWidth="1"/>
    <col min="15372" max="15372" width="11.42578125" style="3" customWidth="1"/>
    <col min="15373" max="15373" width="8.5703125" style="3" bestFit="1" customWidth="1"/>
    <col min="15374" max="15374" width="27.710937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7.42578125" style="3" bestFit="1" customWidth="1"/>
    <col min="15624" max="15627" width="5.5703125" style="3" bestFit="1" customWidth="1"/>
    <col min="15628" max="15628" width="11.42578125" style="3" customWidth="1"/>
    <col min="15629" max="15629" width="8.5703125" style="3" bestFit="1" customWidth="1"/>
    <col min="15630" max="15630" width="27.710937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7.42578125" style="3" bestFit="1" customWidth="1"/>
    <col min="15880" max="15883" width="5.5703125" style="3" bestFit="1" customWidth="1"/>
    <col min="15884" max="15884" width="11.42578125" style="3" customWidth="1"/>
    <col min="15885" max="15885" width="8.5703125" style="3" bestFit="1" customWidth="1"/>
    <col min="15886" max="15886" width="27.710937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7.42578125" style="3" bestFit="1" customWidth="1"/>
    <col min="16136" max="16139" width="5.5703125" style="3" bestFit="1" customWidth="1"/>
    <col min="16140" max="16140" width="11.42578125" style="3" customWidth="1"/>
    <col min="16141" max="16141" width="8.5703125" style="3" bestFit="1" customWidth="1"/>
    <col min="16142" max="16142" width="27.7109375" style="3" bestFit="1" customWidth="1"/>
    <col min="16143" max="16384" width="9.140625" style="3"/>
  </cols>
  <sheetData>
    <row r="1" spans="1:14" s="2" customFormat="1" ht="29.1" customHeight="1" x14ac:dyDescent="0.2">
      <c r="A1" s="40" t="s">
        <v>792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61" t="s">
        <v>793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">
      <c r="A6" s="6" t="s">
        <v>794</v>
      </c>
      <c r="B6" s="6" t="s">
        <v>1442</v>
      </c>
      <c r="C6" s="6" t="s">
        <v>795</v>
      </c>
      <c r="D6" s="6" t="s">
        <v>796</v>
      </c>
      <c r="E6" s="6" t="str">
        <f>"1,4188"</f>
        <v>1,4188</v>
      </c>
      <c r="F6" s="6" t="s">
        <v>65</v>
      </c>
      <c r="G6" s="6" t="s">
        <v>66</v>
      </c>
      <c r="H6" s="8" t="s">
        <v>797</v>
      </c>
      <c r="I6" s="8" t="s">
        <v>333</v>
      </c>
      <c r="J6" s="7" t="s">
        <v>798</v>
      </c>
      <c r="K6" s="7"/>
      <c r="L6" s="6" t="str">
        <f>"40,0"</f>
        <v>40,0</v>
      </c>
      <c r="M6" s="8" t="str">
        <f>"56,7520"</f>
        <v>56,7520</v>
      </c>
      <c r="N6" s="6" t="s">
        <v>799</v>
      </c>
    </row>
    <row r="8" spans="1:14" ht="15" x14ac:dyDescent="0.2">
      <c r="A8" s="32" t="s">
        <v>296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A9" s="6" t="s">
        <v>800</v>
      </c>
      <c r="B9" s="6" t="s">
        <v>1442</v>
      </c>
      <c r="C9" s="6" t="s">
        <v>801</v>
      </c>
      <c r="D9" s="6" t="s">
        <v>299</v>
      </c>
      <c r="E9" s="6" t="str">
        <f>"1,3244"</f>
        <v>1,3244</v>
      </c>
      <c r="F9" s="6" t="s">
        <v>14</v>
      </c>
      <c r="G9" s="6" t="s">
        <v>753</v>
      </c>
      <c r="H9" s="8" t="s">
        <v>593</v>
      </c>
      <c r="I9" s="8" t="s">
        <v>230</v>
      </c>
      <c r="J9" s="7" t="s">
        <v>231</v>
      </c>
      <c r="K9" s="7"/>
      <c r="L9" s="6" t="str">
        <f>"50,0"</f>
        <v>50,0</v>
      </c>
      <c r="M9" s="8" t="str">
        <f>"66,2200"</f>
        <v>66,2200</v>
      </c>
      <c r="N9" s="6" t="s">
        <v>62</v>
      </c>
    </row>
    <row r="11" spans="1:14" ht="15" x14ac:dyDescent="0.2">
      <c r="A11" s="32" t="s">
        <v>196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x14ac:dyDescent="0.2">
      <c r="A12" s="9" t="s">
        <v>802</v>
      </c>
      <c r="B12" s="9" t="s">
        <v>1444</v>
      </c>
      <c r="C12" s="9" t="s">
        <v>803</v>
      </c>
      <c r="D12" s="9" t="s">
        <v>804</v>
      </c>
      <c r="E12" s="9" t="str">
        <f>"1,1604"</f>
        <v>1,1604</v>
      </c>
      <c r="F12" s="9" t="s">
        <v>65</v>
      </c>
      <c r="G12" s="9" t="s">
        <v>66</v>
      </c>
      <c r="H12" s="10" t="s">
        <v>32</v>
      </c>
      <c r="I12" s="10" t="s">
        <v>659</v>
      </c>
      <c r="J12" s="25" t="s">
        <v>55</v>
      </c>
      <c r="K12" s="25"/>
      <c r="L12" s="9" t="str">
        <f>"85,0"</f>
        <v>85,0</v>
      </c>
      <c r="M12" s="10" t="str">
        <f>"98,6340"</f>
        <v>98,6340</v>
      </c>
      <c r="N12" s="9" t="s">
        <v>62</v>
      </c>
    </row>
    <row r="13" spans="1:14" x14ac:dyDescent="0.2">
      <c r="A13" s="11" t="s">
        <v>805</v>
      </c>
      <c r="B13" s="11" t="s">
        <v>1444</v>
      </c>
      <c r="C13" s="11" t="s">
        <v>806</v>
      </c>
      <c r="D13" s="11" t="s">
        <v>341</v>
      </c>
      <c r="E13" s="11" t="str">
        <f>"1,1432"</f>
        <v>1,1432</v>
      </c>
      <c r="F13" s="11" t="s">
        <v>65</v>
      </c>
      <c r="G13" s="11" t="s">
        <v>66</v>
      </c>
      <c r="H13" s="13" t="s">
        <v>32</v>
      </c>
      <c r="I13" s="12" t="s">
        <v>659</v>
      </c>
      <c r="J13" s="12" t="s">
        <v>68</v>
      </c>
      <c r="K13" s="12"/>
      <c r="L13" s="11" t="str">
        <f>"80,0"</f>
        <v>80,0</v>
      </c>
      <c r="M13" s="13" t="str">
        <f>"91,4560"</f>
        <v>91,4560</v>
      </c>
      <c r="N13" s="11" t="s">
        <v>807</v>
      </c>
    </row>
    <row r="14" spans="1:14" x14ac:dyDescent="0.2">
      <c r="A14" s="14" t="s">
        <v>808</v>
      </c>
      <c r="B14" s="14" t="s">
        <v>1442</v>
      </c>
      <c r="C14" s="14" t="s">
        <v>809</v>
      </c>
      <c r="D14" s="14" t="s">
        <v>810</v>
      </c>
      <c r="E14" s="14" t="str">
        <f>"1,1207"</f>
        <v>1,1207</v>
      </c>
      <c r="F14" s="14" t="s">
        <v>14</v>
      </c>
      <c r="G14" s="14" t="s">
        <v>495</v>
      </c>
      <c r="H14" s="16" t="s">
        <v>594</v>
      </c>
      <c r="I14" s="16" t="s">
        <v>236</v>
      </c>
      <c r="J14" s="15" t="s">
        <v>119</v>
      </c>
      <c r="K14" s="15"/>
      <c r="L14" s="14" t="str">
        <f>"60,0"</f>
        <v>60,0</v>
      </c>
      <c r="M14" s="16" t="str">
        <f>"67,2420"</f>
        <v>67,2420</v>
      </c>
      <c r="N14" s="14" t="s">
        <v>799</v>
      </c>
    </row>
    <row r="16" spans="1:14" ht="15" x14ac:dyDescent="0.2">
      <c r="A16" s="32" t="s">
        <v>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x14ac:dyDescent="0.2">
      <c r="A17" s="6" t="s">
        <v>811</v>
      </c>
      <c r="B17" s="6" t="s">
        <v>1442</v>
      </c>
      <c r="C17" s="6" t="s">
        <v>812</v>
      </c>
      <c r="D17" s="6" t="s">
        <v>813</v>
      </c>
      <c r="E17" s="6" t="str">
        <f>"1,0444"</f>
        <v>1,0444</v>
      </c>
      <c r="F17" s="6" t="s">
        <v>65</v>
      </c>
      <c r="G17" s="6" t="s">
        <v>66</v>
      </c>
      <c r="H17" s="7" t="s">
        <v>248</v>
      </c>
      <c r="I17" s="8" t="s">
        <v>248</v>
      </c>
      <c r="J17" s="7"/>
      <c r="K17" s="7"/>
      <c r="L17" s="6" t="str">
        <f>"70,0"</f>
        <v>70,0</v>
      </c>
      <c r="M17" s="8" t="str">
        <f>"73,1080"</f>
        <v>73,1080</v>
      </c>
      <c r="N17" s="6" t="s">
        <v>814</v>
      </c>
    </row>
    <row r="19" spans="1:14" ht="15" x14ac:dyDescent="0.2">
      <c r="A19" s="32" t="s">
        <v>19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x14ac:dyDescent="0.2">
      <c r="A20" s="9" t="s">
        <v>815</v>
      </c>
      <c r="B20" s="9" t="s">
        <v>1444</v>
      </c>
      <c r="C20" s="9" t="s">
        <v>816</v>
      </c>
      <c r="D20" s="9" t="s">
        <v>817</v>
      </c>
      <c r="E20" s="9" t="str">
        <f>"0,9871"</f>
        <v>0,9871</v>
      </c>
      <c r="F20" s="26" t="s">
        <v>65</v>
      </c>
      <c r="G20" s="9" t="s">
        <v>66</v>
      </c>
      <c r="H20" s="10" t="s">
        <v>659</v>
      </c>
      <c r="I20" s="25" t="s">
        <v>79</v>
      </c>
      <c r="J20" s="10" t="s">
        <v>79</v>
      </c>
      <c r="K20" s="25" t="s">
        <v>318</v>
      </c>
      <c r="L20" s="9" t="str">
        <f>"95,0"</f>
        <v>95,0</v>
      </c>
      <c r="M20" s="10" t="str">
        <f>"93,7745"</f>
        <v>93,7745</v>
      </c>
      <c r="N20" s="9" t="s">
        <v>62</v>
      </c>
    </row>
    <row r="21" spans="1:14" x14ac:dyDescent="0.2">
      <c r="A21" s="14" t="s">
        <v>818</v>
      </c>
      <c r="B21" s="14" t="s">
        <v>1442</v>
      </c>
      <c r="C21" s="14" t="s">
        <v>819</v>
      </c>
      <c r="D21" s="14" t="s">
        <v>820</v>
      </c>
      <c r="E21" s="14" t="str">
        <f>"0,9522"</f>
        <v>0,9522</v>
      </c>
      <c r="F21" s="14" t="s">
        <v>65</v>
      </c>
      <c r="G21" s="14" t="s">
        <v>66</v>
      </c>
      <c r="H21" s="16" t="s">
        <v>48</v>
      </c>
      <c r="I21" s="16" t="s">
        <v>32</v>
      </c>
      <c r="J21" s="15" t="s">
        <v>41</v>
      </c>
      <c r="K21" s="15"/>
      <c r="L21" s="14" t="str">
        <f>"80,0"</f>
        <v>80,0</v>
      </c>
      <c r="M21" s="16" t="str">
        <f>"76,1760"</f>
        <v>76,1760</v>
      </c>
      <c r="N21" s="14" t="s">
        <v>595</v>
      </c>
    </row>
    <row r="23" spans="1:14" ht="15" x14ac:dyDescent="0.2">
      <c r="A23" s="32" t="s">
        <v>196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x14ac:dyDescent="0.2">
      <c r="A24" s="6" t="s">
        <v>821</v>
      </c>
      <c r="B24" s="6" t="s">
        <v>1438</v>
      </c>
      <c r="C24" s="6" t="s">
        <v>822</v>
      </c>
      <c r="D24" s="6" t="s">
        <v>823</v>
      </c>
      <c r="E24" s="6" t="str">
        <f>"0,8731"</f>
        <v>0,8731</v>
      </c>
      <c r="F24" s="6" t="s">
        <v>65</v>
      </c>
      <c r="G24" s="6" t="s">
        <v>66</v>
      </c>
      <c r="H24" s="8" t="s">
        <v>248</v>
      </c>
      <c r="I24" s="8" t="s">
        <v>106</v>
      </c>
      <c r="J24" s="7" t="s">
        <v>32</v>
      </c>
      <c r="K24" s="7"/>
      <c r="L24" s="6" t="str">
        <f>"75,0"</f>
        <v>75,0</v>
      </c>
      <c r="M24" s="8" t="str">
        <f>"65,4825"</f>
        <v>65,4825</v>
      </c>
      <c r="N24" s="6" t="s">
        <v>338</v>
      </c>
    </row>
    <row r="26" spans="1:14" ht="15" x14ac:dyDescent="0.2">
      <c r="A26" s="32" t="s">
        <v>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x14ac:dyDescent="0.2">
      <c r="A27" s="9" t="s">
        <v>824</v>
      </c>
      <c r="B27" s="9" t="s">
        <v>1441</v>
      </c>
      <c r="C27" s="9" t="s">
        <v>825</v>
      </c>
      <c r="D27" s="9" t="s">
        <v>636</v>
      </c>
      <c r="E27" s="9" t="str">
        <f>"0,7872"</f>
        <v>0,7872</v>
      </c>
      <c r="F27" s="9" t="s">
        <v>65</v>
      </c>
      <c r="G27" s="9" t="s">
        <v>66</v>
      </c>
      <c r="H27" s="10" t="s">
        <v>68</v>
      </c>
      <c r="I27" s="10" t="s">
        <v>79</v>
      </c>
      <c r="J27" s="25" t="s">
        <v>318</v>
      </c>
      <c r="K27" s="25"/>
      <c r="L27" s="9" t="str">
        <f>"95,0"</f>
        <v>95,0</v>
      </c>
      <c r="M27" s="10" t="str">
        <f>"74,7840"</f>
        <v>74,7840</v>
      </c>
      <c r="N27" s="9" t="s">
        <v>826</v>
      </c>
    </row>
    <row r="28" spans="1:14" x14ac:dyDescent="0.2">
      <c r="A28" s="11" t="s">
        <v>827</v>
      </c>
      <c r="B28" s="11" t="s">
        <v>1443</v>
      </c>
      <c r="C28" s="11" t="s">
        <v>828</v>
      </c>
      <c r="D28" s="11" t="s">
        <v>829</v>
      </c>
      <c r="E28" s="11" t="str">
        <f>"0,7766"</f>
        <v>0,7766</v>
      </c>
      <c r="F28" s="11" t="s">
        <v>14</v>
      </c>
      <c r="G28" s="11" t="s">
        <v>495</v>
      </c>
      <c r="H28" s="13" t="s">
        <v>304</v>
      </c>
      <c r="I28" s="13" t="s">
        <v>183</v>
      </c>
      <c r="J28" s="13" t="s">
        <v>355</v>
      </c>
      <c r="K28" s="12"/>
      <c r="L28" s="11" t="str">
        <f>"135,0"</f>
        <v>135,0</v>
      </c>
      <c r="M28" s="13" t="str">
        <f>"104,8410"</f>
        <v>104,8410</v>
      </c>
      <c r="N28" s="11" t="s">
        <v>799</v>
      </c>
    </row>
    <row r="29" spans="1:14" x14ac:dyDescent="0.2">
      <c r="A29" s="11" t="s">
        <v>830</v>
      </c>
      <c r="B29" s="11" t="s">
        <v>1443</v>
      </c>
      <c r="C29" s="11" t="s">
        <v>831</v>
      </c>
      <c r="D29" s="11" t="s">
        <v>832</v>
      </c>
      <c r="E29" s="11" t="str">
        <f>"0,7832"</f>
        <v>0,7832</v>
      </c>
      <c r="F29" s="11" t="s">
        <v>65</v>
      </c>
      <c r="G29" s="11" t="s">
        <v>66</v>
      </c>
      <c r="H29" s="12" t="s">
        <v>350</v>
      </c>
      <c r="I29" s="13" t="s">
        <v>350</v>
      </c>
      <c r="J29" s="13" t="s">
        <v>329</v>
      </c>
      <c r="K29" s="12"/>
      <c r="L29" s="11" t="str">
        <f>"127,5"</f>
        <v>127,5</v>
      </c>
      <c r="M29" s="13" t="str">
        <f>"99,8580"</f>
        <v>99,8580</v>
      </c>
      <c r="N29" s="11" t="s">
        <v>826</v>
      </c>
    </row>
    <row r="30" spans="1:14" x14ac:dyDescent="0.2">
      <c r="A30" s="11" t="s">
        <v>833</v>
      </c>
      <c r="B30" s="11" t="s">
        <v>1437</v>
      </c>
      <c r="C30" s="11" t="s">
        <v>834</v>
      </c>
      <c r="D30" s="11" t="s">
        <v>835</v>
      </c>
      <c r="E30" s="11" t="str">
        <f>"0,7952"</f>
        <v>0,7952</v>
      </c>
      <c r="F30" s="11" t="s">
        <v>14</v>
      </c>
      <c r="G30" s="11" t="s">
        <v>530</v>
      </c>
      <c r="H30" s="13" t="s">
        <v>114</v>
      </c>
      <c r="I30" s="12" t="s">
        <v>313</v>
      </c>
      <c r="J30" s="13" t="s">
        <v>313</v>
      </c>
      <c r="K30" s="12"/>
      <c r="L30" s="11" t="str">
        <f>"105,0"</f>
        <v>105,0</v>
      </c>
      <c r="M30" s="13" t="str">
        <f>"83,4960"</f>
        <v>83,4960</v>
      </c>
      <c r="N30" s="11" t="s">
        <v>836</v>
      </c>
    </row>
    <row r="31" spans="1:14" x14ac:dyDescent="0.2">
      <c r="A31" s="14" t="s">
        <v>837</v>
      </c>
      <c r="B31" s="14" t="s">
        <v>1442</v>
      </c>
      <c r="C31" s="14" t="s">
        <v>838</v>
      </c>
      <c r="D31" s="14" t="s">
        <v>636</v>
      </c>
      <c r="E31" s="14" t="str">
        <f>"0,7872"</f>
        <v>0,7872</v>
      </c>
      <c r="F31" s="14" t="s">
        <v>65</v>
      </c>
      <c r="G31" s="14" t="s">
        <v>66</v>
      </c>
      <c r="H31" s="16" t="s">
        <v>83</v>
      </c>
      <c r="I31" s="15" t="s">
        <v>88</v>
      </c>
      <c r="J31" s="15" t="s">
        <v>88</v>
      </c>
      <c r="K31" s="15"/>
      <c r="L31" s="14" t="str">
        <f>"110,0"</f>
        <v>110,0</v>
      </c>
      <c r="M31" s="16" t="str">
        <f>"92,4803"</f>
        <v>92,4803</v>
      </c>
      <c r="N31" s="14" t="s">
        <v>62</v>
      </c>
    </row>
    <row r="33" spans="1:14" ht="15" x14ac:dyDescent="0.2">
      <c r="A33" s="32" t="s">
        <v>19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2">
      <c r="A34" s="9" t="s">
        <v>839</v>
      </c>
      <c r="B34" s="9" t="s">
        <v>1438</v>
      </c>
      <c r="C34" s="9" t="s">
        <v>840</v>
      </c>
      <c r="D34" s="9" t="s">
        <v>841</v>
      </c>
      <c r="E34" s="9" t="str">
        <f>"0,7152"</f>
        <v>0,7152</v>
      </c>
      <c r="F34" s="9" t="s">
        <v>14</v>
      </c>
      <c r="G34" s="9" t="s">
        <v>495</v>
      </c>
      <c r="H34" s="10" t="s">
        <v>659</v>
      </c>
      <c r="I34" s="10" t="s">
        <v>68</v>
      </c>
      <c r="J34" s="25" t="s">
        <v>74</v>
      </c>
      <c r="K34" s="25"/>
      <c r="L34" s="9" t="str">
        <f>"90,0"</f>
        <v>90,0</v>
      </c>
      <c r="M34" s="10" t="str">
        <f>"64,3680"</f>
        <v>64,3680</v>
      </c>
      <c r="N34" s="9" t="s">
        <v>799</v>
      </c>
    </row>
    <row r="35" spans="1:14" x14ac:dyDescent="0.2">
      <c r="A35" s="11" t="s">
        <v>842</v>
      </c>
      <c r="B35" s="11" t="s">
        <v>1438</v>
      </c>
      <c r="C35" s="11" t="s">
        <v>843</v>
      </c>
      <c r="D35" s="11" t="s">
        <v>844</v>
      </c>
      <c r="E35" s="11" t="str">
        <f>"0,7414"</f>
        <v>0,7414</v>
      </c>
      <c r="F35" s="11" t="s">
        <v>65</v>
      </c>
      <c r="G35" s="11" t="s">
        <v>66</v>
      </c>
      <c r="H35" s="13" t="s">
        <v>659</v>
      </c>
      <c r="I35" s="12" t="s">
        <v>68</v>
      </c>
      <c r="J35" s="12" t="s">
        <v>68</v>
      </c>
      <c r="K35" s="12"/>
      <c r="L35" s="11" t="str">
        <f>"85,0"</f>
        <v>85,0</v>
      </c>
      <c r="M35" s="13" t="str">
        <f>"63,0190"</f>
        <v>63,0190</v>
      </c>
      <c r="N35" s="11" t="s">
        <v>845</v>
      </c>
    </row>
    <row r="36" spans="1:14" x14ac:dyDescent="0.2">
      <c r="A36" s="11" t="s">
        <v>846</v>
      </c>
      <c r="B36" s="11" t="s">
        <v>1444</v>
      </c>
      <c r="C36" s="11" t="s">
        <v>847</v>
      </c>
      <c r="D36" s="11" t="s">
        <v>848</v>
      </c>
      <c r="E36" s="11" t="str">
        <f>"0,7578"</f>
        <v>0,7578</v>
      </c>
      <c r="F36" s="11" t="s">
        <v>849</v>
      </c>
      <c r="G36" s="11" t="s">
        <v>850</v>
      </c>
      <c r="H36" s="13" t="s">
        <v>426</v>
      </c>
      <c r="I36" s="13" t="s">
        <v>400</v>
      </c>
      <c r="J36" s="13" t="s">
        <v>269</v>
      </c>
      <c r="K36" s="12"/>
      <c r="L36" s="11" t="str">
        <f>"165,0"</f>
        <v>165,0</v>
      </c>
      <c r="M36" s="13" t="str">
        <f>"125,0370"</f>
        <v>125,0370</v>
      </c>
      <c r="N36" s="11" t="s">
        <v>62</v>
      </c>
    </row>
    <row r="37" spans="1:14" x14ac:dyDescent="0.2">
      <c r="A37" s="11" t="s">
        <v>851</v>
      </c>
      <c r="B37" s="11" t="s">
        <v>1442</v>
      </c>
      <c r="C37" s="11" t="s">
        <v>852</v>
      </c>
      <c r="D37" s="11" t="s">
        <v>841</v>
      </c>
      <c r="E37" s="11" t="str">
        <f>"0,7152"</f>
        <v>0,7152</v>
      </c>
      <c r="F37" s="11" t="s">
        <v>14</v>
      </c>
      <c r="G37" s="11" t="s">
        <v>387</v>
      </c>
      <c r="H37" s="13" t="s">
        <v>183</v>
      </c>
      <c r="I37" s="12" t="s">
        <v>550</v>
      </c>
      <c r="J37" s="12" t="s">
        <v>550</v>
      </c>
      <c r="K37" s="12"/>
      <c r="L37" s="11" t="str">
        <f>"130,0"</f>
        <v>130,0</v>
      </c>
      <c r="M37" s="13" t="str">
        <f>"92,9760"</f>
        <v>92,9760</v>
      </c>
      <c r="N37" s="11" t="s">
        <v>853</v>
      </c>
    </row>
    <row r="38" spans="1:14" x14ac:dyDescent="0.2">
      <c r="A38" s="11" t="s">
        <v>854</v>
      </c>
      <c r="B38" s="11" t="s">
        <v>1436</v>
      </c>
      <c r="C38" s="11" t="s">
        <v>855</v>
      </c>
      <c r="D38" s="11" t="s">
        <v>421</v>
      </c>
      <c r="E38" s="11" t="str">
        <f>"0,7159"</f>
        <v>0,7159</v>
      </c>
      <c r="F38" s="11" t="s">
        <v>65</v>
      </c>
      <c r="G38" s="11" t="s">
        <v>66</v>
      </c>
      <c r="H38" s="12" t="s">
        <v>304</v>
      </c>
      <c r="I38" s="12" t="s">
        <v>304</v>
      </c>
      <c r="J38" s="12" t="s">
        <v>304</v>
      </c>
      <c r="K38" s="12"/>
      <c r="L38" s="11" t="str">
        <f>"0,0"</f>
        <v>0,0</v>
      </c>
      <c r="M38" s="13" t="str">
        <f>"0,0000"</f>
        <v>0,0000</v>
      </c>
      <c r="N38" s="11" t="s">
        <v>799</v>
      </c>
    </row>
    <row r="39" spans="1:14" x14ac:dyDescent="0.2">
      <c r="A39" s="14" t="s">
        <v>423</v>
      </c>
      <c r="B39" s="14" t="s">
        <v>1441</v>
      </c>
      <c r="C39" s="14" t="s">
        <v>424</v>
      </c>
      <c r="D39" s="14" t="s">
        <v>425</v>
      </c>
      <c r="E39" s="14" t="str">
        <f>"0,7179"</f>
        <v>0,7179</v>
      </c>
      <c r="F39" s="14" t="s">
        <v>14</v>
      </c>
      <c r="G39" s="14" t="s">
        <v>15</v>
      </c>
      <c r="H39" s="15" t="s">
        <v>248</v>
      </c>
      <c r="I39" s="16" t="s">
        <v>248</v>
      </c>
      <c r="J39" s="16" t="s">
        <v>106</v>
      </c>
      <c r="K39" s="15"/>
      <c r="L39" s="14" t="str">
        <f>"75,0"</f>
        <v>75,0</v>
      </c>
      <c r="M39" s="16" t="str">
        <f>"92,5014"</f>
        <v>92,5014</v>
      </c>
      <c r="N39" s="14" t="s">
        <v>427</v>
      </c>
    </row>
    <row r="41" spans="1:14" ht="15" x14ac:dyDescent="0.2">
      <c r="A41" s="32" t="s">
        <v>26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x14ac:dyDescent="0.2">
      <c r="A42" s="9" t="s">
        <v>856</v>
      </c>
      <c r="B42" s="9" t="s">
        <v>1442</v>
      </c>
      <c r="C42" s="9" t="s">
        <v>857</v>
      </c>
      <c r="D42" s="9" t="s">
        <v>663</v>
      </c>
      <c r="E42" s="9" t="str">
        <f>"0,6816"</f>
        <v>0,6816</v>
      </c>
      <c r="F42" s="9" t="s">
        <v>65</v>
      </c>
      <c r="G42" s="9" t="s">
        <v>66</v>
      </c>
      <c r="H42" s="10" t="s">
        <v>304</v>
      </c>
      <c r="I42" s="10" t="s">
        <v>183</v>
      </c>
      <c r="J42" s="25" t="s">
        <v>355</v>
      </c>
      <c r="K42" s="25"/>
      <c r="L42" s="9" t="str">
        <f>"130,0"</f>
        <v>130,0</v>
      </c>
      <c r="M42" s="10" t="str">
        <f>"88,6080"</f>
        <v>88,6080</v>
      </c>
      <c r="N42" s="9" t="s">
        <v>858</v>
      </c>
    </row>
    <row r="43" spans="1:14" x14ac:dyDescent="0.2">
      <c r="A43" s="11" t="s">
        <v>859</v>
      </c>
      <c r="B43" s="11" t="s">
        <v>1444</v>
      </c>
      <c r="C43" s="11" t="s">
        <v>860</v>
      </c>
      <c r="D43" s="11" t="s">
        <v>430</v>
      </c>
      <c r="E43" s="11" t="str">
        <f>"0,6754"</f>
        <v>0,6754</v>
      </c>
      <c r="F43" s="11" t="s">
        <v>65</v>
      </c>
      <c r="G43" s="11" t="s">
        <v>66</v>
      </c>
      <c r="H43" s="13" t="s">
        <v>400</v>
      </c>
      <c r="I43" s="13" t="s">
        <v>269</v>
      </c>
      <c r="J43" s="13" t="s">
        <v>241</v>
      </c>
      <c r="K43" s="13" t="s">
        <v>242</v>
      </c>
      <c r="L43" s="11" t="str">
        <f>"170,0"</f>
        <v>170,0</v>
      </c>
      <c r="M43" s="13" t="str">
        <f>"114,8180"</f>
        <v>114,8180</v>
      </c>
      <c r="N43" s="11" t="s">
        <v>62</v>
      </c>
    </row>
    <row r="44" spans="1:14" x14ac:dyDescent="0.2">
      <c r="A44" s="11" t="s">
        <v>861</v>
      </c>
      <c r="B44" s="11" t="s">
        <v>1443</v>
      </c>
      <c r="C44" s="11" t="s">
        <v>862</v>
      </c>
      <c r="D44" s="11" t="s">
        <v>575</v>
      </c>
      <c r="E44" s="11" t="str">
        <f>"0,6729"</f>
        <v>0,6729</v>
      </c>
      <c r="F44" s="11" t="s">
        <v>65</v>
      </c>
      <c r="G44" s="11" t="s">
        <v>66</v>
      </c>
      <c r="H44" s="13" t="s">
        <v>665</v>
      </c>
      <c r="I44" s="13" t="s">
        <v>264</v>
      </c>
      <c r="J44" s="13" t="s">
        <v>426</v>
      </c>
      <c r="K44" s="12"/>
      <c r="L44" s="11" t="str">
        <f>"155,0"</f>
        <v>155,0</v>
      </c>
      <c r="M44" s="13" t="str">
        <f>"104,2995"</f>
        <v>104,2995</v>
      </c>
      <c r="N44" s="11" t="s">
        <v>863</v>
      </c>
    </row>
    <row r="45" spans="1:14" x14ac:dyDescent="0.2">
      <c r="A45" s="11" t="s">
        <v>864</v>
      </c>
      <c r="B45" s="11" t="s">
        <v>1443</v>
      </c>
      <c r="C45" s="11" t="s">
        <v>865</v>
      </c>
      <c r="D45" s="11" t="s">
        <v>866</v>
      </c>
      <c r="E45" s="11" t="str">
        <f>"0,6939"</f>
        <v>0,6939</v>
      </c>
      <c r="F45" s="11" t="s">
        <v>14</v>
      </c>
      <c r="G45" s="11" t="s">
        <v>437</v>
      </c>
      <c r="H45" s="13" t="s">
        <v>356</v>
      </c>
      <c r="I45" s="13" t="s">
        <v>665</v>
      </c>
      <c r="J45" s="12" t="s">
        <v>466</v>
      </c>
      <c r="K45" s="12"/>
      <c r="L45" s="11" t="str">
        <f>"147,5"</f>
        <v>147,5</v>
      </c>
      <c r="M45" s="13" t="str">
        <f>"102,3502"</f>
        <v>102,3502</v>
      </c>
      <c r="N45" s="11" t="s">
        <v>62</v>
      </c>
    </row>
    <row r="46" spans="1:14" x14ac:dyDescent="0.2">
      <c r="A46" s="11" t="s">
        <v>867</v>
      </c>
      <c r="B46" s="11" t="s">
        <v>1442</v>
      </c>
      <c r="C46" s="11" t="s">
        <v>706</v>
      </c>
      <c r="D46" s="11" t="s">
        <v>868</v>
      </c>
      <c r="E46" s="11" t="str">
        <f>"0,6945"</f>
        <v>0,6945</v>
      </c>
      <c r="F46" s="11" t="s">
        <v>14</v>
      </c>
      <c r="G46" s="11" t="s">
        <v>349</v>
      </c>
      <c r="H46" s="13" t="s">
        <v>356</v>
      </c>
      <c r="I46" s="12" t="s">
        <v>664</v>
      </c>
      <c r="J46" s="12" t="s">
        <v>664</v>
      </c>
      <c r="K46" s="12"/>
      <c r="L46" s="11" t="str">
        <f>"140,0"</f>
        <v>140,0</v>
      </c>
      <c r="M46" s="13" t="str">
        <f>"97,2300"</f>
        <v>97,2300</v>
      </c>
      <c r="N46" s="11" t="s">
        <v>869</v>
      </c>
    </row>
    <row r="47" spans="1:14" x14ac:dyDescent="0.2">
      <c r="A47" s="11" t="s">
        <v>870</v>
      </c>
      <c r="B47" s="11" t="s">
        <v>1442</v>
      </c>
      <c r="C47" s="11" t="s">
        <v>871</v>
      </c>
      <c r="D47" s="11" t="s">
        <v>668</v>
      </c>
      <c r="E47" s="11" t="str">
        <f>"0,6759"</f>
        <v>0,6759</v>
      </c>
      <c r="F47" s="11" t="s">
        <v>65</v>
      </c>
      <c r="G47" s="11" t="s">
        <v>66</v>
      </c>
      <c r="H47" s="13" t="s">
        <v>355</v>
      </c>
      <c r="I47" s="12" t="s">
        <v>357</v>
      </c>
      <c r="J47" s="12" t="s">
        <v>665</v>
      </c>
      <c r="K47" s="12"/>
      <c r="L47" s="11" t="str">
        <f>"135,0"</f>
        <v>135,0</v>
      </c>
      <c r="M47" s="13" t="str">
        <f>"91,2465"</f>
        <v>91,2465</v>
      </c>
      <c r="N47" s="11" t="s">
        <v>309</v>
      </c>
    </row>
    <row r="48" spans="1:14" x14ac:dyDescent="0.2">
      <c r="A48" s="11" t="s">
        <v>872</v>
      </c>
      <c r="B48" s="11" t="s">
        <v>1436</v>
      </c>
      <c r="C48" s="11" t="s">
        <v>873</v>
      </c>
      <c r="D48" s="11" t="s">
        <v>575</v>
      </c>
      <c r="E48" s="11" t="str">
        <f>"0,6729"</f>
        <v>0,6729</v>
      </c>
      <c r="F48" s="11" t="s">
        <v>65</v>
      </c>
      <c r="G48" s="11" t="s">
        <v>66</v>
      </c>
      <c r="H48" s="12" t="s">
        <v>665</v>
      </c>
      <c r="I48" s="12" t="s">
        <v>665</v>
      </c>
      <c r="J48" s="12" t="s">
        <v>665</v>
      </c>
      <c r="K48" s="12"/>
      <c r="L48" s="11" t="str">
        <f>"0,0"</f>
        <v>0,0</v>
      </c>
      <c r="M48" s="13" t="str">
        <f>"0,0000"</f>
        <v>0,0000</v>
      </c>
      <c r="N48" s="11"/>
    </row>
    <row r="49" spans="1:14" x14ac:dyDescent="0.2">
      <c r="A49" s="11" t="s">
        <v>130</v>
      </c>
      <c r="B49" s="11" t="s">
        <v>1437</v>
      </c>
      <c r="C49" s="11" t="s">
        <v>874</v>
      </c>
      <c r="D49" s="11" t="s">
        <v>132</v>
      </c>
      <c r="E49" s="11" t="str">
        <f>"0,6893"</f>
        <v>0,6893</v>
      </c>
      <c r="F49" s="11" t="s">
        <v>14</v>
      </c>
      <c r="G49" s="11" t="s">
        <v>133</v>
      </c>
      <c r="H49" s="12" t="s">
        <v>313</v>
      </c>
      <c r="I49" s="13" t="s">
        <v>313</v>
      </c>
      <c r="J49" s="12" t="s">
        <v>94</v>
      </c>
      <c r="K49" s="12"/>
      <c r="L49" s="11" t="str">
        <f>"105,0"</f>
        <v>105,0</v>
      </c>
      <c r="M49" s="13" t="str">
        <f>"87,1413"</f>
        <v>87,1413</v>
      </c>
      <c r="N49" s="11"/>
    </row>
    <row r="50" spans="1:14" x14ac:dyDescent="0.2">
      <c r="A50" s="11" t="s">
        <v>875</v>
      </c>
      <c r="B50" s="11" t="s">
        <v>1443</v>
      </c>
      <c r="C50" s="11" t="s">
        <v>876</v>
      </c>
      <c r="D50" s="11" t="s">
        <v>866</v>
      </c>
      <c r="E50" s="11" t="str">
        <f>"0,6939"</f>
        <v>0,6939</v>
      </c>
      <c r="F50" s="11" t="s">
        <v>14</v>
      </c>
      <c r="G50" s="11" t="s">
        <v>877</v>
      </c>
      <c r="H50" s="13" t="s">
        <v>304</v>
      </c>
      <c r="I50" s="13" t="s">
        <v>183</v>
      </c>
      <c r="J50" s="12" t="s">
        <v>646</v>
      </c>
      <c r="K50" s="12"/>
      <c r="L50" s="11" t="str">
        <f>"130,0"</f>
        <v>130,0</v>
      </c>
      <c r="M50" s="13" t="str">
        <f>"118,6222"</f>
        <v>118,6222</v>
      </c>
      <c r="N50" s="11"/>
    </row>
    <row r="51" spans="1:14" x14ac:dyDescent="0.2">
      <c r="A51" s="14" t="s">
        <v>474</v>
      </c>
      <c r="B51" s="14" t="s">
        <v>1437</v>
      </c>
      <c r="C51" s="14" t="s">
        <v>475</v>
      </c>
      <c r="D51" s="14" t="s">
        <v>476</v>
      </c>
      <c r="E51" s="14" t="str">
        <f>"0,6899"</f>
        <v>0,6899</v>
      </c>
      <c r="F51" s="14" t="s">
        <v>14</v>
      </c>
      <c r="G51" s="14" t="s">
        <v>15</v>
      </c>
      <c r="H51" s="16" t="s">
        <v>41</v>
      </c>
      <c r="I51" s="16" t="s">
        <v>55</v>
      </c>
      <c r="J51" s="16" t="s">
        <v>68</v>
      </c>
      <c r="K51" s="15"/>
      <c r="L51" s="14" t="str">
        <f>"90,0"</f>
        <v>90,0</v>
      </c>
      <c r="M51" s="16" t="str">
        <f>"124,4925"</f>
        <v>124,4925</v>
      </c>
      <c r="N51" s="14"/>
    </row>
    <row r="53" spans="1:14" ht="15" x14ac:dyDescent="0.2">
      <c r="A53" s="32" t="s">
        <v>50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x14ac:dyDescent="0.2">
      <c r="A54" s="9" t="s">
        <v>878</v>
      </c>
      <c r="B54" s="9" t="s">
        <v>1443</v>
      </c>
      <c r="C54" s="9" t="s">
        <v>879</v>
      </c>
      <c r="D54" s="9" t="s">
        <v>67</v>
      </c>
      <c r="E54" s="9" t="str">
        <f>"0,6421"</f>
        <v>0,6421</v>
      </c>
      <c r="F54" s="9" t="s">
        <v>65</v>
      </c>
      <c r="G54" s="9" t="s">
        <v>66</v>
      </c>
      <c r="H54" s="10" t="s">
        <v>426</v>
      </c>
      <c r="I54" s="25" t="s">
        <v>269</v>
      </c>
      <c r="J54" s="25" t="s">
        <v>269</v>
      </c>
      <c r="K54" s="25"/>
      <c r="L54" s="9" t="str">
        <f>"155,0"</f>
        <v>155,0</v>
      </c>
      <c r="M54" s="10" t="str">
        <f>"99,5255"</f>
        <v>99,5255</v>
      </c>
      <c r="N54" s="9"/>
    </row>
    <row r="55" spans="1:14" x14ac:dyDescent="0.2">
      <c r="A55" s="11" t="s">
        <v>880</v>
      </c>
      <c r="B55" s="11" t="s">
        <v>1442</v>
      </c>
      <c r="C55" s="11" t="s">
        <v>881</v>
      </c>
      <c r="D55" s="11" t="s">
        <v>882</v>
      </c>
      <c r="E55" s="11" t="str">
        <f>"0,6511"</f>
        <v>0,6511</v>
      </c>
      <c r="F55" s="11" t="s">
        <v>65</v>
      </c>
      <c r="G55" s="11" t="s">
        <v>66</v>
      </c>
      <c r="H55" s="13" t="s">
        <v>883</v>
      </c>
      <c r="I55" s="13" t="s">
        <v>355</v>
      </c>
      <c r="J55" s="13" t="s">
        <v>356</v>
      </c>
      <c r="K55" s="12"/>
      <c r="L55" s="11" t="str">
        <f>"140,0"</f>
        <v>140,0</v>
      </c>
      <c r="M55" s="13" t="str">
        <f>"91,1540"</f>
        <v>91,1540</v>
      </c>
      <c r="N55" s="11"/>
    </row>
    <row r="56" spans="1:14" x14ac:dyDescent="0.2">
      <c r="A56" s="11" t="s">
        <v>141</v>
      </c>
      <c r="B56" s="11" t="s">
        <v>1443</v>
      </c>
      <c r="C56" s="11" t="s">
        <v>142</v>
      </c>
      <c r="D56" s="11" t="s">
        <v>143</v>
      </c>
      <c r="E56" s="11" t="str">
        <f>"0,6523"</f>
        <v>0,6523</v>
      </c>
      <c r="F56" s="11" t="s">
        <v>65</v>
      </c>
      <c r="G56" s="11" t="s">
        <v>66</v>
      </c>
      <c r="H56" s="12" t="s">
        <v>269</v>
      </c>
      <c r="I56" s="13" t="s">
        <v>269</v>
      </c>
      <c r="J56" s="13" t="s">
        <v>241</v>
      </c>
      <c r="K56" s="12"/>
      <c r="L56" s="11" t="str">
        <f>"170,0"</f>
        <v>170,0</v>
      </c>
      <c r="M56" s="13" t="str">
        <f>"110,8910"</f>
        <v>110,8910</v>
      </c>
      <c r="N56" s="11" t="s">
        <v>145</v>
      </c>
    </row>
    <row r="57" spans="1:14" x14ac:dyDescent="0.2">
      <c r="A57" s="11" t="s">
        <v>884</v>
      </c>
      <c r="B57" s="11" t="s">
        <v>1443</v>
      </c>
      <c r="C57" s="11" t="s">
        <v>885</v>
      </c>
      <c r="D57" s="11" t="s">
        <v>886</v>
      </c>
      <c r="E57" s="11" t="str">
        <f>"0,6467"</f>
        <v>0,6467</v>
      </c>
      <c r="F57" s="11" t="s">
        <v>65</v>
      </c>
      <c r="G57" s="11" t="s">
        <v>66</v>
      </c>
      <c r="H57" s="13" t="s">
        <v>426</v>
      </c>
      <c r="I57" s="13" t="s">
        <v>400</v>
      </c>
      <c r="J57" s="12" t="s">
        <v>887</v>
      </c>
      <c r="K57" s="12"/>
      <c r="L57" s="11" t="str">
        <f>"160,0"</f>
        <v>160,0</v>
      </c>
      <c r="M57" s="13" t="str">
        <f>"103,4720"</f>
        <v>103,4720</v>
      </c>
      <c r="N57" s="11"/>
    </row>
    <row r="58" spans="1:14" x14ac:dyDescent="0.2">
      <c r="A58" s="11" t="s">
        <v>888</v>
      </c>
      <c r="B58" s="11" t="s">
        <v>1442</v>
      </c>
      <c r="C58" s="11" t="s">
        <v>693</v>
      </c>
      <c r="D58" s="11" t="s">
        <v>694</v>
      </c>
      <c r="E58" s="11" t="str">
        <f>"0,6432"</f>
        <v>0,6432</v>
      </c>
      <c r="F58" s="11" t="s">
        <v>65</v>
      </c>
      <c r="G58" s="11" t="s">
        <v>66</v>
      </c>
      <c r="H58" s="13" t="s">
        <v>264</v>
      </c>
      <c r="I58" s="12" t="s">
        <v>426</v>
      </c>
      <c r="J58" s="12" t="s">
        <v>426</v>
      </c>
      <c r="K58" s="12"/>
      <c r="L58" s="11" t="str">
        <f>"150,0"</f>
        <v>150,0</v>
      </c>
      <c r="M58" s="13" t="str">
        <f>"96,4800"</f>
        <v>96,4800</v>
      </c>
      <c r="N58" s="11" t="s">
        <v>695</v>
      </c>
    </row>
    <row r="59" spans="1:14" x14ac:dyDescent="0.2">
      <c r="A59" s="11" t="s">
        <v>889</v>
      </c>
      <c r="B59" s="11" t="s">
        <v>1442</v>
      </c>
      <c r="C59" s="11" t="s">
        <v>890</v>
      </c>
      <c r="D59" s="11" t="s">
        <v>891</v>
      </c>
      <c r="E59" s="11" t="str">
        <f>"0,6440"</f>
        <v>0,6440</v>
      </c>
      <c r="F59" s="11" t="s">
        <v>65</v>
      </c>
      <c r="G59" s="11" t="s">
        <v>66</v>
      </c>
      <c r="H59" s="12" t="s">
        <v>355</v>
      </c>
      <c r="I59" s="13" t="s">
        <v>355</v>
      </c>
      <c r="J59" s="13" t="s">
        <v>356</v>
      </c>
      <c r="K59" s="12"/>
      <c r="L59" s="11" t="str">
        <f>"140,0"</f>
        <v>140,0</v>
      </c>
      <c r="M59" s="13" t="str">
        <f>"90,1600"</f>
        <v>90,1600</v>
      </c>
      <c r="N59" s="11" t="s">
        <v>740</v>
      </c>
    </row>
    <row r="60" spans="1:14" x14ac:dyDescent="0.2">
      <c r="A60" s="11" t="s">
        <v>892</v>
      </c>
      <c r="B60" s="11" t="s">
        <v>1442</v>
      </c>
      <c r="C60" s="11" t="s">
        <v>893</v>
      </c>
      <c r="D60" s="11" t="s">
        <v>67</v>
      </c>
      <c r="E60" s="11" t="str">
        <f>"0,6421"</f>
        <v>0,6421</v>
      </c>
      <c r="F60" s="11" t="s">
        <v>14</v>
      </c>
      <c r="G60" s="11" t="s">
        <v>93</v>
      </c>
      <c r="H60" s="13" t="s">
        <v>183</v>
      </c>
      <c r="I60" s="12" t="s">
        <v>355</v>
      </c>
      <c r="J60" s="13" t="s">
        <v>355</v>
      </c>
      <c r="K60" s="12"/>
      <c r="L60" s="11" t="str">
        <f>"135,0"</f>
        <v>135,0</v>
      </c>
      <c r="M60" s="13" t="str">
        <f>"86,6835"</f>
        <v>86,6835</v>
      </c>
      <c r="N60" s="11" t="s">
        <v>894</v>
      </c>
    </row>
    <row r="61" spans="1:14" x14ac:dyDescent="0.2">
      <c r="A61" s="11" t="s">
        <v>895</v>
      </c>
      <c r="B61" s="11" t="s">
        <v>1437</v>
      </c>
      <c r="C61" s="11" t="s">
        <v>896</v>
      </c>
      <c r="D61" s="11" t="s">
        <v>897</v>
      </c>
      <c r="E61" s="11" t="str">
        <f>"0,6436"</f>
        <v>0,6436</v>
      </c>
      <c r="F61" s="11" t="s">
        <v>14</v>
      </c>
      <c r="G61" s="11" t="s">
        <v>387</v>
      </c>
      <c r="H61" s="13" t="s">
        <v>304</v>
      </c>
      <c r="I61" s="13" t="s">
        <v>183</v>
      </c>
      <c r="J61" s="12" t="s">
        <v>355</v>
      </c>
      <c r="K61" s="12"/>
      <c r="L61" s="11" t="str">
        <f>"130,0"</f>
        <v>130,0</v>
      </c>
      <c r="M61" s="13" t="str">
        <f>"83,6680"</f>
        <v>83,6680</v>
      </c>
      <c r="N61" s="11" t="s">
        <v>898</v>
      </c>
    </row>
    <row r="62" spans="1:14" x14ac:dyDescent="0.2">
      <c r="A62" s="11" t="s">
        <v>899</v>
      </c>
      <c r="B62" s="11" t="s">
        <v>1437</v>
      </c>
      <c r="C62" s="11" t="s">
        <v>900</v>
      </c>
      <c r="D62" s="11" t="s">
        <v>901</v>
      </c>
      <c r="E62" s="11" t="str">
        <f>"0,6406"</f>
        <v>0,6406</v>
      </c>
      <c r="F62" s="11" t="s">
        <v>65</v>
      </c>
      <c r="G62" s="11" t="s">
        <v>66</v>
      </c>
      <c r="H62" s="13" t="s">
        <v>304</v>
      </c>
      <c r="I62" s="13" t="s">
        <v>183</v>
      </c>
      <c r="J62" s="12" t="s">
        <v>355</v>
      </c>
      <c r="K62" s="12"/>
      <c r="L62" s="11" t="str">
        <f>"130,0"</f>
        <v>130,0</v>
      </c>
      <c r="M62" s="13" t="str">
        <f>"83,2780"</f>
        <v>83,2780</v>
      </c>
      <c r="N62" s="11" t="s">
        <v>613</v>
      </c>
    </row>
    <row r="63" spans="1:14" x14ac:dyDescent="0.2">
      <c r="A63" s="11" t="s">
        <v>902</v>
      </c>
      <c r="B63" s="11" t="s">
        <v>1436</v>
      </c>
      <c r="C63" s="11" t="s">
        <v>903</v>
      </c>
      <c r="D63" s="11" t="s">
        <v>904</v>
      </c>
      <c r="E63" s="11" t="str">
        <f>"0,6459"</f>
        <v>0,6459</v>
      </c>
      <c r="F63" s="11" t="s">
        <v>14</v>
      </c>
      <c r="G63" s="11" t="s">
        <v>905</v>
      </c>
      <c r="H63" s="12" t="s">
        <v>264</v>
      </c>
      <c r="I63" s="12" t="s">
        <v>264</v>
      </c>
      <c r="J63" s="12" t="s">
        <v>426</v>
      </c>
      <c r="K63" s="12"/>
      <c r="L63" s="11" t="str">
        <f>"0,0"</f>
        <v>0,0</v>
      </c>
      <c r="M63" s="13" t="str">
        <f>"0,0000"</f>
        <v>0,0000</v>
      </c>
      <c r="N63" s="11" t="s">
        <v>62</v>
      </c>
    </row>
    <row r="64" spans="1:14" x14ac:dyDescent="0.2">
      <c r="A64" s="14" t="s">
        <v>906</v>
      </c>
      <c r="B64" s="14" t="s">
        <v>1436</v>
      </c>
      <c r="C64" s="14" t="s">
        <v>907</v>
      </c>
      <c r="D64" s="14" t="s">
        <v>53</v>
      </c>
      <c r="E64" s="14" t="str">
        <f>"0,6562"</f>
        <v>0,6562</v>
      </c>
      <c r="F64" s="14" t="s">
        <v>14</v>
      </c>
      <c r="G64" s="14" t="s">
        <v>54</v>
      </c>
      <c r="H64" s="15" t="s">
        <v>264</v>
      </c>
      <c r="I64" s="15"/>
      <c r="J64" s="15"/>
      <c r="K64" s="15"/>
      <c r="L64" s="14" t="str">
        <f>"0,0"</f>
        <v>0,0</v>
      </c>
      <c r="M64" s="16" t="str">
        <f>"0,0000"</f>
        <v>0,0000</v>
      </c>
      <c r="N64" s="14"/>
    </row>
    <row r="66" spans="1:14" ht="15" x14ac:dyDescent="0.2">
      <c r="A66" s="32" t="s">
        <v>70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</row>
    <row r="67" spans="1:14" x14ac:dyDescent="0.2">
      <c r="A67" s="9" t="s">
        <v>908</v>
      </c>
      <c r="B67" s="9" t="s">
        <v>1443</v>
      </c>
      <c r="C67" s="9" t="s">
        <v>909</v>
      </c>
      <c r="D67" s="9" t="s">
        <v>258</v>
      </c>
      <c r="E67" s="9" t="str">
        <f>"0,6101"</f>
        <v>0,6101</v>
      </c>
      <c r="F67" s="9" t="s">
        <v>14</v>
      </c>
      <c r="G67" s="9" t="s">
        <v>93</v>
      </c>
      <c r="H67" s="10" t="s">
        <v>290</v>
      </c>
      <c r="I67" s="25" t="s">
        <v>774</v>
      </c>
      <c r="J67" s="25" t="s">
        <v>774</v>
      </c>
      <c r="K67" s="25"/>
      <c r="L67" s="9" t="str">
        <f>"172,5"</f>
        <v>172,5</v>
      </c>
      <c r="M67" s="10" t="str">
        <f>"105,2422"</f>
        <v>105,2422</v>
      </c>
      <c r="N67" s="9" t="s">
        <v>894</v>
      </c>
    </row>
    <row r="68" spans="1:14" x14ac:dyDescent="0.2">
      <c r="A68" s="11" t="s">
        <v>910</v>
      </c>
      <c r="B68" s="11" t="s">
        <v>1443</v>
      </c>
      <c r="C68" s="11" t="s">
        <v>911</v>
      </c>
      <c r="D68" s="11" t="s">
        <v>157</v>
      </c>
      <c r="E68" s="11" t="str">
        <f>"0,6298"</f>
        <v>0,6298</v>
      </c>
      <c r="F68" s="11" t="s">
        <v>14</v>
      </c>
      <c r="G68" s="11" t="s">
        <v>15</v>
      </c>
      <c r="H68" s="13" t="s">
        <v>466</v>
      </c>
      <c r="I68" s="13" t="s">
        <v>400</v>
      </c>
      <c r="J68" s="13" t="s">
        <v>887</v>
      </c>
      <c r="K68" s="12"/>
      <c r="L68" s="11" t="str">
        <f>"167,5"</f>
        <v>167,5</v>
      </c>
      <c r="M68" s="13" t="str">
        <f>"105,4915"</f>
        <v>105,4915</v>
      </c>
      <c r="N68" s="11" t="s">
        <v>912</v>
      </c>
    </row>
    <row r="69" spans="1:14" x14ac:dyDescent="0.2">
      <c r="A69" s="11" t="s">
        <v>913</v>
      </c>
      <c r="B69" s="11" t="s">
        <v>1442</v>
      </c>
      <c r="C69" s="11" t="s">
        <v>914</v>
      </c>
      <c r="D69" s="11" t="s">
        <v>167</v>
      </c>
      <c r="E69" s="11" t="str">
        <f>"0,6123"</f>
        <v>0,6123</v>
      </c>
      <c r="F69" s="11" t="s">
        <v>14</v>
      </c>
      <c r="G69" s="11" t="s">
        <v>387</v>
      </c>
      <c r="H69" s="13" t="s">
        <v>264</v>
      </c>
      <c r="I69" s="12" t="s">
        <v>426</v>
      </c>
      <c r="J69" s="12" t="s">
        <v>426</v>
      </c>
      <c r="K69" s="12"/>
      <c r="L69" s="11" t="str">
        <f>"150,0"</f>
        <v>150,0</v>
      </c>
      <c r="M69" s="13" t="str">
        <f>"91,8450"</f>
        <v>91,8450</v>
      </c>
      <c r="N69" s="11"/>
    </row>
    <row r="70" spans="1:14" x14ac:dyDescent="0.2">
      <c r="A70" s="11" t="s">
        <v>915</v>
      </c>
      <c r="B70" s="11" t="s">
        <v>1442</v>
      </c>
      <c r="C70" s="11" t="s">
        <v>916</v>
      </c>
      <c r="D70" s="11" t="s">
        <v>917</v>
      </c>
      <c r="E70" s="11" t="str">
        <f>"0,6266"</f>
        <v>0,6266</v>
      </c>
      <c r="F70" s="11" t="s">
        <v>14</v>
      </c>
      <c r="G70" s="11" t="s">
        <v>381</v>
      </c>
      <c r="H70" s="13" t="s">
        <v>664</v>
      </c>
      <c r="I70" s="12" t="s">
        <v>466</v>
      </c>
      <c r="J70" s="12" t="s">
        <v>466</v>
      </c>
      <c r="K70" s="12"/>
      <c r="L70" s="11" t="str">
        <f>"145,0"</f>
        <v>145,0</v>
      </c>
      <c r="M70" s="13" t="str">
        <f>"90,8570"</f>
        <v>90,8570</v>
      </c>
      <c r="N70" s="11" t="s">
        <v>918</v>
      </c>
    </row>
    <row r="71" spans="1:14" x14ac:dyDescent="0.2">
      <c r="A71" s="11" t="s">
        <v>919</v>
      </c>
      <c r="B71" s="11" t="s">
        <v>1441</v>
      </c>
      <c r="C71" s="11" t="s">
        <v>920</v>
      </c>
      <c r="D71" s="11" t="s">
        <v>921</v>
      </c>
      <c r="E71" s="11" t="str">
        <f>"0,6108"</f>
        <v>0,6108</v>
      </c>
      <c r="F71" s="27" t="s">
        <v>65</v>
      </c>
      <c r="G71" s="11" t="s">
        <v>922</v>
      </c>
      <c r="H71" s="13" t="s">
        <v>94</v>
      </c>
      <c r="I71" s="12" t="s">
        <v>304</v>
      </c>
      <c r="J71" s="12" t="s">
        <v>304</v>
      </c>
      <c r="K71" s="12"/>
      <c r="L71" s="11" t="str">
        <f>"115,0"</f>
        <v>115,0</v>
      </c>
      <c r="M71" s="13" t="str">
        <f>"70,2420"</f>
        <v>70,2420</v>
      </c>
      <c r="N71" s="11" t="s">
        <v>62</v>
      </c>
    </row>
    <row r="72" spans="1:14" x14ac:dyDescent="0.2">
      <c r="A72" s="11" t="s">
        <v>908</v>
      </c>
      <c r="B72" s="11" t="s">
        <v>1443</v>
      </c>
      <c r="C72" s="11" t="s">
        <v>923</v>
      </c>
      <c r="D72" s="11" t="s">
        <v>258</v>
      </c>
      <c r="E72" s="11" t="str">
        <f>"0,6101"</f>
        <v>0,6101</v>
      </c>
      <c r="F72" s="11" t="s">
        <v>14</v>
      </c>
      <c r="G72" s="11" t="s">
        <v>93</v>
      </c>
      <c r="H72" s="13" t="s">
        <v>290</v>
      </c>
      <c r="I72" s="12" t="s">
        <v>774</v>
      </c>
      <c r="J72" s="12" t="s">
        <v>774</v>
      </c>
      <c r="K72" s="12"/>
      <c r="L72" s="11" t="str">
        <f>"172,5"</f>
        <v>172,5</v>
      </c>
      <c r="M72" s="13" t="str">
        <f>"105,2422"</f>
        <v>105,2422</v>
      </c>
      <c r="N72" s="11" t="s">
        <v>894</v>
      </c>
    </row>
    <row r="73" spans="1:14" x14ac:dyDescent="0.2">
      <c r="A73" s="11" t="s">
        <v>924</v>
      </c>
      <c r="B73" s="11" t="s">
        <v>1443</v>
      </c>
      <c r="C73" s="11" t="s">
        <v>925</v>
      </c>
      <c r="D73" s="11" t="s">
        <v>157</v>
      </c>
      <c r="E73" s="11" t="str">
        <f>"0,6298"</f>
        <v>0,6298</v>
      </c>
      <c r="F73" s="11" t="s">
        <v>14</v>
      </c>
      <c r="G73" s="11" t="s">
        <v>15</v>
      </c>
      <c r="H73" s="13" t="s">
        <v>466</v>
      </c>
      <c r="I73" s="13" t="s">
        <v>400</v>
      </c>
      <c r="J73" s="13" t="s">
        <v>887</v>
      </c>
      <c r="K73" s="12"/>
      <c r="L73" s="11" t="str">
        <f>"167,5"</f>
        <v>167,5</v>
      </c>
      <c r="M73" s="13" t="str">
        <f>"112,6649"</f>
        <v>112,6649</v>
      </c>
      <c r="N73" s="11" t="s">
        <v>912</v>
      </c>
    </row>
    <row r="74" spans="1:14" x14ac:dyDescent="0.2">
      <c r="A74" s="11" t="s">
        <v>926</v>
      </c>
      <c r="B74" s="11" t="s">
        <v>1436</v>
      </c>
      <c r="C74" s="11" t="s">
        <v>514</v>
      </c>
      <c r="D74" s="11" t="s">
        <v>167</v>
      </c>
      <c r="E74" s="11" t="str">
        <f>"0,6123"</f>
        <v>0,6123</v>
      </c>
      <c r="F74" s="11" t="s">
        <v>65</v>
      </c>
      <c r="G74" s="11" t="s">
        <v>66</v>
      </c>
      <c r="H74" s="12" t="s">
        <v>388</v>
      </c>
      <c r="I74" s="12"/>
      <c r="J74" s="12"/>
      <c r="K74" s="12"/>
      <c r="L74" s="11" t="str">
        <f>"0,0"</f>
        <v>0,0</v>
      </c>
      <c r="M74" s="13" t="str">
        <f>"0,0000"</f>
        <v>0,0000</v>
      </c>
      <c r="N74" s="11" t="s">
        <v>169</v>
      </c>
    </row>
    <row r="75" spans="1:14" x14ac:dyDescent="0.2">
      <c r="A75" s="14" t="s">
        <v>927</v>
      </c>
      <c r="B75" s="14" t="s">
        <v>1444</v>
      </c>
      <c r="C75" s="14" t="s">
        <v>928</v>
      </c>
      <c r="D75" s="14" t="s">
        <v>728</v>
      </c>
      <c r="E75" s="14" t="str">
        <f>"0,6129"</f>
        <v>0,6129</v>
      </c>
      <c r="F75" s="14" t="s">
        <v>929</v>
      </c>
      <c r="G75" s="14" t="s">
        <v>930</v>
      </c>
      <c r="H75" s="16" t="s">
        <v>269</v>
      </c>
      <c r="I75" s="15" t="s">
        <v>242</v>
      </c>
      <c r="J75" s="15" t="s">
        <v>242</v>
      </c>
      <c r="K75" s="15"/>
      <c r="L75" s="14" t="str">
        <f>"165,0"</f>
        <v>165,0</v>
      </c>
      <c r="M75" s="16" t="str">
        <f>"123,8824"</f>
        <v>123,8824</v>
      </c>
      <c r="N75" s="14" t="s">
        <v>931</v>
      </c>
    </row>
    <row r="77" spans="1:14" ht="15" x14ac:dyDescent="0.2">
      <c r="A77" s="32" t="s">
        <v>81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x14ac:dyDescent="0.2">
      <c r="A78" s="9" t="s">
        <v>932</v>
      </c>
      <c r="B78" s="9" t="s">
        <v>1444</v>
      </c>
      <c r="C78" s="9" t="s">
        <v>933</v>
      </c>
      <c r="D78" s="9" t="s">
        <v>934</v>
      </c>
      <c r="E78" s="9" t="str">
        <f>"0,5924"</f>
        <v>0,5924</v>
      </c>
      <c r="F78" s="9" t="s">
        <v>14</v>
      </c>
      <c r="G78" s="9" t="s">
        <v>431</v>
      </c>
      <c r="H78" s="10" t="s">
        <v>413</v>
      </c>
      <c r="I78" s="10" t="s">
        <v>442</v>
      </c>
      <c r="J78" s="25" t="s">
        <v>535</v>
      </c>
      <c r="K78" s="25"/>
      <c r="L78" s="9" t="str">
        <f>"220,0"</f>
        <v>220,0</v>
      </c>
      <c r="M78" s="10" t="str">
        <f>"130,3280"</f>
        <v>130,3280</v>
      </c>
      <c r="N78" s="9" t="s">
        <v>935</v>
      </c>
    </row>
    <row r="79" spans="1:14" x14ac:dyDescent="0.2">
      <c r="A79" s="11" t="s">
        <v>936</v>
      </c>
      <c r="B79" s="11" t="s">
        <v>1443</v>
      </c>
      <c r="C79" s="11" t="s">
        <v>937</v>
      </c>
      <c r="D79" s="11" t="s">
        <v>938</v>
      </c>
      <c r="E79" s="11" t="str">
        <f>"0,5890"</f>
        <v>0,5890</v>
      </c>
      <c r="F79" s="11" t="s">
        <v>14</v>
      </c>
      <c r="G79" s="11" t="s">
        <v>470</v>
      </c>
      <c r="H79" s="13" t="s">
        <v>774</v>
      </c>
      <c r="I79" s="13" t="s">
        <v>255</v>
      </c>
      <c r="J79" s="12" t="s">
        <v>270</v>
      </c>
      <c r="K79" s="12"/>
      <c r="L79" s="11" t="str">
        <f>"185,0"</f>
        <v>185,0</v>
      </c>
      <c r="M79" s="13" t="str">
        <f>"108,9650"</f>
        <v>108,9650</v>
      </c>
      <c r="N79" s="11" t="s">
        <v>473</v>
      </c>
    </row>
    <row r="80" spans="1:14" x14ac:dyDescent="0.2">
      <c r="A80" s="11" t="s">
        <v>939</v>
      </c>
      <c r="B80" s="11" t="s">
        <v>1444</v>
      </c>
      <c r="C80" s="11" t="s">
        <v>940</v>
      </c>
      <c r="D80" s="11" t="s">
        <v>82</v>
      </c>
      <c r="E80" s="11" t="str">
        <f>"0,5902"</f>
        <v>0,5902</v>
      </c>
      <c r="F80" s="11" t="s">
        <v>14</v>
      </c>
      <c r="G80" s="11" t="s">
        <v>718</v>
      </c>
      <c r="H80" s="13" t="s">
        <v>774</v>
      </c>
      <c r="I80" s="13" t="s">
        <v>255</v>
      </c>
      <c r="J80" s="12" t="s">
        <v>769</v>
      </c>
      <c r="K80" s="12"/>
      <c r="L80" s="11" t="str">
        <f>"185,0"</f>
        <v>185,0</v>
      </c>
      <c r="M80" s="13" t="str">
        <f>"119,7781"</f>
        <v>119,7781</v>
      </c>
      <c r="N80" s="11" t="s">
        <v>941</v>
      </c>
    </row>
    <row r="81" spans="1:14" x14ac:dyDescent="0.2">
      <c r="A81" s="14" t="s">
        <v>942</v>
      </c>
      <c r="B81" s="14" t="s">
        <v>1443</v>
      </c>
      <c r="C81" s="14" t="s">
        <v>943</v>
      </c>
      <c r="D81" s="14" t="s">
        <v>273</v>
      </c>
      <c r="E81" s="14" t="str">
        <f>"0,5923"</f>
        <v>0,5923</v>
      </c>
      <c r="F81" s="28" t="s">
        <v>65</v>
      </c>
      <c r="G81" s="14" t="s">
        <v>66</v>
      </c>
      <c r="H81" s="16" t="s">
        <v>356</v>
      </c>
      <c r="I81" s="16" t="s">
        <v>264</v>
      </c>
      <c r="J81" s="16" t="s">
        <v>400</v>
      </c>
      <c r="K81" s="15"/>
      <c r="L81" s="14" t="str">
        <f>"160,0"</f>
        <v>160,0</v>
      </c>
      <c r="M81" s="16" t="str">
        <f>"120,1658"</f>
        <v>120,1658</v>
      </c>
      <c r="N81" s="14" t="s">
        <v>944</v>
      </c>
    </row>
    <row r="83" spans="1:14" ht="15" x14ac:dyDescent="0.2">
      <c r="A83" s="32" t="s">
        <v>84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2">
      <c r="A84" s="9" t="s">
        <v>945</v>
      </c>
      <c r="B84" s="9" t="s">
        <v>1443</v>
      </c>
      <c r="C84" s="9" t="s">
        <v>946</v>
      </c>
      <c r="D84" s="9" t="s">
        <v>947</v>
      </c>
      <c r="E84" s="9" t="str">
        <f>"0,5766"</f>
        <v>0,5766</v>
      </c>
      <c r="F84" s="9" t="s">
        <v>14</v>
      </c>
      <c r="G84" s="9" t="s">
        <v>470</v>
      </c>
      <c r="H84" s="10" t="s">
        <v>242</v>
      </c>
      <c r="I84" s="10" t="s">
        <v>243</v>
      </c>
      <c r="J84" s="25" t="s">
        <v>769</v>
      </c>
      <c r="K84" s="25"/>
      <c r="L84" s="9" t="str">
        <f>"182,5"</f>
        <v>182,5</v>
      </c>
      <c r="M84" s="10" t="str">
        <f>"105,2295"</f>
        <v>105,2295</v>
      </c>
      <c r="N84" s="9" t="s">
        <v>473</v>
      </c>
    </row>
    <row r="85" spans="1:14" x14ac:dyDescent="0.2">
      <c r="A85" s="11" t="s">
        <v>948</v>
      </c>
      <c r="B85" s="11" t="s">
        <v>1443</v>
      </c>
      <c r="C85" s="11" t="s">
        <v>949</v>
      </c>
      <c r="D85" s="11" t="s">
        <v>950</v>
      </c>
      <c r="E85" s="11" t="str">
        <f>"0,5722"</f>
        <v>0,5722</v>
      </c>
      <c r="F85" s="11" t="s">
        <v>65</v>
      </c>
      <c r="G85" s="11" t="s">
        <v>66</v>
      </c>
      <c r="H85" s="13" t="s">
        <v>774</v>
      </c>
      <c r="I85" s="12" t="s">
        <v>255</v>
      </c>
      <c r="J85" s="12" t="s">
        <v>255</v>
      </c>
      <c r="K85" s="12"/>
      <c r="L85" s="11" t="str">
        <f>"177,5"</f>
        <v>177,5</v>
      </c>
      <c r="M85" s="13" t="str">
        <f>"101,5655"</f>
        <v>101,5655</v>
      </c>
      <c r="N85" s="11" t="s">
        <v>951</v>
      </c>
    </row>
    <row r="86" spans="1:14" x14ac:dyDescent="0.2">
      <c r="A86" s="14" t="s">
        <v>952</v>
      </c>
      <c r="B86" s="14" t="s">
        <v>1444</v>
      </c>
      <c r="C86" s="14" t="s">
        <v>953</v>
      </c>
      <c r="D86" s="14" t="s">
        <v>950</v>
      </c>
      <c r="E86" s="14" t="str">
        <f>"0,5722"</f>
        <v>0,5722</v>
      </c>
      <c r="F86" s="14" t="s">
        <v>65</v>
      </c>
      <c r="G86" s="14" t="s">
        <v>66</v>
      </c>
      <c r="H86" s="16" t="s">
        <v>774</v>
      </c>
      <c r="I86" s="15" t="s">
        <v>255</v>
      </c>
      <c r="J86" s="15" t="s">
        <v>255</v>
      </c>
      <c r="K86" s="15"/>
      <c r="L86" s="14" t="str">
        <f>"177,5"</f>
        <v>177,5</v>
      </c>
      <c r="M86" s="16" t="str">
        <f>"114,7690"</f>
        <v>114,7690</v>
      </c>
      <c r="N86" s="14" t="s">
        <v>951</v>
      </c>
    </row>
    <row r="88" spans="1:14" ht="15" x14ac:dyDescent="0.2">
      <c r="A88" s="32" t="s">
        <v>182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4" x14ac:dyDescent="0.2">
      <c r="A89" s="9" t="s">
        <v>954</v>
      </c>
      <c r="B89" s="9" t="s">
        <v>1444</v>
      </c>
      <c r="C89" s="9" t="s">
        <v>955</v>
      </c>
      <c r="D89" s="9" t="s">
        <v>956</v>
      </c>
      <c r="E89" s="9" t="str">
        <f>"0,5625"</f>
        <v>0,5625</v>
      </c>
      <c r="F89" s="9" t="s">
        <v>65</v>
      </c>
      <c r="G89" s="9" t="s">
        <v>66</v>
      </c>
      <c r="H89" s="10" t="s">
        <v>957</v>
      </c>
      <c r="I89" s="10" t="s">
        <v>413</v>
      </c>
      <c r="J89" s="10" t="s">
        <v>432</v>
      </c>
      <c r="K89" s="25"/>
      <c r="L89" s="9" t="str">
        <f>"217,5"</f>
        <v>217,5</v>
      </c>
      <c r="M89" s="10" t="str">
        <f>"122,3438"</f>
        <v>122,3438</v>
      </c>
      <c r="N89" s="9" t="s">
        <v>125</v>
      </c>
    </row>
    <row r="90" spans="1:14" x14ac:dyDescent="0.2">
      <c r="A90" s="11" t="s">
        <v>958</v>
      </c>
      <c r="B90" s="11" t="s">
        <v>1443</v>
      </c>
      <c r="C90" s="11" t="s">
        <v>959</v>
      </c>
      <c r="D90" s="11" t="s">
        <v>960</v>
      </c>
      <c r="E90" s="11" t="str">
        <f>"0,5678"</f>
        <v>0,5678</v>
      </c>
      <c r="F90" s="11" t="s">
        <v>14</v>
      </c>
      <c r="G90" s="11" t="s">
        <v>133</v>
      </c>
      <c r="H90" s="13" t="s">
        <v>242</v>
      </c>
      <c r="I90" s="13" t="s">
        <v>243</v>
      </c>
      <c r="J90" s="13" t="s">
        <v>769</v>
      </c>
      <c r="K90" s="12"/>
      <c r="L90" s="11" t="str">
        <f>"187,5"</f>
        <v>187,5</v>
      </c>
      <c r="M90" s="13" t="str">
        <f>"106,4625"</f>
        <v>106,4625</v>
      </c>
      <c r="N90" s="11"/>
    </row>
    <row r="91" spans="1:14" x14ac:dyDescent="0.2">
      <c r="A91" s="14" t="s">
        <v>961</v>
      </c>
      <c r="B91" s="14" t="s">
        <v>1442</v>
      </c>
      <c r="C91" s="14" t="s">
        <v>962</v>
      </c>
      <c r="D91" s="14" t="s">
        <v>963</v>
      </c>
      <c r="E91" s="14" t="str">
        <f>"0,5603"</f>
        <v>0,5603</v>
      </c>
      <c r="F91" s="14" t="s">
        <v>65</v>
      </c>
      <c r="G91" s="14" t="s">
        <v>66</v>
      </c>
      <c r="H91" s="16" t="s">
        <v>241</v>
      </c>
      <c r="I91" s="15" t="s">
        <v>774</v>
      </c>
      <c r="J91" s="15" t="s">
        <v>774</v>
      </c>
      <c r="K91" s="15"/>
      <c r="L91" s="14" t="str">
        <f>"170,0"</f>
        <v>170,0</v>
      </c>
      <c r="M91" s="16" t="str">
        <f>"97,1560"</f>
        <v>97,1560</v>
      </c>
      <c r="N91" s="14" t="s">
        <v>964</v>
      </c>
    </row>
    <row r="93" spans="1:14" ht="15" x14ac:dyDescent="0.2">
      <c r="A93" s="32" t="s">
        <v>965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4" x14ac:dyDescent="0.2">
      <c r="A94" s="6" t="s">
        <v>966</v>
      </c>
      <c r="B94" s="6" t="s">
        <v>1444</v>
      </c>
      <c r="C94" s="6" t="s">
        <v>967</v>
      </c>
      <c r="D94" s="6" t="s">
        <v>968</v>
      </c>
      <c r="E94" s="6" t="str">
        <f>"0,5572"</f>
        <v>0,5572</v>
      </c>
      <c r="F94" s="6" t="s">
        <v>65</v>
      </c>
      <c r="G94" s="6" t="s">
        <v>66</v>
      </c>
      <c r="H94" s="8" t="s">
        <v>388</v>
      </c>
      <c r="I94" s="8" t="s">
        <v>442</v>
      </c>
      <c r="J94" s="7"/>
      <c r="K94" s="7"/>
      <c r="L94" s="6" t="str">
        <f>"220,0"</f>
        <v>220,0</v>
      </c>
      <c r="M94" s="8" t="str">
        <f>"122,5840"</f>
        <v>122,5840</v>
      </c>
      <c r="N94" s="6"/>
    </row>
    <row r="95" spans="1:14" x14ac:dyDescent="0.2">
      <c r="G95" s="3"/>
      <c r="L95" s="3"/>
      <c r="N95" s="3"/>
    </row>
    <row r="96" spans="1:14" ht="15" x14ac:dyDescent="0.2">
      <c r="F96" s="17" t="s">
        <v>96</v>
      </c>
      <c r="G96" s="3"/>
      <c r="L96" s="3"/>
      <c r="N96" s="3"/>
    </row>
    <row r="97" spans="1:14" ht="15" x14ac:dyDescent="0.2">
      <c r="F97" s="17" t="s">
        <v>97</v>
      </c>
      <c r="G97" s="3"/>
      <c r="L97" s="3"/>
      <c r="N97" s="3"/>
    </row>
    <row r="98" spans="1:14" ht="15" x14ac:dyDescent="0.2">
      <c r="F98" s="17" t="s">
        <v>98</v>
      </c>
      <c r="G98" s="3"/>
      <c r="L98" s="3"/>
      <c r="N98" s="3"/>
    </row>
    <row r="99" spans="1:14" ht="15" x14ac:dyDescent="0.2">
      <c r="F99" s="17"/>
      <c r="G99" s="3"/>
      <c r="L99" s="3"/>
      <c r="N99" s="3"/>
    </row>
    <row r="100" spans="1:14" x14ac:dyDescent="0.2">
      <c r="G100" s="3"/>
      <c r="L100" s="3"/>
      <c r="N100" s="3"/>
    </row>
    <row r="101" spans="1:14" ht="18" x14ac:dyDescent="0.25">
      <c r="A101" s="18" t="s">
        <v>99</v>
      </c>
      <c r="B101" s="18"/>
      <c r="C101" s="18"/>
      <c r="G101" s="3"/>
      <c r="L101" s="3"/>
      <c r="N101" s="3"/>
    </row>
    <row r="102" spans="1:14" ht="15" x14ac:dyDescent="0.2">
      <c r="A102" s="19" t="s">
        <v>547</v>
      </c>
      <c r="B102" s="19"/>
      <c r="C102" s="19"/>
      <c r="G102" s="3"/>
      <c r="L102" s="3"/>
      <c r="N102" s="3"/>
    </row>
    <row r="103" spans="1:14" ht="14.25" x14ac:dyDescent="0.2">
      <c r="A103" s="21"/>
      <c r="B103" s="21"/>
      <c r="C103" s="22" t="s">
        <v>107</v>
      </c>
      <c r="G103" s="3"/>
      <c r="L103" s="3"/>
      <c r="N103" s="3"/>
    </row>
    <row r="104" spans="1:14" ht="15" x14ac:dyDescent="0.2">
      <c r="A104" s="23" t="s">
        <v>101</v>
      </c>
      <c r="B104" s="23"/>
      <c r="C104" s="23" t="s">
        <v>102</v>
      </c>
      <c r="D104" s="23" t="s">
        <v>103</v>
      </c>
      <c r="E104" s="23" t="s">
        <v>104</v>
      </c>
      <c r="F104" s="23" t="s">
        <v>291</v>
      </c>
      <c r="G104" s="3"/>
      <c r="L104" s="3"/>
      <c r="N104" s="3"/>
    </row>
    <row r="105" spans="1:14" x14ac:dyDescent="0.2">
      <c r="A105" s="20" t="s">
        <v>969</v>
      </c>
      <c r="B105" s="20"/>
      <c r="C105" s="4" t="s">
        <v>107</v>
      </c>
      <c r="D105" s="4" t="s">
        <v>236</v>
      </c>
      <c r="E105" s="4" t="s">
        <v>659</v>
      </c>
      <c r="F105" s="24" t="s">
        <v>970</v>
      </c>
      <c r="G105" s="3"/>
      <c r="L105" s="3"/>
      <c r="N105" s="3"/>
    </row>
    <row r="106" spans="1:14" x14ac:dyDescent="0.2">
      <c r="G106" s="3"/>
      <c r="L106" s="3"/>
      <c r="N106" s="3"/>
    </row>
    <row r="107" spans="1:14" ht="15" x14ac:dyDescent="0.2">
      <c r="A107" s="19" t="s">
        <v>100</v>
      </c>
      <c r="B107" s="19"/>
      <c r="C107" s="19"/>
      <c r="G107" s="3"/>
      <c r="L107" s="3"/>
      <c r="N107" s="3"/>
    </row>
    <row r="108" spans="1:14" ht="14.25" x14ac:dyDescent="0.2">
      <c r="A108" s="21"/>
      <c r="B108" s="21"/>
      <c r="C108" s="22" t="s">
        <v>107</v>
      </c>
      <c r="G108" s="3"/>
      <c r="L108" s="3"/>
      <c r="N108" s="3"/>
    </row>
    <row r="109" spans="1:14" ht="15" x14ac:dyDescent="0.2">
      <c r="A109" s="23" t="s">
        <v>101</v>
      </c>
      <c r="B109" s="23"/>
      <c r="C109" s="23" t="s">
        <v>102</v>
      </c>
      <c r="D109" s="23" t="s">
        <v>103</v>
      </c>
      <c r="E109" s="23" t="s">
        <v>104</v>
      </c>
      <c r="F109" s="23" t="s">
        <v>291</v>
      </c>
      <c r="G109" s="3"/>
      <c r="L109" s="3"/>
      <c r="N109" s="3"/>
    </row>
    <row r="110" spans="1:14" x14ac:dyDescent="0.2">
      <c r="A110" s="20" t="s">
        <v>971</v>
      </c>
      <c r="B110" s="20"/>
      <c r="C110" s="4" t="s">
        <v>107</v>
      </c>
      <c r="D110" s="4" t="s">
        <v>83</v>
      </c>
      <c r="E110" s="4" t="s">
        <v>442</v>
      </c>
      <c r="F110" s="24" t="s">
        <v>972</v>
      </c>
      <c r="G110" s="3"/>
      <c r="L110" s="3"/>
      <c r="N110" s="3"/>
    </row>
    <row r="111" spans="1:14" x14ac:dyDescent="0.2">
      <c r="A111" s="20" t="s">
        <v>973</v>
      </c>
      <c r="B111" s="20"/>
      <c r="C111" s="4" t="s">
        <v>107</v>
      </c>
      <c r="D111" s="4" t="s">
        <v>106</v>
      </c>
      <c r="E111" s="4" t="s">
        <v>269</v>
      </c>
      <c r="F111" s="24" t="s">
        <v>974</v>
      </c>
      <c r="G111" s="3"/>
      <c r="L111" s="3"/>
      <c r="N111" s="3"/>
    </row>
    <row r="112" spans="1:14" x14ac:dyDescent="0.2">
      <c r="A112" s="20" t="s">
        <v>975</v>
      </c>
      <c r="B112" s="20"/>
      <c r="C112" s="4" t="s">
        <v>107</v>
      </c>
      <c r="D112" s="4" t="s">
        <v>976</v>
      </c>
      <c r="E112" s="4" t="s">
        <v>442</v>
      </c>
      <c r="F112" s="24" t="s">
        <v>977</v>
      </c>
      <c r="G112" s="3"/>
      <c r="L112" s="3"/>
      <c r="N112" s="3"/>
    </row>
    <row r="113" spans="1:14" x14ac:dyDescent="0.2">
      <c r="G113" s="3"/>
      <c r="L113" s="3"/>
      <c r="N113" s="3"/>
    </row>
    <row r="114" spans="1:14" ht="14.25" x14ac:dyDescent="0.2">
      <c r="A114" s="21"/>
      <c r="B114" s="21"/>
      <c r="C114" s="22" t="s">
        <v>562</v>
      </c>
      <c r="G114" s="3"/>
      <c r="L114" s="3"/>
      <c r="N114" s="3"/>
    </row>
    <row r="115" spans="1:14" ht="15" x14ac:dyDescent="0.2">
      <c r="A115" s="23" t="s">
        <v>101</v>
      </c>
      <c r="B115" s="23"/>
      <c r="C115" s="23" t="s">
        <v>102</v>
      </c>
      <c r="D115" s="23" t="s">
        <v>103</v>
      </c>
      <c r="E115" s="23" t="s">
        <v>104</v>
      </c>
      <c r="F115" s="23" t="s">
        <v>291</v>
      </c>
      <c r="G115" s="3"/>
      <c r="L115" s="3"/>
      <c r="N115" s="3"/>
    </row>
    <row r="116" spans="1:14" x14ac:dyDescent="0.2">
      <c r="A116" s="20" t="s">
        <v>978</v>
      </c>
      <c r="B116" s="20"/>
      <c r="C116" s="4" t="s">
        <v>979</v>
      </c>
      <c r="D116" s="4" t="s">
        <v>41</v>
      </c>
      <c r="E116" s="4" t="s">
        <v>68</v>
      </c>
      <c r="F116" s="24" t="s">
        <v>980</v>
      </c>
      <c r="G116" s="3"/>
      <c r="L116" s="3"/>
      <c r="N116" s="3"/>
    </row>
    <row r="117" spans="1:14" x14ac:dyDescent="0.2">
      <c r="G117" s="3"/>
      <c r="L117" s="3"/>
      <c r="N117" s="3"/>
    </row>
    <row r="118" spans="1:14" x14ac:dyDescent="0.2">
      <c r="G118" s="3"/>
      <c r="L118" s="3"/>
      <c r="N118" s="3"/>
    </row>
    <row r="119" spans="1:14" x14ac:dyDescent="0.2">
      <c r="G119" s="3"/>
      <c r="L119" s="3"/>
      <c r="N119" s="3"/>
    </row>
    <row r="120" spans="1:14" x14ac:dyDescent="0.2">
      <c r="G120" s="3"/>
      <c r="L120" s="3"/>
      <c r="N120" s="3"/>
    </row>
    <row r="121" spans="1:14" x14ac:dyDescent="0.2">
      <c r="G121" s="3"/>
      <c r="L121" s="3"/>
      <c r="N121" s="3"/>
    </row>
    <row r="122" spans="1:14" x14ac:dyDescent="0.2">
      <c r="G122" s="3"/>
      <c r="L122" s="3"/>
      <c r="N122" s="3"/>
    </row>
    <row r="123" spans="1:14" x14ac:dyDescent="0.2">
      <c r="G123" s="3"/>
      <c r="L123" s="3"/>
      <c r="N123" s="3"/>
    </row>
    <row r="124" spans="1:14" x14ac:dyDescent="0.2">
      <c r="G124" s="3"/>
      <c r="L124" s="3"/>
      <c r="N124" s="3"/>
    </row>
    <row r="125" spans="1:14" x14ac:dyDescent="0.2">
      <c r="G125" s="3"/>
      <c r="L125" s="3"/>
      <c r="N125" s="3"/>
    </row>
    <row r="126" spans="1:14" x14ac:dyDescent="0.2">
      <c r="G126" s="3"/>
      <c r="L126" s="3"/>
      <c r="N126" s="3"/>
    </row>
    <row r="127" spans="1:14" x14ac:dyDescent="0.2">
      <c r="A127" s="3"/>
      <c r="B127" s="3"/>
      <c r="C127" s="3"/>
      <c r="D127" s="3"/>
      <c r="E127" s="3"/>
      <c r="F127" s="3"/>
      <c r="G127" s="3"/>
      <c r="L127" s="3"/>
      <c r="N127" s="3"/>
    </row>
    <row r="128" spans="1:14" x14ac:dyDescent="0.2">
      <c r="A128" s="3"/>
      <c r="B128" s="3"/>
      <c r="C128" s="3"/>
      <c r="D128" s="3"/>
      <c r="E128" s="3"/>
      <c r="F128" s="3"/>
      <c r="G128" s="3"/>
      <c r="L128" s="3"/>
      <c r="N128" s="3"/>
    </row>
    <row r="129" spans="1:14" x14ac:dyDescent="0.2">
      <c r="A129" s="3"/>
      <c r="B129" s="3"/>
      <c r="C129" s="3"/>
      <c r="D129" s="3"/>
      <c r="E129" s="3"/>
      <c r="F129" s="3"/>
      <c r="G129" s="3"/>
      <c r="L129" s="3"/>
      <c r="N129" s="3"/>
    </row>
    <row r="130" spans="1:14" x14ac:dyDescent="0.2">
      <c r="A130" s="3"/>
      <c r="B130" s="3"/>
      <c r="C130" s="3"/>
      <c r="D130" s="3"/>
      <c r="E130" s="3"/>
      <c r="F130" s="3"/>
      <c r="G130" s="3"/>
      <c r="L130" s="3"/>
      <c r="N130" s="3"/>
    </row>
    <row r="131" spans="1:14" x14ac:dyDescent="0.2">
      <c r="A131" s="3"/>
      <c r="B131" s="3"/>
      <c r="C131" s="3"/>
      <c r="D131" s="3"/>
      <c r="E131" s="3"/>
      <c r="F131" s="3"/>
      <c r="G131" s="3"/>
      <c r="L131" s="3"/>
      <c r="N131" s="3"/>
    </row>
    <row r="132" spans="1:14" x14ac:dyDescent="0.2">
      <c r="A132" s="3"/>
      <c r="B132" s="3"/>
      <c r="C132" s="3"/>
      <c r="D132" s="3"/>
      <c r="E132" s="3"/>
      <c r="F132" s="3"/>
      <c r="G132" s="3"/>
      <c r="L132" s="3"/>
      <c r="N132" s="3"/>
    </row>
    <row r="133" spans="1:14" x14ac:dyDescent="0.2">
      <c r="A133" s="3"/>
      <c r="B133" s="3"/>
      <c r="C133" s="3"/>
      <c r="D133" s="3"/>
      <c r="E133" s="3"/>
      <c r="F133" s="3"/>
      <c r="G133" s="3"/>
      <c r="L133" s="3"/>
      <c r="N133" s="3"/>
    </row>
    <row r="134" spans="1:14" x14ac:dyDescent="0.2">
      <c r="A134" s="3"/>
      <c r="B134" s="3"/>
      <c r="C134" s="3"/>
      <c r="D134" s="3"/>
      <c r="E134" s="3"/>
      <c r="F134" s="3"/>
      <c r="G134" s="3"/>
      <c r="L134" s="3"/>
      <c r="N134" s="3"/>
    </row>
    <row r="135" spans="1:14" x14ac:dyDescent="0.2">
      <c r="A135" s="3"/>
      <c r="B135" s="3"/>
      <c r="C135" s="3"/>
      <c r="D135" s="3"/>
      <c r="E135" s="3"/>
      <c r="F135" s="3"/>
      <c r="G135" s="3"/>
      <c r="L135" s="3"/>
      <c r="N135" s="3"/>
    </row>
    <row r="136" spans="1:14" x14ac:dyDescent="0.2">
      <c r="A136" s="3"/>
      <c r="B136" s="3"/>
      <c r="C136" s="3"/>
      <c r="D136" s="3"/>
      <c r="E136" s="3"/>
      <c r="F136" s="3"/>
      <c r="G136" s="3"/>
      <c r="L136" s="3"/>
      <c r="N136" s="3"/>
    </row>
    <row r="137" spans="1:14" x14ac:dyDescent="0.2">
      <c r="A137" s="3"/>
      <c r="B137" s="3"/>
      <c r="C137" s="3"/>
      <c r="D137" s="3"/>
      <c r="E137" s="3"/>
      <c r="F137" s="3"/>
      <c r="G137" s="3"/>
      <c r="L137" s="3"/>
      <c r="N137" s="3"/>
    </row>
    <row r="138" spans="1:14" x14ac:dyDescent="0.2">
      <c r="A138" s="3"/>
      <c r="B138" s="3"/>
      <c r="C138" s="3"/>
      <c r="D138" s="3"/>
      <c r="E138" s="3"/>
      <c r="F138" s="3"/>
      <c r="G138" s="3"/>
      <c r="L138" s="3"/>
      <c r="N138" s="3"/>
    </row>
    <row r="139" spans="1:14" x14ac:dyDescent="0.2">
      <c r="A139" s="3"/>
      <c r="B139" s="3"/>
      <c r="C139" s="3"/>
      <c r="D139" s="3"/>
      <c r="E139" s="3"/>
      <c r="F139" s="3"/>
      <c r="G139" s="3"/>
      <c r="L139" s="3"/>
      <c r="N139" s="3"/>
    </row>
    <row r="140" spans="1:14" x14ac:dyDescent="0.2">
      <c r="A140" s="3"/>
      <c r="B140" s="3"/>
      <c r="C140" s="3"/>
      <c r="D140" s="3"/>
      <c r="E140" s="3"/>
      <c r="F140" s="3"/>
      <c r="G140" s="3"/>
      <c r="L140" s="3"/>
      <c r="N140" s="3"/>
    </row>
    <row r="141" spans="1:14" x14ac:dyDescent="0.2">
      <c r="A141" s="3"/>
      <c r="B141" s="3"/>
      <c r="C141" s="3"/>
      <c r="D141" s="3"/>
      <c r="E141" s="3"/>
      <c r="F141" s="3"/>
      <c r="G141" s="3"/>
      <c r="L141" s="3"/>
      <c r="N141" s="3"/>
    </row>
    <row r="142" spans="1:14" x14ac:dyDescent="0.2">
      <c r="A142" s="3"/>
      <c r="B142" s="3"/>
      <c r="C142" s="3"/>
      <c r="D142" s="3"/>
      <c r="E142" s="3"/>
      <c r="F142" s="3"/>
      <c r="G142" s="3"/>
      <c r="L142" s="3"/>
      <c r="N142" s="3"/>
    </row>
    <row r="143" spans="1:14" x14ac:dyDescent="0.2">
      <c r="A143" s="3"/>
      <c r="B143" s="3"/>
      <c r="C143" s="3"/>
      <c r="D143" s="3"/>
      <c r="E143" s="3"/>
      <c r="F143" s="3"/>
      <c r="G143" s="3"/>
      <c r="L143" s="3"/>
      <c r="N143" s="3"/>
    </row>
    <row r="144" spans="1:14" x14ac:dyDescent="0.2">
      <c r="A144" s="3"/>
      <c r="B144" s="3"/>
      <c r="C144" s="3"/>
      <c r="D144" s="3"/>
      <c r="E144" s="3"/>
      <c r="F144" s="3"/>
      <c r="G144" s="3"/>
      <c r="L144" s="3"/>
      <c r="N144" s="3"/>
    </row>
    <row r="145" spans="1:14" x14ac:dyDescent="0.2">
      <c r="A145" s="3"/>
      <c r="B145" s="3"/>
      <c r="C145" s="3"/>
      <c r="D145" s="3"/>
      <c r="E145" s="3"/>
      <c r="F145" s="3"/>
      <c r="G145" s="3"/>
      <c r="L145" s="3"/>
      <c r="N145" s="3"/>
    </row>
    <row r="146" spans="1:14" x14ac:dyDescent="0.2">
      <c r="A146" s="3"/>
      <c r="B146" s="3"/>
      <c r="C146" s="3"/>
      <c r="D146" s="3"/>
      <c r="E146" s="3"/>
      <c r="F146" s="3"/>
      <c r="G146" s="3"/>
      <c r="L146" s="3"/>
      <c r="N146" s="3"/>
    </row>
    <row r="147" spans="1:14" x14ac:dyDescent="0.2">
      <c r="A147" s="3"/>
      <c r="B147" s="3"/>
      <c r="C147" s="3"/>
      <c r="D147" s="3"/>
      <c r="E147" s="3"/>
      <c r="F147" s="3"/>
      <c r="G147" s="3"/>
      <c r="L147" s="3"/>
      <c r="N147" s="3"/>
    </row>
    <row r="148" spans="1:14" x14ac:dyDescent="0.2">
      <c r="A148" s="3"/>
      <c r="B148" s="3"/>
      <c r="C148" s="3"/>
      <c r="D148" s="3"/>
      <c r="E148" s="3"/>
      <c r="F148" s="3"/>
      <c r="G148" s="3"/>
      <c r="L148" s="3"/>
      <c r="N148" s="3"/>
    </row>
    <row r="149" spans="1:14" x14ac:dyDescent="0.2">
      <c r="A149" s="3"/>
      <c r="B149" s="3"/>
      <c r="C149" s="3"/>
      <c r="D149" s="3"/>
      <c r="E149" s="3"/>
      <c r="F149" s="3"/>
      <c r="G149" s="3"/>
      <c r="L149" s="3"/>
      <c r="N149" s="3"/>
    </row>
    <row r="150" spans="1:14" x14ac:dyDescent="0.2">
      <c r="A150" s="3"/>
      <c r="B150" s="3"/>
      <c r="C150" s="3"/>
      <c r="D150" s="3"/>
      <c r="E150" s="3"/>
      <c r="F150" s="3"/>
      <c r="G150" s="3"/>
      <c r="L150" s="3"/>
      <c r="N150" s="3"/>
    </row>
    <row r="151" spans="1:14" x14ac:dyDescent="0.2">
      <c r="A151" s="3"/>
      <c r="B151" s="3"/>
      <c r="C151" s="3"/>
      <c r="D151" s="3"/>
      <c r="E151" s="3"/>
      <c r="F151" s="3"/>
      <c r="G151" s="3"/>
      <c r="L151" s="3"/>
      <c r="N151" s="3"/>
    </row>
    <row r="152" spans="1:14" x14ac:dyDescent="0.2">
      <c r="A152" s="3"/>
      <c r="B152" s="3"/>
      <c r="C152" s="3"/>
      <c r="D152" s="3"/>
      <c r="E152" s="3"/>
      <c r="F152" s="3"/>
      <c r="G152" s="3"/>
      <c r="L152" s="3"/>
      <c r="N152" s="3"/>
    </row>
    <row r="153" spans="1:14" x14ac:dyDescent="0.2">
      <c r="A153" s="3"/>
      <c r="B153" s="3"/>
      <c r="C153" s="3"/>
      <c r="D153" s="3"/>
      <c r="E153" s="3"/>
      <c r="F153" s="3"/>
      <c r="G153" s="3"/>
      <c r="L153" s="3"/>
      <c r="N153" s="3"/>
    </row>
    <row r="154" spans="1:14" x14ac:dyDescent="0.2">
      <c r="A154" s="3"/>
      <c r="B154" s="3"/>
      <c r="C154" s="3"/>
      <c r="D154" s="3"/>
      <c r="E154" s="3"/>
      <c r="F154" s="3"/>
      <c r="G154" s="3"/>
      <c r="L154" s="3"/>
      <c r="N154" s="3"/>
    </row>
    <row r="155" spans="1:14" x14ac:dyDescent="0.2">
      <c r="A155" s="3"/>
      <c r="B155" s="3"/>
      <c r="C155" s="3"/>
      <c r="D155" s="3"/>
      <c r="E155" s="3"/>
      <c r="F155" s="3"/>
      <c r="G155" s="3"/>
      <c r="L155" s="3"/>
      <c r="N155" s="3"/>
    </row>
    <row r="156" spans="1:14" x14ac:dyDescent="0.2">
      <c r="A156" s="3"/>
      <c r="B156" s="3"/>
      <c r="C156" s="3"/>
      <c r="D156" s="3"/>
      <c r="E156" s="3"/>
      <c r="F156" s="3"/>
      <c r="G156" s="3"/>
      <c r="L156" s="3"/>
      <c r="N156" s="3"/>
    </row>
    <row r="157" spans="1:14" x14ac:dyDescent="0.2">
      <c r="A157" s="3"/>
      <c r="B157" s="3"/>
      <c r="C157" s="3"/>
      <c r="D157" s="3"/>
      <c r="E157" s="3"/>
      <c r="F157" s="3"/>
      <c r="G157" s="3"/>
      <c r="L157" s="3"/>
      <c r="N157" s="3"/>
    </row>
    <row r="158" spans="1:14" x14ac:dyDescent="0.2">
      <c r="A158" s="3"/>
      <c r="B158" s="3"/>
      <c r="C158" s="3"/>
      <c r="D158" s="3"/>
      <c r="E158" s="3"/>
      <c r="F158" s="3"/>
      <c r="G158" s="3"/>
      <c r="L158" s="3"/>
      <c r="N158" s="3"/>
    </row>
    <row r="159" spans="1:14" x14ac:dyDescent="0.2">
      <c r="A159" s="3"/>
      <c r="B159" s="3"/>
      <c r="C159" s="3"/>
      <c r="D159" s="3"/>
      <c r="E159" s="3"/>
      <c r="F159" s="3"/>
      <c r="G159" s="3"/>
      <c r="L159" s="3"/>
      <c r="N159" s="3"/>
    </row>
    <row r="160" spans="1:14" x14ac:dyDescent="0.2">
      <c r="A160" s="3"/>
      <c r="B160" s="3"/>
      <c r="C160" s="3"/>
      <c r="D160" s="3"/>
      <c r="E160" s="3"/>
      <c r="F160" s="3"/>
      <c r="G160" s="3"/>
      <c r="L160" s="3"/>
      <c r="N160" s="3"/>
    </row>
    <row r="161" spans="1:14" x14ac:dyDescent="0.2">
      <c r="A161" s="3"/>
      <c r="B161" s="3"/>
      <c r="C161" s="3"/>
      <c r="D161" s="3"/>
      <c r="E161" s="3"/>
      <c r="F161" s="3"/>
      <c r="G161" s="3"/>
      <c r="L161" s="3"/>
      <c r="N161" s="3"/>
    </row>
    <row r="162" spans="1:14" x14ac:dyDescent="0.2">
      <c r="A162" s="3"/>
      <c r="B162" s="3"/>
      <c r="C162" s="3"/>
      <c r="D162" s="3"/>
      <c r="E162" s="3"/>
      <c r="F162" s="3"/>
      <c r="G162" s="3"/>
      <c r="L162" s="3"/>
      <c r="N162" s="3"/>
    </row>
    <row r="163" spans="1:14" x14ac:dyDescent="0.2">
      <c r="A163" s="3"/>
      <c r="B163" s="3"/>
      <c r="C163" s="3"/>
      <c r="D163" s="3"/>
      <c r="E163" s="3"/>
      <c r="F163" s="3"/>
      <c r="G163" s="3"/>
      <c r="L163" s="3"/>
      <c r="N163" s="3"/>
    </row>
    <row r="164" spans="1:14" x14ac:dyDescent="0.2">
      <c r="A164" s="3"/>
      <c r="B164" s="3"/>
      <c r="C164" s="3"/>
      <c r="D164" s="3"/>
      <c r="E164" s="3"/>
      <c r="F164" s="3"/>
      <c r="G164" s="3"/>
      <c r="L164" s="3"/>
      <c r="N164" s="3"/>
    </row>
    <row r="165" spans="1:14" x14ac:dyDescent="0.2">
      <c r="A165" s="3"/>
      <c r="B165" s="3"/>
      <c r="C165" s="3"/>
      <c r="D165" s="3"/>
      <c r="E165" s="3"/>
      <c r="F165" s="3"/>
      <c r="G165" s="3"/>
      <c r="L165" s="3"/>
      <c r="N165" s="3"/>
    </row>
    <row r="166" spans="1:14" x14ac:dyDescent="0.2">
      <c r="A166" s="3"/>
      <c r="B166" s="3"/>
      <c r="C166" s="3"/>
      <c r="D166" s="3"/>
      <c r="E166" s="3"/>
      <c r="F166" s="3"/>
      <c r="G166" s="3"/>
      <c r="L166" s="3"/>
      <c r="N166" s="3"/>
    </row>
    <row r="167" spans="1:14" x14ac:dyDescent="0.2">
      <c r="A167" s="3"/>
      <c r="B167" s="3"/>
      <c r="C167" s="3"/>
      <c r="D167" s="3"/>
      <c r="E167" s="3"/>
      <c r="F167" s="3"/>
      <c r="G167" s="3"/>
      <c r="L167" s="3"/>
      <c r="N167" s="3"/>
    </row>
    <row r="168" spans="1:14" x14ac:dyDescent="0.2">
      <c r="A168" s="3"/>
      <c r="B168" s="3"/>
      <c r="C168" s="3"/>
      <c r="D168" s="3"/>
      <c r="E168" s="3"/>
      <c r="F168" s="3"/>
      <c r="G168" s="3"/>
      <c r="L168" s="3"/>
      <c r="N168" s="3"/>
    </row>
    <row r="169" spans="1:14" x14ac:dyDescent="0.2">
      <c r="A169" s="3"/>
      <c r="B169" s="3"/>
      <c r="C169" s="3"/>
      <c r="D169" s="3"/>
      <c r="E169" s="3"/>
      <c r="F169" s="3"/>
      <c r="G169" s="3"/>
      <c r="L169" s="3"/>
      <c r="N169" s="3"/>
    </row>
    <row r="170" spans="1:14" x14ac:dyDescent="0.2">
      <c r="A170" s="3"/>
      <c r="B170" s="3"/>
      <c r="C170" s="3"/>
      <c r="D170" s="3"/>
      <c r="E170" s="3"/>
      <c r="F170" s="3"/>
      <c r="G170" s="3"/>
      <c r="L170" s="3"/>
      <c r="N170" s="3"/>
    </row>
    <row r="171" spans="1:14" x14ac:dyDescent="0.2">
      <c r="A171" s="3"/>
      <c r="B171" s="3"/>
      <c r="C171" s="3"/>
      <c r="D171" s="3"/>
      <c r="E171" s="3"/>
      <c r="F171" s="3"/>
      <c r="G171" s="3"/>
      <c r="L171" s="3"/>
      <c r="N171" s="3"/>
    </row>
    <row r="172" spans="1:14" x14ac:dyDescent="0.2">
      <c r="A172" s="3"/>
      <c r="B172" s="3"/>
      <c r="C172" s="3"/>
      <c r="D172" s="3"/>
      <c r="E172" s="3"/>
      <c r="F172" s="3"/>
      <c r="G172" s="3"/>
      <c r="L172" s="3"/>
      <c r="N172" s="3"/>
    </row>
    <row r="173" spans="1:14" x14ac:dyDescent="0.2">
      <c r="A173" s="3"/>
      <c r="B173" s="3"/>
      <c r="C173" s="3"/>
      <c r="D173" s="3"/>
      <c r="E173" s="3"/>
      <c r="F173" s="3"/>
      <c r="G173" s="3"/>
      <c r="L173" s="3"/>
      <c r="N173" s="3"/>
    </row>
    <row r="174" spans="1:14" x14ac:dyDescent="0.2">
      <c r="A174" s="3"/>
      <c r="B174" s="3"/>
      <c r="C174" s="3"/>
      <c r="D174" s="3"/>
      <c r="E174" s="3"/>
      <c r="F174" s="3"/>
      <c r="G174" s="3"/>
      <c r="L174" s="3"/>
      <c r="N174" s="3"/>
    </row>
    <row r="175" spans="1:14" x14ac:dyDescent="0.2">
      <c r="A175" s="3"/>
      <c r="B175" s="3"/>
      <c r="C175" s="3"/>
      <c r="D175" s="3"/>
      <c r="E175" s="3"/>
      <c r="F175" s="3"/>
      <c r="G175" s="3"/>
      <c r="L175" s="3"/>
      <c r="N175" s="3"/>
    </row>
    <row r="176" spans="1:14" x14ac:dyDescent="0.2">
      <c r="A176" s="3"/>
      <c r="B176" s="3"/>
      <c r="C176" s="3"/>
      <c r="D176" s="3"/>
      <c r="E176" s="3"/>
      <c r="F176" s="3"/>
      <c r="G176" s="3"/>
      <c r="L176" s="3"/>
      <c r="N176" s="3"/>
    </row>
    <row r="177" spans="1:14" x14ac:dyDescent="0.2">
      <c r="A177" s="3"/>
      <c r="B177" s="3"/>
      <c r="C177" s="3"/>
      <c r="D177" s="3"/>
      <c r="E177" s="3"/>
      <c r="F177" s="3"/>
      <c r="G177" s="3"/>
      <c r="L177" s="3"/>
      <c r="N177" s="3"/>
    </row>
    <row r="178" spans="1:14" x14ac:dyDescent="0.2">
      <c r="A178" s="3"/>
      <c r="B178" s="3"/>
      <c r="C178" s="3"/>
      <c r="D178" s="3"/>
      <c r="E178" s="3"/>
      <c r="F178" s="3"/>
      <c r="G178" s="3"/>
      <c r="L178" s="3"/>
      <c r="N178" s="3"/>
    </row>
    <row r="179" spans="1:14" x14ac:dyDescent="0.2">
      <c r="A179" s="3"/>
      <c r="B179" s="3"/>
      <c r="C179" s="3"/>
      <c r="D179" s="3"/>
      <c r="E179" s="3"/>
      <c r="F179" s="3"/>
      <c r="G179" s="3"/>
      <c r="L179" s="3"/>
      <c r="N179" s="3"/>
    </row>
    <row r="180" spans="1:14" x14ac:dyDescent="0.2">
      <c r="A180" s="3"/>
      <c r="B180" s="3"/>
      <c r="C180" s="3"/>
      <c r="D180" s="3"/>
      <c r="E180" s="3"/>
      <c r="F180" s="3"/>
      <c r="G180" s="3"/>
      <c r="L180" s="3"/>
      <c r="N180" s="3"/>
    </row>
    <row r="181" spans="1:14" x14ac:dyDescent="0.2">
      <c r="A181" s="3"/>
      <c r="B181" s="3"/>
      <c r="C181" s="3"/>
      <c r="D181" s="3"/>
      <c r="E181" s="3"/>
      <c r="F181" s="3"/>
      <c r="G181" s="3"/>
      <c r="L181" s="3"/>
      <c r="N181" s="3"/>
    </row>
    <row r="182" spans="1:14" x14ac:dyDescent="0.2">
      <c r="A182" s="3"/>
      <c r="B182" s="3"/>
      <c r="C182" s="3"/>
      <c r="D182" s="3"/>
      <c r="E182" s="3"/>
      <c r="F182" s="3"/>
      <c r="G182" s="3"/>
      <c r="L182" s="3"/>
      <c r="N182" s="3"/>
    </row>
    <row r="183" spans="1:14" x14ac:dyDescent="0.2">
      <c r="A183" s="3"/>
      <c r="B183" s="3"/>
      <c r="C183" s="3"/>
      <c r="D183" s="3"/>
      <c r="E183" s="3"/>
      <c r="F183" s="3"/>
      <c r="G183" s="3"/>
      <c r="L183" s="3"/>
      <c r="N183" s="3"/>
    </row>
    <row r="184" spans="1:14" x14ac:dyDescent="0.2">
      <c r="A184" s="3"/>
      <c r="B184" s="3"/>
      <c r="C184" s="3"/>
      <c r="D184" s="3"/>
      <c r="E184" s="3"/>
      <c r="F184" s="3"/>
      <c r="G184" s="3"/>
      <c r="L184" s="3"/>
      <c r="N184" s="3"/>
    </row>
    <row r="185" spans="1:14" x14ac:dyDescent="0.2">
      <c r="A185" s="3"/>
      <c r="B185" s="3"/>
      <c r="C185" s="3"/>
      <c r="D185" s="3"/>
      <c r="E185" s="3"/>
      <c r="F185" s="3"/>
      <c r="G185" s="3"/>
      <c r="L185" s="3"/>
      <c r="N185" s="3"/>
    </row>
    <row r="186" spans="1:14" x14ac:dyDescent="0.2">
      <c r="A186" s="3"/>
      <c r="B186" s="3"/>
      <c r="C186" s="3"/>
      <c r="D186" s="3"/>
      <c r="E186" s="3"/>
      <c r="F186" s="3"/>
      <c r="G186" s="3"/>
      <c r="L186" s="3"/>
      <c r="N186" s="3"/>
    </row>
    <row r="187" spans="1:14" x14ac:dyDescent="0.2">
      <c r="A187" s="3"/>
      <c r="B187" s="3"/>
      <c r="C187" s="3"/>
      <c r="D187" s="3"/>
      <c r="E187" s="3"/>
      <c r="F187" s="3"/>
      <c r="G187" s="3"/>
      <c r="L187" s="3"/>
      <c r="N187" s="3"/>
    </row>
    <row r="188" spans="1:14" x14ac:dyDescent="0.2">
      <c r="A188" s="3"/>
      <c r="B188" s="3"/>
      <c r="C188" s="3"/>
      <c r="D188" s="3"/>
      <c r="E188" s="3"/>
      <c r="F188" s="3"/>
      <c r="G188" s="3"/>
      <c r="L188" s="3"/>
      <c r="N188" s="3"/>
    </row>
    <row r="189" spans="1:14" x14ac:dyDescent="0.2">
      <c r="A189" s="3"/>
      <c r="B189" s="3"/>
      <c r="C189" s="3"/>
      <c r="D189" s="3"/>
      <c r="E189" s="3"/>
      <c r="F189" s="3"/>
      <c r="G189" s="3"/>
      <c r="L189" s="3"/>
      <c r="N189" s="3"/>
    </row>
    <row r="190" spans="1:14" x14ac:dyDescent="0.2">
      <c r="A190" s="3"/>
      <c r="B190" s="3"/>
      <c r="C190" s="3"/>
      <c r="D190" s="3"/>
      <c r="E190" s="3"/>
      <c r="F190" s="3"/>
      <c r="G190" s="3"/>
      <c r="L190" s="3"/>
      <c r="N190" s="3"/>
    </row>
    <row r="191" spans="1:14" x14ac:dyDescent="0.2">
      <c r="A191" s="3"/>
      <c r="B191" s="3"/>
      <c r="C191" s="3"/>
      <c r="D191" s="3"/>
      <c r="E191" s="3"/>
      <c r="F191" s="3"/>
      <c r="G191" s="3"/>
      <c r="L191" s="3"/>
      <c r="N191" s="3"/>
    </row>
    <row r="192" spans="1:14" x14ac:dyDescent="0.2">
      <c r="A192" s="3"/>
      <c r="B192" s="3"/>
      <c r="C192" s="3"/>
      <c r="D192" s="3"/>
      <c r="E192" s="3"/>
      <c r="F192" s="3"/>
      <c r="G192" s="3"/>
      <c r="L192" s="3"/>
      <c r="N192" s="3"/>
    </row>
    <row r="193" spans="1:14" x14ac:dyDescent="0.2">
      <c r="A193" s="3"/>
      <c r="B193" s="3"/>
      <c r="C193" s="3"/>
      <c r="D193" s="3"/>
      <c r="E193" s="3"/>
      <c r="F193" s="3"/>
      <c r="G193" s="3"/>
      <c r="L193" s="3"/>
      <c r="N193" s="3"/>
    </row>
    <row r="194" spans="1:14" x14ac:dyDescent="0.2">
      <c r="A194" s="3"/>
      <c r="B194" s="3"/>
      <c r="C194" s="3"/>
      <c r="D194" s="3"/>
      <c r="E194" s="3"/>
      <c r="F194" s="3"/>
      <c r="G194" s="3"/>
      <c r="L194" s="3"/>
      <c r="N194" s="3"/>
    </row>
    <row r="195" spans="1:14" x14ac:dyDescent="0.2">
      <c r="A195" s="3"/>
      <c r="B195" s="3"/>
      <c r="C195" s="3"/>
      <c r="D195" s="3"/>
      <c r="E195" s="3"/>
      <c r="F195" s="3"/>
      <c r="G195" s="3"/>
      <c r="L195" s="3"/>
      <c r="N195" s="3"/>
    </row>
    <row r="196" spans="1:14" x14ac:dyDescent="0.2">
      <c r="A196" s="3"/>
      <c r="B196" s="3"/>
      <c r="C196" s="3"/>
      <c r="D196" s="3"/>
      <c r="E196" s="3"/>
      <c r="F196" s="3"/>
      <c r="G196" s="3"/>
      <c r="L196" s="3"/>
      <c r="N196" s="3"/>
    </row>
    <row r="197" spans="1:14" x14ac:dyDescent="0.2">
      <c r="A197" s="3"/>
      <c r="B197" s="3"/>
      <c r="C197" s="3"/>
      <c r="D197" s="3"/>
      <c r="E197" s="3"/>
      <c r="F197" s="3"/>
      <c r="G197" s="3"/>
      <c r="L197" s="3"/>
      <c r="N197" s="3"/>
    </row>
    <row r="198" spans="1:14" x14ac:dyDescent="0.2">
      <c r="A198" s="3"/>
      <c r="B198" s="3"/>
      <c r="C198" s="3"/>
      <c r="D198" s="3"/>
      <c r="E198" s="3"/>
      <c r="F198" s="3"/>
      <c r="G198" s="3"/>
      <c r="L198" s="3"/>
      <c r="N198" s="3"/>
    </row>
    <row r="199" spans="1:14" x14ac:dyDescent="0.2">
      <c r="A199" s="3"/>
      <c r="B199" s="3"/>
      <c r="C199" s="3"/>
      <c r="D199" s="3"/>
      <c r="E199" s="3"/>
      <c r="F199" s="3"/>
      <c r="G199" s="3"/>
      <c r="L199" s="3"/>
      <c r="N199" s="3"/>
    </row>
    <row r="200" spans="1:14" x14ac:dyDescent="0.2">
      <c r="A200" s="3"/>
      <c r="B200" s="3"/>
      <c r="C200" s="3"/>
      <c r="D200" s="3"/>
      <c r="E200" s="3"/>
      <c r="F200" s="3"/>
      <c r="G200" s="3"/>
      <c r="L200" s="3"/>
      <c r="N200" s="3"/>
    </row>
    <row r="201" spans="1:14" x14ac:dyDescent="0.2">
      <c r="A201" s="3"/>
      <c r="B201" s="3"/>
      <c r="C201" s="3"/>
      <c r="D201" s="3"/>
      <c r="E201" s="3"/>
      <c r="F201" s="3"/>
      <c r="G201" s="3"/>
      <c r="L201" s="3"/>
      <c r="N201" s="3"/>
    </row>
    <row r="202" spans="1:14" x14ac:dyDescent="0.2">
      <c r="A202" s="3"/>
      <c r="B202" s="3"/>
      <c r="C202" s="3"/>
      <c r="D202" s="3"/>
      <c r="E202" s="3"/>
      <c r="F202" s="3"/>
      <c r="G202" s="3"/>
      <c r="L202" s="3"/>
      <c r="N202" s="3"/>
    </row>
    <row r="203" spans="1:14" x14ac:dyDescent="0.2">
      <c r="A203" s="3"/>
      <c r="B203" s="3"/>
      <c r="C203" s="3"/>
      <c r="D203" s="3"/>
      <c r="E203" s="3"/>
      <c r="F203" s="3"/>
      <c r="G203" s="3"/>
      <c r="L203" s="3"/>
      <c r="N203" s="3"/>
    </row>
    <row r="204" spans="1:14" x14ac:dyDescent="0.2">
      <c r="A204" s="3"/>
      <c r="B204" s="3"/>
      <c r="C204" s="3"/>
      <c r="D204" s="3"/>
      <c r="E204" s="3"/>
      <c r="F204" s="3"/>
      <c r="G204" s="3"/>
      <c r="L204" s="3"/>
      <c r="N204" s="3"/>
    </row>
    <row r="205" spans="1:14" x14ac:dyDescent="0.2">
      <c r="A205" s="3"/>
      <c r="B205" s="3"/>
      <c r="C205" s="3"/>
      <c r="D205" s="3"/>
      <c r="E205" s="3"/>
      <c r="F205" s="3"/>
      <c r="G205" s="3"/>
      <c r="L205" s="3"/>
      <c r="N205" s="3"/>
    </row>
    <row r="206" spans="1:14" x14ac:dyDescent="0.2">
      <c r="A206" s="3"/>
      <c r="B206" s="3"/>
      <c r="C206" s="3"/>
      <c r="D206" s="3"/>
      <c r="E206" s="3"/>
      <c r="F206" s="3"/>
      <c r="G206" s="3"/>
      <c r="L206" s="3"/>
      <c r="N206" s="3"/>
    </row>
    <row r="207" spans="1:14" x14ac:dyDescent="0.2">
      <c r="A207" s="3"/>
      <c r="B207" s="3"/>
      <c r="C207" s="3"/>
      <c r="D207" s="3"/>
      <c r="E207" s="3"/>
      <c r="F207" s="3"/>
      <c r="G207" s="3"/>
      <c r="L207" s="3"/>
      <c r="N207" s="3"/>
    </row>
    <row r="208" spans="1:14" x14ac:dyDescent="0.2">
      <c r="A208" s="3"/>
      <c r="B208" s="3"/>
      <c r="C208" s="3"/>
      <c r="D208" s="3"/>
      <c r="E208" s="3"/>
      <c r="F208" s="3"/>
      <c r="G208" s="3"/>
      <c r="L208" s="3"/>
      <c r="N208" s="3"/>
    </row>
    <row r="209" spans="1:14" x14ac:dyDescent="0.2">
      <c r="A209" s="3"/>
      <c r="B209" s="3"/>
      <c r="C209" s="3"/>
      <c r="D209" s="3"/>
      <c r="E209" s="3"/>
      <c r="F209" s="3"/>
      <c r="G209" s="3"/>
      <c r="L209" s="3"/>
      <c r="N209" s="3"/>
    </row>
    <row r="210" spans="1:14" x14ac:dyDescent="0.2">
      <c r="A210" s="3"/>
      <c r="B210" s="3"/>
      <c r="C210" s="3"/>
      <c r="D210" s="3"/>
      <c r="E210" s="3"/>
      <c r="F210" s="3"/>
      <c r="G210" s="3"/>
      <c r="L210" s="3"/>
      <c r="N210" s="3"/>
    </row>
    <row r="211" spans="1:14" x14ac:dyDescent="0.2">
      <c r="A211" s="3"/>
      <c r="B211" s="3"/>
      <c r="C211" s="3"/>
      <c r="D211" s="3"/>
      <c r="E211" s="3"/>
      <c r="F211" s="3"/>
      <c r="G211" s="3"/>
      <c r="L211" s="3"/>
      <c r="N211" s="3"/>
    </row>
    <row r="212" spans="1:14" x14ac:dyDescent="0.2">
      <c r="A212" s="3"/>
      <c r="B212" s="3"/>
      <c r="C212" s="3"/>
      <c r="D212" s="3"/>
      <c r="E212" s="3"/>
      <c r="F212" s="3"/>
      <c r="G212" s="3"/>
      <c r="L212" s="3"/>
      <c r="N212" s="3"/>
    </row>
    <row r="213" spans="1:14" x14ac:dyDescent="0.2">
      <c r="A213" s="3"/>
      <c r="B213" s="3"/>
      <c r="C213" s="3"/>
      <c r="D213" s="3"/>
      <c r="E213" s="3"/>
      <c r="F213" s="3"/>
      <c r="G213" s="3"/>
      <c r="L213" s="3"/>
      <c r="N213" s="3"/>
    </row>
    <row r="214" spans="1:14" x14ac:dyDescent="0.2">
      <c r="A214" s="3"/>
      <c r="B214" s="3"/>
      <c r="C214" s="3"/>
      <c r="D214" s="3"/>
      <c r="E214" s="3"/>
      <c r="F214" s="3"/>
      <c r="G214" s="3"/>
      <c r="L214" s="3"/>
      <c r="N214" s="3"/>
    </row>
    <row r="215" spans="1:14" x14ac:dyDescent="0.2">
      <c r="A215" s="3"/>
      <c r="B215" s="3"/>
      <c r="C215" s="3"/>
      <c r="D215" s="3"/>
      <c r="E215" s="3"/>
      <c r="F215" s="3"/>
      <c r="G215" s="3"/>
      <c r="L215" s="3"/>
      <c r="N215" s="3"/>
    </row>
    <row r="216" spans="1:14" x14ac:dyDescent="0.2">
      <c r="A216" s="3"/>
      <c r="B216" s="3"/>
      <c r="C216" s="3"/>
      <c r="D216" s="3"/>
      <c r="E216" s="3"/>
      <c r="F216" s="3"/>
      <c r="G216" s="3"/>
      <c r="L216" s="3"/>
      <c r="N216" s="3"/>
    </row>
    <row r="217" spans="1:14" x14ac:dyDescent="0.2">
      <c r="A217" s="3"/>
      <c r="B217" s="3"/>
      <c r="C217" s="3"/>
      <c r="D217" s="3"/>
      <c r="E217" s="3"/>
      <c r="F217" s="3"/>
      <c r="G217" s="3"/>
      <c r="L217" s="3"/>
      <c r="N217" s="3"/>
    </row>
    <row r="218" spans="1:14" x14ac:dyDescent="0.2">
      <c r="A218" s="3"/>
      <c r="B218" s="3"/>
      <c r="C218" s="3"/>
      <c r="D218" s="3"/>
      <c r="E218" s="3"/>
      <c r="F218" s="3"/>
      <c r="G218" s="3"/>
      <c r="L218" s="3"/>
      <c r="N218" s="3"/>
    </row>
    <row r="219" spans="1:14" x14ac:dyDescent="0.2">
      <c r="A219" s="3"/>
      <c r="B219" s="3"/>
      <c r="C219" s="3"/>
      <c r="D219" s="3"/>
      <c r="E219" s="3"/>
      <c r="F219" s="3"/>
      <c r="G219" s="3"/>
      <c r="L219" s="3"/>
      <c r="N219" s="3"/>
    </row>
    <row r="220" spans="1:14" x14ac:dyDescent="0.2">
      <c r="A220" s="3"/>
      <c r="B220" s="3"/>
      <c r="C220" s="3"/>
      <c r="D220" s="3"/>
      <c r="E220" s="3"/>
      <c r="F220" s="3"/>
      <c r="G220" s="3"/>
      <c r="L220" s="3"/>
      <c r="N220" s="3"/>
    </row>
    <row r="221" spans="1:14" x14ac:dyDescent="0.2">
      <c r="A221" s="3"/>
      <c r="B221" s="3"/>
      <c r="C221" s="3"/>
      <c r="D221" s="3"/>
      <c r="E221" s="3"/>
      <c r="F221" s="3"/>
      <c r="G221" s="3"/>
      <c r="L221" s="3"/>
      <c r="N221" s="3"/>
    </row>
    <row r="222" spans="1:14" x14ac:dyDescent="0.2">
      <c r="A222" s="3"/>
      <c r="B222" s="3"/>
      <c r="C222" s="3"/>
      <c r="D222" s="3"/>
      <c r="E222" s="3"/>
      <c r="F222" s="3"/>
      <c r="G222" s="3"/>
      <c r="L222" s="3"/>
      <c r="N222" s="3"/>
    </row>
    <row r="223" spans="1:14" x14ac:dyDescent="0.2">
      <c r="A223" s="3"/>
      <c r="B223" s="3"/>
      <c r="C223" s="3"/>
      <c r="D223" s="3"/>
      <c r="E223" s="3"/>
      <c r="F223" s="3"/>
      <c r="G223" s="3"/>
      <c r="L223" s="3"/>
      <c r="N223" s="3"/>
    </row>
    <row r="224" spans="1:14" x14ac:dyDescent="0.2">
      <c r="A224" s="3"/>
      <c r="B224" s="3"/>
      <c r="C224" s="3"/>
      <c r="D224" s="3"/>
      <c r="E224" s="3"/>
      <c r="F224" s="3"/>
      <c r="G224" s="3"/>
      <c r="L224" s="3"/>
      <c r="N224" s="3"/>
    </row>
    <row r="225" spans="1:14" x14ac:dyDescent="0.2">
      <c r="A225" s="3"/>
      <c r="B225" s="3"/>
      <c r="C225" s="3"/>
      <c r="D225" s="3"/>
      <c r="E225" s="3"/>
      <c r="F225" s="3"/>
      <c r="G225" s="3"/>
      <c r="L225" s="3"/>
      <c r="N225" s="3"/>
    </row>
    <row r="226" spans="1:14" x14ac:dyDescent="0.2">
      <c r="A226" s="3"/>
      <c r="B226" s="3"/>
      <c r="C226" s="3"/>
      <c r="D226" s="3"/>
      <c r="E226" s="3"/>
      <c r="F226" s="3"/>
      <c r="G226" s="3"/>
      <c r="L226" s="3"/>
      <c r="N226" s="3"/>
    </row>
    <row r="227" spans="1:14" x14ac:dyDescent="0.2">
      <c r="A227" s="3"/>
      <c r="B227" s="3"/>
      <c r="C227" s="3"/>
      <c r="D227" s="3"/>
      <c r="E227" s="3"/>
      <c r="F227" s="3"/>
      <c r="G227" s="3"/>
      <c r="L227" s="3"/>
      <c r="N227" s="3"/>
    </row>
    <row r="228" spans="1:14" x14ac:dyDescent="0.2">
      <c r="A228" s="3"/>
      <c r="B228" s="3"/>
      <c r="C228" s="3"/>
      <c r="D228" s="3"/>
      <c r="E228" s="3"/>
      <c r="F228" s="3"/>
      <c r="G228" s="3"/>
      <c r="L228" s="3"/>
      <c r="N228" s="3"/>
    </row>
    <row r="229" spans="1:14" x14ac:dyDescent="0.2">
      <c r="A229" s="3"/>
      <c r="B229" s="3"/>
      <c r="C229" s="3"/>
      <c r="D229" s="3"/>
      <c r="E229" s="3"/>
      <c r="F229" s="3"/>
      <c r="G229" s="3"/>
      <c r="L229" s="3"/>
      <c r="N229" s="3"/>
    </row>
    <row r="230" spans="1:14" x14ac:dyDescent="0.2">
      <c r="A230" s="3"/>
      <c r="B230" s="3"/>
      <c r="C230" s="3"/>
      <c r="D230" s="3"/>
      <c r="E230" s="3"/>
      <c r="F230" s="3"/>
      <c r="G230" s="3"/>
      <c r="L230" s="3"/>
      <c r="N230" s="3"/>
    </row>
    <row r="231" spans="1:14" x14ac:dyDescent="0.2">
      <c r="A231" s="3"/>
      <c r="B231" s="3"/>
      <c r="C231" s="3"/>
      <c r="D231" s="3"/>
      <c r="E231" s="3"/>
      <c r="F231" s="3"/>
      <c r="G231" s="3"/>
      <c r="L231" s="3"/>
      <c r="N231" s="3"/>
    </row>
    <row r="232" spans="1:14" x14ac:dyDescent="0.2">
      <c r="A232" s="3"/>
      <c r="B232" s="3"/>
      <c r="C232" s="3"/>
      <c r="D232" s="3"/>
      <c r="E232" s="3"/>
      <c r="F232" s="3"/>
      <c r="G232" s="3"/>
      <c r="L232" s="3"/>
      <c r="N232" s="3"/>
    </row>
    <row r="233" spans="1:14" x14ac:dyDescent="0.2">
      <c r="A233" s="3"/>
      <c r="B233" s="3"/>
      <c r="C233" s="3"/>
      <c r="D233" s="3"/>
      <c r="E233" s="3"/>
      <c r="F233" s="3"/>
      <c r="G233" s="3"/>
      <c r="L233" s="3"/>
      <c r="N233" s="3"/>
    </row>
    <row r="234" spans="1:14" x14ac:dyDescent="0.2">
      <c r="A234" s="3"/>
      <c r="B234" s="3"/>
      <c r="C234" s="3"/>
      <c r="D234" s="3"/>
      <c r="E234" s="3"/>
      <c r="F234" s="3"/>
      <c r="G234" s="3"/>
      <c r="L234" s="3"/>
      <c r="N234" s="3"/>
    </row>
    <row r="235" spans="1:14" x14ac:dyDescent="0.2">
      <c r="A235" s="3"/>
      <c r="B235" s="3"/>
      <c r="C235" s="3"/>
      <c r="D235" s="3"/>
      <c r="E235" s="3"/>
      <c r="F235" s="3"/>
      <c r="G235" s="3"/>
      <c r="L235" s="3"/>
      <c r="N235" s="3"/>
    </row>
    <row r="236" spans="1:14" x14ac:dyDescent="0.2">
      <c r="A236" s="3"/>
      <c r="B236" s="3"/>
      <c r="C236" s="3"/>
      <c r="D236" s="3"/>
      <c r="E236" s="3"/>
      <c r="F236" s="3"/>
      <c r="G236" s="3"/>
      <c r="L236" s="3"/>
      <c r="N236" s="3"/>
    </row>
    <row r="237" spans="1:14" x14ac:dyDescent="0.2">
      <c r="A237" s="3"/>
      <c r="B237" s="3"/>
      <c r="C237" s="3"/>
      <c r="D237" s="3"/>
      <c r="E237" s="3"/>
      <c r="F237" s="3"/>
      <c r="G237" s="3"/>
      <c r="L237" s="3"/>
      <c r="N237" s="3"/>
    </row>
    <row r="238" spans="1:14" x14ac:dyDescent="0.2">
      <c r="A238" s="3"/>
      <c r="B238" s="3"/>
      <c r="C238" s="3"/>
      <c r="D238" s="3"/>
      <c r="E238" s="3"/>
      <c r="F238" s="3"/>
      <c r="G238" s="3"/>
      <c r="L238" s="3"/>
      <c r="N238" s="3"/>
    </row>
    <row r="239" spans="1:14" x14ac:dyDescent="0.2">
      <c r="A239" s="3"/>
      <c r="B239" s="3"/>
      <c r="C239" s="3"/>
      <c r="D239" s="3"/>
      <c r="E239" s="3"/>
      <c r="F239" s="3"/>
      <c r="G239" s="3"/>
      <c r="L239" s="3"/>
      <c r="N239" s="3"/>
    </row>
    <row r="240" spans="1:14" x14ac:dyDescent="0.2">
      <c r="A240" s="3"/>
      <c r="B240" s="3"/>
      <c r="C240" s="3"/>
      <c r="D240" s="3"/>
      <c r="E240" s="3"/>
      <c r="F240" s="3"/>
      <c r="G240" s="3"/>
      <c r="L240" s="3"/>
      <c r="N240" s="3"/>
    </row>
    <row r="241" spans="1:14" x14ac:dyDescent="0.2">
      <c r="A241" s="3"/>
      <c r="B241" s="3"/>
      <c r="C241" s="3"/>
      <c r="D241" s="3"/>
      <c r="E241" s="3"/>
      <c r="F241" s="3"/>
      <c r="G241" s="3"/>
      <c r="L241" s="3"/>
      <c r="N241" s="3"/>
    </row>
    <row r="242" spans="1:14" x14ac:dyDescent="0.2">
      <c r="A242" s="3"/>
      <c r="B242" s="3"/>
      <c r="C242" s="3"/>
      <c r="D242" s="3"/>
      <c r="E242" s="3"/>
      <c r="F242" s="3"/>
      <c r="G242" s="3"/>
      <c r="L242" s="3"/>
      <c r="N242" s="3"/>
    </row>
    <row r="243" spans="1:14" x14ac:dyDescent="0.2">
      <c r="A243" s="3"/>
      <c r="B243" s="3"/>
      <c r="C243" s="3"/>
      <c r="D243" s="3"/>
      <c r="E243" s="3"/>
      <c r="F243" s="3"/>
      <c r="G243" s="3"/>
      <c r="L243" s="3"/>
      <c r="N243" s="3"/>
    </row>
    <row r="244" spans="1:14" x14ac:dyDescent="0.2">
      <c r="A244" s="3"/>
      <c r="B244" s="3"/>
      <c r="C244" s="3"/>
      <c r="D244" s="3"/>
      <c r="E244" s="3"/>
      <c r="F244" s="3"/>
      <c r="G244" s="3"/>
      <c r="L244" s="3"/>
      <c r="N244" s="3"/>
    </row>
    <row r="245" spans="1:14" x14ac:dyDescent="0.2">
      <c r="A245" s="3"/>
      <c r="B245" s="3"/>
      <c r="C245" s="3"/>
      <c r="D245" s="3"/>
      <c r="E245" s="3"/>
      <c r="F245" s="3"/>
      <c r="G245" s="3"/>
      <c r="L245" s="3"/>
      <c r="N245" s="3"/>
    </row>
    <row r="246" spans="1:14" x14ac:dyDescent="0.2">
      <c r="A246" s="3"/>
      <c r="B246" s="3"/>
      <c r="C246" s="3"/>
      <c r="D246" s="3"/>
      <c r="E246" s="3"/>
      <c r="F246" s="3"/>
      <c r="G246" s="3"/>
      <c r="L246" s="3"/>
      <c r="N246" s="3"/>
    </row>
    <row r="247" spans="1:14" x14ac:dyDescent="0.2">
      <c r="A247" s="3"/>
      <c r="B247" s="3"/>
      <c r="C247" s="3"/>
      <c r="D247" s="3"/>
      <c r="E247" s="3"/>
      <c r="F247" s="3"/>
      <c r="G247" s="3"/>
      <c r="L247" s="3"/>
      <c r="N247" s="3"/>
    </row>
    <row r="248" spans="1:14" x14ac:dyDescent="0.2">
      <c r="A248" s="3"/>
      <c r="B248" s="3"/>
      <c r="C248" s="3"/>
      <c r="D248" s="3"/>
      <c r="E248" s="3"/>
      <c r="F248" s="3"/>
      <c r="G248" s="3"/>
      <c r="L248" s="3"/>
      <c r="N248" s="3"/>
    </row>
    <row r="249" spans="1:14" x14ac:dyDescent="0.2">
      <c r="A249" s="3"/>
      <c r="B249" s="3"/>
      <c r="C249" s="3"/>
      <c r="D249" s="3"/>
      <c r="E249" s="3"/>
      <c r="F249" s="3"/>
      <c r="G249" s="3"/>
      <c r="L249" s="3"/>
      <c r="N249" s="3"/>
    </row>
    <row r="250" spans="1:14" x14ac:dyDescent="0.2">
      <c r="A250" s="3"/>
      <c r="B250" s="3"/>
      <c r="C250" s="3"/>
      <c r="D250" s="3"/>
      <c r="E250" s="3"/>
      <c r="F250" s="3"/>
      <c r="G250" s="3"/>
      <c r="L250" s="3"/>
      <c r="N250" s="3"/>
    </row>
    <row r="251" spans="1:14" x14ac:dyDescent="0.2">
      <c r="A251" s="3"/>
      <c r="B251" s="3"/>
      <c r="C251" s="3"/>
      <c r="D251" s="3"/>
      <c r="E251" s="3"/>
      <c r="F251" s="3"/>
      <c r="G251" s="3"/>
      <c r="L251" s="3"/>
      <c r="N251" s="3"/>
    </row>
    <row r="252" spans="1:14" x14ac:dyDescent="0.2">
      <c r="A252" s="3"/>
      <c r="B252" s="3"/>
      <c r="C252" s="3"/>
      <c r="D252" s="3"/>
      <c r="E252" s="3"/>
      <c r="F252" s="3"/>
      <c r="G252" s="3"/>
      <c r="L252" s="3"/>
      <c r="N252" s="3"/>
    </row>
    <row r="253" spans="1:14" x14ac:dyDescent="0.2">
      <c r="A253" s="3"/>
      <c r="B253" s="3"/>
      <c r="C253" s="3"/>
      <c r="D253" s="3"/>
      <c r="E253" s="3"/>
      <c r="F253" s="3"/>
      <c r="G253" s="3"/>
      <c r="L253" s="3"/>
      <c r="N253" s="3"/>
    </row>
    <row r="254" spans="1:14" x14ac:dyDescent="0.2">
      <c r="A254" s="3"/>
      <c r="B254" s="3"/>
      <c r="C254" s="3"/>
      <c r="D254" s="3"/>
      <c r="E254" s="3"/>
      <c r="F254" s="3"/>
      <c r="G254" s="3"/>
      <c r="L254" s="3"/>
      <c r="N254" s="3"/>
    </row>
    <row r="255" spans="1:14" x14ac:dyDescent="0.2">
      <c r="A255" s="3"/>
      <c r="B255" s="3"/>
      <c r="C255" s="3"/>
      <c r="D255" s="3"/>
      <c r="E255" s="3"/>
      <c r="F255" s="3"/>
      <c r="G255" s="3"/>
      <c r="L255" s="3"/>
      <c r="N255" s="3"/>
    </row>
    <row r="256" spans="1:14" x14ac:dyDescent="0.2">
      <c r="A256" s="3"/>
      <c r="B256" s="3"/>
      <c r="C256" s="3"/>
      <c r="D256" s="3"/>
      <c r="E256" s="3"/>
      <c r="F256" s="3"/>
      <c r="G256" s="3"/>
      <c r="L256" s="3"/>
      <c r="N256" s="3"/>
    </row>
    <row r="257" spans="1:14" x14ac:dyDescent="0.2">
      <c r="A257" s="3"/>
      <c r="B257" s="3"/>
      <c r="C257" s="3"/>
      <c r="D257" s="3"/>
      <c r="E257" s="3"/>
      <c r="F257" s="3"/>
      <c r="G257" s="3"/>
      <c r="L257" s="3"/>
      <c r="N257" s="3"/>
    </row>
    <row r="258" spans="1:14" x14ac:dyDescent="0.2">
      <c r="A258" s="3"/>
      <c r="B258" s="3"/>
      <c r="C258" s="3"/>
      <c r="D258" s="3"/>
      <c r="E258" s="3"/>
      <c r="F258" s="3"/>
      <c r="G258" s="3"/>
      <c r="L258" s="3"/>
      <c r="N258" s="3"/>
    </row>
    <row r="259" spans="1:14" x14ac:dyDescent="0.2">
      <c r="A259" s="3"/>
      <c r="B259" s="3"/>
      <c r="C259" s="3"/>
      <c r="D259" s="3"/>
      <c r="E259" s="3"/>
      <c r="F259" s="3"/>
      <c r="G259" s="3"/>
      <c r="L259" s="3"/>
      <c r="N259" s="3"/>
    </row>
    <row r="260" spans="1:14" x14ac:dyDescent="0.2">
      <c r="A260" s="3"/>
      <c r="B260" s="3"/>
      <c r="C260" s="3"/>
      <c r="D260" s="3"/>
      <c r="E260" s="3"/>
      <c r="F260" s="3"/>
      <c r="G260" s="3"/>
      <c r="L260" s="3"/>
      <c r="N260" s="3"/>
    </row>
    <row r="261" spans="1:14" x14ac:dyDescent="0.2">
      <c r="A261" s="3"/>
      <c r="B261" s="3"/>
      <c r="C261" s="3"/>
      <c r="D261" s="3"/>
      <c r="E261" s="3"/>
      <c r="F261" s="3"/>
      <c r="G261" s="3"/>
      <c r="L261" s="3"/>
      <c r="N261" s="3"/>
    </row>
    <row r="262" spans="1:14" x14ac:dyDescent="0.2">
      <c r="A262" s="3"/>
      <c r="B262" s="3"/>
      <c r="C262" s="3"/>
      <c r="D262" s="3"/>
      <c r="E262" s="3"/>
      <c r="F262" s="3"/>
      <c r="G262" s="3"/>
      <c r="L262" s="3"/>
      <c r="N262" s="3"/>
    </row>
    <row r="263" spans="1:14" x14ac:dyDescent="0.2">
      <c r="A263" s="3"/>
      <c r="B263" s="3"/>
      <c r="C263" s="3"/>
      <c r="D263" s="3"/>
      <c r="E263" s="3"/>
      <c r="F263" s="3"/>
      <c r="G263" s="3"/>
      <c r="L263" s="3"/>
      <c r="N263" s="3"/>
    </row>
    <row r="264" spans="1:14" x14ac:dyDescent="0.2">
      <c r="A264" s="3"/>
      <c r="B264" s="3"/>
      <c r="C264" s="3"/>
      <c r="D264" s="3"/>
      <c r="E264" s="3"/>
      <c r="F264" s="3"/>
      <c r="G264" s="3"/>
      <c r="L264" s="3"/>
      <c r="N264" s="3"/>
    </row>
    <row r="265" spans="1:14" x14ac:dyDescent="0.2">
      <c r="A265" s="3"/>
      <c r="B265" s="3"/>
      <c r="C265" s="3"/>
      <c r="D265" s="3"/>
      <c r="E265" s="3"/>
      <c r="F265" s="3"/>
      <c r="G265" s="3"/>
      <c r="L265" s="3"/>
      <c r="N265" s="3"/>
    </row>
    <row r="266" spans="1:14" x14ac:dyDescent="0.2">
      <c r="A266" s="3"/>
      <c r="B266" s="3"/>
      <c r="C266" s="3"/>
      <c r="D266" s="3"/>
      <c r="E266" s="3"/>
      <c r="F266" s="3"/>
      <c r="G266" s="3"/>
      <c r="L266" s="3"/>
      <c r="N266" s="3"/>
    </row>
    <row r="267" spans="1:14" x14ac:dyDescent="0.2">
      <c r="A267" s="3"/>
      <c r="B267" s="3"/>
      <c r="C267" s="3"/>
      <c r="D267" s="3"/>
      <c r="E267" s="3"/>
      <c r="F267" s="3"/>
      <c r="G267" s="3"/>
      <c r="L267" s="3"/>
      <c r="N267" s="3"/>
    </row>
    <row r="268" spans="1:14" x14ac:dyDescent="0.2">
      <c r="A268" s="3"/>
      <c r="B268" s="3"/>
      <c r="C268" s="3"/>
      <c r="D268" s="3"/>
      <c r="E268" s="3"/>
      <c r="F268" s="3"/>
      <c r="G268" s="3"/>
      <c r="L268" s="3"/>
      <c r="N268" s="3"/>
    </row>
    <row r="269" spans="1:14" x14ac:dyDescent="0.2">
      <c r="A269" s="3"/>
      <c r="B269" s="3"/>
      <c r="C269" s="3"/>
      <c r="D269" s="3"/>
      <c r="E269" s="3"/>
      <c r="F269" s="3"/>
      <c r="G269" s="3"/>
      <c r="L269" s="3"/>
      <c r="N269" s="3"/>
    </row>
    <row r="270" spans="1:14" x14ac:dyDescent="0.2">
      <c r="A270" s="3"/>
      <c r="B270" s="3"/>
      <c r="C270" s="3"/>
      <c r="D270" s="3"/>
      <c r="E270" s="3"/>
      <c r="F270" s="3"/>
      <c r="G270" s="3"/>
      <c r="L270" s="3"/>
      <c r="N270" s="3"/>
    </row>
    <row r="271" spans="1:14" x14ac:dyDescent="0.2">
      <c r="A271" s="3"/>
      <c r="B271" s="3"/>
      <c r="C271" s="3"/>
      <c r="D271" s="3"/>
      <c r="E271" s="3"/>
      <c r="F271" s="3"/>
      <c r="G271" s="3"/>
      <c r="L271" s="3"/>
      <c r="N271" s="3"/>
    </row>
    <row r="272" spans="1:14" x14ac:dyDescent="0.2">
      <c r="A272" s="3"/>
      <c r="B272" s="3"/>
      <c r="C272" s="3"/>
      <c r="D272" s="3"/>
      <c r="E272" s="3"/>
      <c r="F272" s="3"/>
      <c r="G272" s="3"/>
      <c r="L272" s="3"/>
      <c r="N272" s="3"/>
    </row>
    <row r="273" spans="1:14" x14ac:dyDescent="0.2">
      <c r="A273" s="3"/>
      <c r="B273" s="3"/>
      <c r="C273" s="3"/>
      <c r="D273" s="3"/>
      <c r="E273" s="3"/>
      <c r="F273" s="3"/>
      <c r="G273" s="3"/>
      <c r="L273" s="3"/>
      <c r="N273" s="3"/>
    </row>
    <row r="274" spans="1:14" x14ac:dyDescent="0.2">
      <c r="A274" s="3"/>
      <c r="B274" s="3"/>
      <c r="C274" s="3"/>
      <c r="D274" s="3"/>
      <c r="E274" s="3"/>
      <c r="F274" s="3"/>
      <c r="G274" s="3"/>
      <c r="L274" s="3"/>
      <c r="N274" s="3"/>
    </row>
    <row r="275" spans="1:14" x14ac:dyDescent="0.2">
      <c r="A275" s="3"/>
      <c r="B275" s="3"/>
      <c r="C275" s="3"/>
      <c r="D275" s="3"/>
      <c r="E275" s="3"/>
      <c r="F275" s="3"/>
      <c r="G275" s="3"/>
      <c r="L275" s="3"/>
      <c r="N275" s="3"/>
    </row>
    <row r="276" spans="1:14" x14ac:dyDescent="0.2">
      <c r="A276" s="3"/>
      <c r="B276" s="3"/>
      <c r="C276" s="3"/>
      <c r="D276" s="3"/>
      <c r="E276" s="3"/>
      <c r="F276" s="3"/>
      <c r="G276" s="3"/>
      <c r="L276" s="3"/>
      <c r="N276" s="3"/>
    </row>
    <row r="277" spans="1:14" x14ac:dyDescent="0.2">
      <c r="A277" s="3"/>
      <c r="B277" s="3"/>
      <c r="C277" s="3"/>
      <c r="D277" s="3"/>
      <c r="E277" s="3"/>
      <c r="F277" s="3"/>
      <c r="G277" s="3"/>
      <c r="L277" s="3"/>
      <c r="N277" s="3"/>
    </row>
    <row r="278" spans="1:14" x14ac:dyDescent="0.2">
      <c r="A278" s="3"/>
      <c r="B278" s="3"/>
      <c r="C278" s="3"/>
      <c r="D278" s="3"/>
      <c r="E278" s="3"/>
      <c r="F278" s="3"/>
      <c r="G278" s="3"/>
      <c r="L278" s="3"/>
      <c r="N278" s="3"/>
    </row>
    <row r="279" spans="1:14" x14ac:dyDescent="0.2">
      <c r="A279" s="3"/>
      <c r="B279" s="3"/>
      <c r="C279" s="3"/>
      <c r="D279" s="3"/>
      <c r="E279" s="3"/>
      <c r="F279" s="3"/>
      <c r="G279" s="3"/>
      <c r="L279" s="3"/>
      <c r="N279" s="3"/>
    </row>
    <row r="280" spans="1:14" x14ac:dyDescent="0.2">
      <c r="A280" s="3"/>
      <c r="B280" s="3"/>
      <c r="C280" s="3"/>
      <c r="D280" s="3"/>
      <c r="E280" s="3"/>
      <c r="F280" s="3"/>
      <c r="G280" s="3"/>
      <c r="L280" s="3"/>
      <c r="N280" s="3"/>
    </row>
    <row r="281" spans="1:14" x14ac:dyDescent="0.2">
      <c r="A281" s="3"/>
      <c r="B281" s="3"/>
      <c r="C281" s="3"/>
      <c r="D281" s="3"/>
      <c r="E281" s="3"/>
      <c r="F281" s="3"/>
      <c r="G281" s="3"/>
      <c r="L281" s="3"/>
      <c r="N281" s="3"/>
    </row>
    <row r="282" spans="1:14" x14ac:dyDescent="0.2">
      <c r="A282" s="3"/>
      <c r="B282" s="3"/>
      <c r="C282" s="3"/>
      <c r="D282" s="3"/>
      <c r="E282" s="3"/>
      <c r="F282" s="3"/>
      <c r="G282" s="3"/>
      <c r="L282" s="3"/>
      <c r="N282" s="3"/>
    </row>
    <row r="283" spans="1:14" x14ac:dyDescent="0.2">
      <c r="A283" s="3"/>
      <c r="B283" s="3"/>
      <c r="C283" s="3"/>
      <c r="D283" s="3"/>
      <c r="E283" s="3"/>
      <c r="F283" s="3"/>
      <c r="G283" s="3"/>
      <c r="L283" s="3"/>
      <c r="N283" s="3"/>
    </row>
    <row r="284" spans="1:14" x14ac:dyDescent="0.2">
      <c r="A284" s="3"/>
      <c r="B284" s="3"/>
      <c r="C284" s="3"/>
      <c r="D284" s="3"/>
      <c r="E284" s="3"/>
      <c r="F284" s="3"/>
      <c r="G284" s="3"/>
      <c r="L284" s="3"/>
      <c r="N284" s="3"/>
    </row>
    <row r="285" spans="1:14" x14ac:dyDescent="0.2">
      <c r="A285" s="3"/>
      <c r="B285" s="3"/>
      <c r="C285" s="3"/>
      <c r="D285" s="3"/>
      <c r="E285" s="3"/>
      <c r="F285" s="3"/>
      <c r="G285" s="3"/>
      <c r="L285" s="3"/>
      <c r="N285" s="3"/>
    </row>
    <row r="286" spans="1:14" x14ac:dyDescent="0.2">
      <c r="A286" s="3"/>
      <c r="B286" s="3"/>
      <c r="C286" s="3"/>
      <c r="D286" s="3"/>
      <c r="E286" s="3"/>
      <c r="F286" s="3"/>
      <c r="G286" s="3"/>
      <c r="L286" s="3"/>
      <c r="N286" s="3"/>
    </row>
    <row r="287" spans="1:14" x14ac:dyDescent="0.2">
      <c r="A287" s="3"/>
      <c r="B287" s="3"/>
      <c r="C287" s="3"/>
      <c r="D287" s="3"/>
      <c r="E287" s="3"/>
      <c r="F287" s="3"/>
      <c r="G287" s="3"/>
      <c r="L287" s="3"/>
      <c r="N287" s="3"/>
    </row>
    <row r="288" spans="1:14" x14ac:dyDescent="0.2">
      <c r="A288" s="3"/>
      <c r="B288" s="3"/>
      <c r="C288" s="3"/>
      <c r="D288" s="3"/>
      <c r="E288" s="3"/>
      <c r="F288" s="3"/>
      <c r="G288" s="3"/>
      <c r="L288" s="3"/>
      <c r="N288" s="3"/>
    </row>
    <row r="289" spans="1:14" x14ac:dyDescent="0.2">
      <c r="A289" s="3"/>
      <c r="B289" s="3"/>
      <c r="C289" s="3"/>
      <c r="D289" s="3"/>
      <c r="E289" s="3"/>
      <c r="F289" s="3"/>
      <c r="G289" s="3"/>
      <c r="L289" s="3"/>
      <c r="N289" s="3"/>
    </row>
    <row r="290" spans="1:14" x14ac:dyDescent="0.2">
      <c r="A290" s="3"/>
      <c r="B290" s="3"/>
      <c r="C290" s="3"/>
      <c r="D290" s="3"/>
      <c r="E290" s="3"/>
      <c r="F290" s="3"/>
      <c r="G290" s="3"/>
      <c r="L290" s="3"/>
      <c r="N290" s="3"/>
    </row>
    <row r="291" spans="1:14" x14ac:dyDescent="0.2">
      <c r="A291" s="3"/>
      <c r="B291" s="3"/>
      <c r="C291" s="3"/>
      <c r="D291" s="3"/>
      <c r="E291" s="3"/>
      <c r="F291" s="3"/>
      <c r="G291" s="3"/>
      <c r="L291" s="3"/>
      <c r="N291" s="3"/>
    </row>
    <row r="292" spans="1:14" x14ac:dyDescent="0.2">
      <c r="A292" s="3"/>
      <c r="B292" s="3"/>
      <c r="C292" s="3"/>
      <c r="D292" s="3"/>
      <c r="E292" s="3"/>
      <c r="F292" s="3"/>
      <c r="G292" s="3"/>
      <c r="L292" s="3"/>
      <c r="N292" s="3"/>
    </row>
    <row r="293" spans="1:14" x14ac:dyDescent="0.2">
      <c r="A293" s="3"/>
      <c r="B293" s="3"/>
      <c r="C293" s="3"/>
      <c r="D293" s="3"/>
      <c r="E293" s="3"/>
      <c r="F293" s="3"/>
      <c r="G293" s="3"/>
      <c r="L293" s="3"/>
      <c r="N293" s="3"/>
    </row>
    <row r="294" spans="1:14" x14ac:dyDescent="0.2">
      <c r="A294" s="3"/>
      <c r="B294" s="3"/>
      <c r="C294" s="3"/>
      <c r="D294" s="3"/>
      <c r="E294" s="3"/>
      <c r="F294" s="3"/>
      <c r="G294" s="3"/>
      <c r="L294" s="3"/>
      <c r="N294" s="3"/>
    </row>
    <row r="295" spans="1:14" x14ac:dyDescent="0.2">
      <c r="A295" s="3"/>
      <c r="B295" s="3"/>
      <c r="C295" s="3"/>
      <c r="D295" s="3"/>
      <c r="E295" s="3"/>
      <c r="F295" s="3"/>
      <c r="G295" s="3"/>
      <c r="L295" s="3"/>
      <c r="N295" s="3"/>
    </row>
    <row r="296" spans="1:14" x14ac:dyDescent="0.2">
      <c r="A296" s="3"/>
      <c r="B296" s="3"/>
      <c r="C296" s="3"/>
      <c r="D296" s="3"/>
      <c r="E296" s="3"/>
      <c r="F296" s="3"/>
      <c r="G296" s="3"/>
      <c r="L296" s="3"/>
      <c r="N296" s="3"/>
    </row>
    <row r="297" spans="1:14" x14ac:dyDescent="0.2">
      <c r="A297" s="3"/>
      <c r="B297" s="3"/>
      <c r="C297" s="3"/>
      <c r="D297" s="3"/>
      <c r="E297" s="3"/>
      <c r="F297" s="3"/>
      <c r="G297" s="3"/>
      <c r="L297" s="3"/>
      <c r="N297" s="3"/>
    </row>
    <row r="298" spans="1:14" x14ac:dyDescent="0.2">
      <c r="A298" s="3"/>
      <c r="B298" s="3"/>
      <c r="C298" s="3"/>
      <c r="D298" s="3"/>
      <c r="E298" s="3"/>
      <c r="F298" s="3"/>
      <c r="G298" s="3"/>
      <c r="L298" s="3"/>
      <c r="N298" s="3"/>
    </row>
    <row r="299" spans="1:14" x14ac:dyDescent="0.2">
      <c r="A299" s="3"/>
      <c r="B299" s="3"/>
      <c r="C299" s="3"/>
      <c r="D299" s="3"/>
      <c r="E299" s="3"/>
      <c r="F299" s="3"/>
      <c r="G299" s="3"/>
      <c r="L299" s="3"/>
      <c r="N299" s="3"/>
    </row>
    <row r="300" spans="1:14" x14ac:dyDescent="0.2">
      <c r="A300" s="3"/>
      <c r="B300" s="3"/>
      <c r="C300" s="3"/>
      <c r="D300" s="3"/>
      <c r="E300" s="3"/>
      <c r="F300" s="3"/>
      <c r="G300" s="3"/>
      <c r="L300" s="3"/>
      <c r="N300" s="3"/>
    </row>
    <row r="301" spans="1:14" x14ac:dyDescent="0.2">
      <c r="A301" s="3"/>
      <c r="B301" s="3"/>
      <c r="C301" s="3"/>
      <c r="D301" s="3"/>
      <c r="E301" s="3"/>
      <c r="F301" s="3"/>
      <c r="G301" s="3"/>
      <c r="L301" s="3"/>
      <c r="N301" s="3"/>
    </row>
    <row r="302" spans="1:14" x14ac:dyDescent="0.2">
      <c r="A302" s="3"/>
      <c r="B302" s="3"/>
      <c r="C302" s="3"/>
      <c r="D302" s="3"/>
      <c r="E302" s="3"/>
      <c r="F302" s="3"/>
      <c r="G302" s="3"/>
      <c r="L302" s="3"/>
      <c r="N302" s="3"/>
    </row>
    <row r="303" spans="1:14" x14ac:dyDescent="0.2">
      <c r="A303" s="3"/>
      <c r="B303" s="3"/>
      <c r="C303" s="3"/>
      <c r="D303" s="3"/>
      <c r="E303" s="3"/>
      <c r="F303" s="3"/>
      <c r="G303" s="3"/>
      <c r="L303" s="3"/>
      <c r="N303" s="3"/>
    </row>
    <row r="304" spans="1:14" x14ac:dyDescent="0.2">
      <c r="A304" s="3"/>
      <c r="B304" s="3"/>
      <c r="C304" s="3"/>
      <c r="D304" s="3"/>
      <c r="E304" s="3"/>
      <c r="F304" s="3"/>
      <c r="G304" s="3"/>
      <c r="L304" s="3"/>
      <c r="N304" s="3"/>
    </row>
    <row r="305" spans="1:14" x14ac:dyDescent="0.2">
      <c r="A305" s="3"/>
      <c r="B305" s="3"/>
      <c r="C305" s="3"/>
      <c r="D305" s="3"/>
      <c r="E305" s="3"/>
      <c r="F305" s="3"/>
      <c r="G305" s="3"/>
      <c r="L305" s="3"/>
      <c r="N305" s="3"/>
    </row>
    <row r="306" spans="1:14" x14ac:dyDescent="0.2">
      <c r="A306" s="3"/>
      <c r="B306" s="3"/>
      <c r="C306" s="3"/>
      <c r="D306" s="3"/>
      <c r="E306" s="3"/>
      <c r="F306" s="3"/>
      <c r="G306" s="3"/>
      <c r="L306" s="3"/>
      <c r="N306" s="3"/>
    </row>
    <row r="307" spans="1:14" x14ac:dyDescent="0.2">
      <c r="A307" s="3"/>
      <c r="B307" s="3"/>
      <c r="C307" s="3"/>
      <c r="D307" s="3"/>
      <c r="E307" s="3"/>
      <c r="F307" s="3"/>
      <c r="G307" s="3"/>
      <c r="L307" s="3"/>
      <c r="N307" s="3"/>
    </row>
    <row r="308" spans="1:14" x14ac:dyDescent="0.2">
      <c r="A308" s="3"/>
      <c r="B308" s="3"/>
      <c r="C308" s="3"/>
      <c r="D308" s="3"/>
      <c r="E308" s="3"/>
      <c r="F308" s="3"/>
      <c r="G308" s="3"/>
      <c r="L308" s="3"/>
      <c r="N308" s="3"/>
    </row>
    <row r="309" spans="1:14" x14ac:dyDescent="0.2">
      <c r="A309" s="3"/>
      <c r="B309" s="3"/>
      <c r="C309" s="3"/>
      <c r="D309" s="3"/>
      <c r="E309" s="3"/>
      <c r="F309" s="3"/>
      <c r="G309" s="3"/>
      <c r="L309" s="3"/>
      <c r="N309" s="3"/>
    </row>
    <row r="310" spans="1:14" x14ac:dyDescent="0.2">
      <c r="A310" s="3"/>
      <c r="B310" s="3"/>
      <c r="C310" s="3"/>
      <c r="D310" s="3"/>
      <c r="E310" s="3"/>
      <c r="F310" s="3"/>
      <c r="G310" s="3"/>
      <c r="L310" s="3"/>
      <c r="N310" s="3"/>
    </row>
    <row r="311" spans="1:14" x14ac:dyDescent="0.2">
      <c r="A311" s="3"/>
      <c r="B311" s="3"/>
      <c r="C311" s="3"/>
      <c r="D311" s="3"/>
      <c r="E311" s="3"/>
      <c r="F311" s="3"/>
      <c r="G311" s="3"/>
      <c r="L311" s="3"/>
      <c r="N311" s="3"/>
    </row>
    <row r="312" spans="1:14" x14ac:dyDescent="0.2">
      <c r="A312" s="3"/>
      <c r="B312" s="3"/>
      <c r="C312" s="3"/>
      <c r="D312" s="3"/>
      <c r="E312" s="3"/>
      <c r="F312" s="3"/>
      <c r="G312" s="3"/>
      <c r="L312" s="3"/>
      <c r="N312" s="3"/>
    </row>
    <row r="313" spans="1:14" x14ac:dyDescent="0.2">
      <c r="A313" s="3"/>
      <c r="B313" s="3"/>
      <c r="C313" s="3"/>
      <c r="D313" s="3"/>
      <c r="E313" s="3"/>
      <c r="F313" s="3"/>
      <c r="G313" s="3"/>
      <c r="L313" s="3"/>
      <c r="N313" s="3"/>
    </row>
    <row r="314" spans="1:14" x14ac:dyDescent="0.2">
      <c r="A314" s="3"/>
      <c r="B314" s="3"/>
      <c r="C314" s="3"/>
      <c r="D314" s="3"/>
      <c r="E314" s="3"/>
      <c r="F314" s="3"/>
      <c r="G314" s="3"/>
      <c r="L314" s="3"/>
      <c r="N314" s="3"/>
    </row>
    <row r="315" spans="1:14" x14ac:dyDescent="0.2">
      <c r="A315" s="3"/>
      <c r="B315" s="3"/>
      <c r="C315" s="3"/>
      <c r="D315" s="3"/>
      <c r="E315" s="3"/>
      <c r="F315" s="3"/>
      <c r="G315" s="3"/>
      <c r="L315" s="3"/>
      <c r="N315" s="3"/>
    </row>
    <row r="316" spans="1:14" x14ac:dyDescent="0.2">
      <c r="A316" s="3"/>
      <c r="B316" s="3"/>
      <c r="C316" s="3"/>
      <c r="D316" s="3"/>
      <c r="E316" s="3"/>
      <c r="F316" s="3"/>
      <c r="G316" s="3"/>
      <c r="L316" s="3"/>
      <c r="N316" s="3"/>
    </row>
    <row r="317" spans="1:14" x14ac:dyDescent="0.2">
      <c r="A317" s="3"/>
      <c r="B317" s="3"/>
      <c r="C317" s="3"/>
      <c r="D317" s="3"/>
      <c r="E317" s="3"/>
      <c r="F317" s="3"/>
      <c r="G317" s="3"/>
      <c r="L317" s="3"/>
      <c r="N317" s="3"/>
    </row>
    <row r="318" spans="1:14" x14ac:dyDescent="0.2">
      <c r="A318" s="3"/>
      <c r="B318" s="3"/>
      <c r="C318" s="3"/>
      <c r="D318" s="3"/>
      <c r="E318" s="3"/>
      <c r="F318" s="3"/>
      <c r="G318" s="3"/>
      <c r="L318" s="3"/>
      <c r="N318" s="3"/>
    </row>
    <row r="319" spans="1:14" x14ac:dyDescent="0.2">
      <c r="A319" s="3"/>
      <c r="B319" s="3"/>
      <c r="C319" s="3"/>
      <c r="D319" s="3"/>
      <c r="E319" s="3"/>
      <c r="F319" s="3"/>
      <c r="G319" s="3"/>
      <c r="L319" s="3"/>
      <c r="N319" s="3"/>
    </row>
    <row r="320" spans="1:14" x14ac:dyDescent="0.2">
      <c r="A320" s="3"/>
      <c r="B320" s="3"/>
      <c r="C320" s="3"/>
      <c r="D320" s="3"/>
      <c r="E320" s="3"/>
      <c r="F320" s="3"/>
      <c r="G320" s="3"/>
      <c r="L320" s="3"/>
      <c r="N320" s="3"/>
    </row>
    <row r="321" spans="1:14" x14ac:dyDescent="0.2">
      <c r="A321" s="3"/>
      <c r="B321" s="3"/>
      <c r="C321" s="3"/>
      <c r="D321" s="3"/>
      <c r="E321" s="3"/>
      <c r="F321" s="3"/>
      <c r="G321" s="3"/>
      <c r="L321" s="3"/>
      <c r="N321" s="3"/>
    </row>
    <row r="322" spans="1:14" x14ac:dyDescent="0.2">
      <c r="A322" s="3"/>
      <c r="B322" s="3"/>
      <c r="C322" s="3"/>
      <c r="D322" s="3"/>
      <c r="E322" s="3"/>
      <c r="F322" s="3"/>
      <c r="G322" s="3"/>
      <c r="L322" s="3"/>
      <c r="N322" s="3"/>
    </row>
    <row r="323" spans="1:14" x14ac:dyDescent="0.2">
      <c r="A323" s="3"/>
      <c r="B323" s="3"/>
      <c r="C323" s="3"/>
      <c r="D323" s="3"/>
      <c r="E323" s="3"/>
      <c r="F323" s="3"/>
      <c r="G323" s="3"/>
      <c r="L323" s="3"/>
      <c r="N323" s="3"/>
    </row>
    <row r="324" spans="1:14" x14ac:dyDescent="0.2">
      <c r="A324" s="3"/>
      <c r="B324" s="3"/>
      <c r="C324" s="3"/>
      <c r="D324" s="3"/>
      <c r="E324" s="3"/>
      <c r="F324" s="3"/>
      <c r="G324" s="3"/>
      <c r="L324" s="3"/>
      <c r="N324" s="3"/>
    </row>
    <row r="325" spans="1:14" x14ac:dyDescent="0.2">
      <c r="A325" s="3"/>
      <c r="B325" s="3"/>
      <c r="C325" s="3"/>
      <c r="D325" s="3"/>
      <c r="E325" s="3"/>
      <c r="F325" s="3"/>
      <c r="G325" s="3"/>
      <c r="L325" s="3"/>
      <c r="N325" s="3"/>
    </row>
    <row r="326" spans="1:14" x14ac:dyDescent="0.2">
      <c r="A326" s="3"/>
      <c r="B326" s="3"/>
      <c r="C326" s="3"/>
      <c r="D326" s="3"/>
      <c r="E326" s="3"/>
      <c r="F326" s="3"/>
      <c r="G326" s="3"/>
      <c r="L326" s="3"/>
      <c r="N326" s="3"/>
    </row>
    <row r="327" spans="1:14" x14ac:dyDescent="0.2">
      <c r="A327" s="3"/>
      <c r="B327" s="3"/>
      <c r="C327" s="3"/>
      <c r="D327" s="3"/>
      <c r="E327" s="3"/>
      <c r="F327" s="3"/>
      <c r="G327" s="3"/>
      <c r="L327" s="3"/>
      <c r="N327" s="3"/>
    </row>
    <row r="328" spans="1:14" x14ac:dyDescent="0.2">
      <c r="A328" s="3"/>
      <c r="B328" s="3"/>
      <c r="C328" s="3"/>
      <c r="D328" s="3"/>
      <c r="E328" s="3"/>
      <c r="F328" s="3"/>
      <c r="G328" s="3"/>
      <c r="L328" s="3"/>
      <c r="N328" s="3"/>
    </row>
    <row r="329" spans="1:14" x14ac:dyDescent="0.2">
      <c r="A329" s="3"/>
      <c r="B329" s="3"/>
      <c r="C329" s="3"/>
      <c r="D329" s="3"/>
      <c r="E329" s="3"/>
      <c r="F329" s="3"/>
      <c r="G329" s="3"/>
      <c r="L329" s="3"/>
      <c r="N329" s="3"/>
    </row>
    <row r="330" spans="1:14" x14ac:dyDescent="0.2">
      <c r="A330" s="3"/>
      <c r="B330" s="3"/>
      <c r="C330" s="3"/>
      <c r="D330" s="3"/>
      <c r="E330" s="3"/>
      <c r="F330" s="3"/>
      <c r="G330" s="3"/>
      <c r="L330" s="3"/>
      <c r="N330" s="3"/>
    </row>
    <row r="331" spans="1:14" x14ac:dyDescent="0.2">
      <c r="A331" s="3"/>
      <c r="B331" s="3"/>
      <c r="C331" s="3"/>
      <c r="D331" s="3"/>
      <c r="E331" s="3"/>
      <c r="F331" s="3"/>
      <c r="G331" s="3"/>
      <c r="L331" s="3"/>
      <c r="N331" s="3"/>
    </row>
    <row r="332" spans="1:14" x14ac:dyDescent="0.2">
      <c r="A332" s="3"/>
      <c r="B332" s="3"/>
      <c r="C332" s="3"/>
      <c r="D332" s="3"/>
      <c r="E332" s="3"/>
      <c r="F332" s="3"/>
      <c r="G332" s="3"/>
      <c r="L332" s="3"/>
      <c r="N332" s="3"/>
    </row>
    <row r="333" spans="1:14" x14ac:dyDescent="0.2">
      <c r="A333" s="3"/>
      <c r="B333" s="3"/>
      <c r="C333" s="3"/>
      <c r="D333" s="3"/>
      <c r="E333" s="3"/>
      <c r="F333" s="3"/>
      <c r="G333" s="3"/>
      <c r="L333" s="3"/>
      <c r="N333" s="3"/>
    </row>
    <row r="334" spans="1:14" x14ac:dyDescent="0.2">
      <c r="A334" s="3"/>
      <c r="B334" s="3"/>
      <c r="C334" s="3"/>
      <c r="D334" s="3"/>
      <c r="E334" s="3"/>
      <c r="F334" s="3"/>
      <c r="G334" s="3"/>
      <c r="L334" s="3"/>
      <c r="N334" s="3"/>
    </row>
    <row r="335" spans="1:14" x14ac:dyDescent="0.2">
      <c r="A335" s="3"/>
      <c r="B335" s="3"/>
      <c r="C335" s="3"/>
      <c r="D335" s="3"/>
      <c r="E335" s="3"/>
      <c r="F335" s="3"/>
      <c r="G335" s="3"/>
      <c r="L335" s="3"/>
      <c r="N335" s="3"/>
    </row>
    <row r="336" spans="1:14" x14ac:dyDescent="0.2">
      <c r="A336" s="3"/>
      <c r="B336" s="3"/>
      <c r="C336" s="3"/>
      <c r="D336" s="3"/>
      <c r="E336" s="3"/>
      <c r="F336" s="3"/>
      <c r="G336" s="3"/>
      <c r="L336" s="3"/>
      <c r="N336" s="3"/>
    </row>
    <row r="337" spans="1:14" x14ac:dyDescent="0.2">
      <c r="A337" s="3"/>
      <c r="B337" s="3"/>
      <c r="C337" s="3"/>
      <c r="D337" s="3"/>
      <c r="E337" s="3"/>
      <c r="F337" s="3"/>
      <c r="G337" s="3"/>
      <c r="L337" s="3"/>
      <c r="N337" s="3"/>
    </row>
    <row r="338" spans="1:14" x14ac:dyDescent="0.2">
      <c r="A338" s="3"/>
      <c r="B338" s="3"/>
      <c r="C338" s="3"/>
      <c r="D338" s="3"/>
      <c r="E338" s="3"/>
      <c r="F338" s="3"/>
      <c r="G338" s="3"/>
      <c r="L338" s="3"/>
      <c r="N338" s="3"/>
    </row>
    <row r="339" spans="1:14" x14ac:dyDescent="0.2">
      <c r="A339" s="3"/>
      <c r="B339" s="3"/>
      <c r="C339" s="3"/>
      <c r="D339" s="3"/>
      <c r="E339" s="3"/>
      <c r="F339" s="3"/>
      <c r="G339" s="3"/>
      <c r="L339" s="3"/>
      <c r="N339" s="3"/>
    </row>
    <row r="340" spans="1:14" x14ac:dyDescent="0.2">
      <c r="A340" s="3"/>
      <c r="B340" s="3"/>
      <c r="C340" s="3"/>
      <c r="D340" s="3"/>
      <c r="E340" s="3"/>
      <c r="F340" s="3"/>
      <c r="G340" s="3"/>
      <c r="L340" s="3"/>
      <c r="N340" s="3"/>
    </row>
    <row r="341" spans="1:14" x14ac:dyDescent="0.2">
      <c r="A341" s="3"/>
      <c r="B341" s="3"/>
      <c r="C341" s="3"/>
      <c r="D341" s="3"/>
      <c r="E341" s="3"/>
      <c r="F341" s="3"/>
      <c r="G341" s="3"/>
      <c r="L341" s="3"/>
      <c r="N341" s="3"/>
    </row>
    <row r="342" spans="1:14" x14ac:dyDescent="0.2">
      <c r="A342" s="3"/>
      <c r="B342" s="3"/>
      <c r="C342" s="3"/>
      <c r="D342" s="3"/>
      <c r="E342" s="3"/>
      <c r="F342" s="3"/>
      <c r="G342" s="3"/>
      <c r="L342" s="3"/>
      <c r="N342" s="3"/>
    </row>
    <row r="343" spans="1:14" x14ac:dyDescent="0.2">
      <c r="A343" s="3"/>
      <c r="B343" s="3"/>
      <c r="C343" s="3"/>
      <c r="D343" s="3"/>
      <c r="E343" s="3"/>
      <c r="F343" s="3"/>
      <c r="G343" s="3"/>
      <c r="L343" s="3"/>
      <c r="N343" s="3"/>
    </row>
    <row r="344" spans="1:14" x14ac:dyDescent="0.2">
      <c r="A344" s="3"/>
      <c r="B344" s="3"/>
      <c r="C344" s="3"/>
      <c r="D344" s="3"/>
      <c r="E344" s="3"/>
      <c r="F344" s="3"/>
      <c r="G344" s="3"/>
      <c r="L344" s="3"/>
      <c r="N344" s="3"/>
    </row>
    <row r="345" spans="1:14" x14ac:dyDescent="0.2">
      <c r="A345" s="3"/>
      <c r="B345" s="3"/>
      <c r="C345" s="3"/>
      <c r="D345" s="3"/>
      <c r="E345" s="3"/>
      <c r="F345" s="3"/>
      <c r="G345" s="3"/>
      <c r="L345" s="3"/>
      <c r="N345" s="3"/>
    </row>
    <row r="346" spans="1:14" x14ac:dyDescent="0.2">
      <c r="A346" s="3"/>
      <c r="B346" s="3"/>
      <c r="C346" s="3"/>
      <c r="D346" s="3"/>
      <c r="E346" s="3"/>
      <c r="F346" s="3"/>
      <c r="G346" s="3"/>
      <c r="L346" s="3"/>
      <c r="N346" s="3"/>
    </row>
    <row r="347" spans="1:14" x14ac:dyDescent="0.2">
      <c r="A347" s="3"/>
      <c r="B347" s="3"/>
      <c r="C347" s="3"/>
      <c r="D347" s="3"/>
      <c r="E347" s="3"/>
      <c r="F347" s="3"/>
      <c r="G347" s="3"/>
      <c r="L347" s="3"/>
      <c r="N347" s="3"/>
    </row>
    <row r="348" spans="1:14" x14ac:dyDescent="0.2">
      <c r="A348" s="3"/>
      <c r="B348" s="3"/>
      <c r="C348" s="3"/>
      <c r="D348" s="3"/>
      <c r="E348" s="3"/>
      <c r="F348" s="3"/>
      <c r="G348" s="3"/>
      <c r="L348" s="3"/>
      <c r="N348" s="3"/>
    </row>
    <row r="349" spans="1:14" x14ac:dyDescent="0.2">
      <c r="A349" s="3"/>
      <c r="B349" s="3"/>
      <c r="C349" s="3"/>
      <c r="D349" s="3"/>
      <c r="E349" s="3"/>
      <c r="F349" s="3"/>
      <c r="G349" s="3"/>
      <c r="L349" s="3"/>
      <c r="N349" s="3"/>
    </row>
    <row r="350" spans="1:14" x14ac:dyDescent="0.2">
      <c r="A350" s="3"/>
      <c r="B350" s="3"/>
      <c r="C350" s="3"/>
      <c r="D350" s="3"/>
      <c r="E350" s="3"/>
      <c r="F350" s="3"/>
      <c r="G350" s="3"/>
      <c r="L350" s="3"/>
      <c r="N350" s="3"/>
    </row>
    <row r="351" spans="1:14" x14ac:dyDescent="0.2">
      <c r="A351" s="3"/>
      <c r="B351" s="3"/>
      <c r="C351" s="3"/>
      <c r="D351" s="3"/>
      <c r="E351" s="3"/>
      <c r="F351" s="3"/>
      <c r="G351" s="3"/>
      <c r="L351" s="3"/>
      <c r="N351" s="3"/>
    </row>
    <row r="352" spans="1:14" x14ac:dyDescent="0.2">
      <c r="A352" s="3"/>
      <c r="B352" s="3"/>
      <c r="C352" s="3"/>
      <c r="D352" s="3"/>
      <c r="E352" s="3"/>
      <c r="F352" s="3"/>
      <c r="G352" s="3"/>
      <c r="L352" s="3"/>
      <c r="N352" s="3"/>
    </row>
    <row r="353" spans="1:14" x14ac:dyDescent="0.2">
      <c r="A353" s="3"/>
      <c r="B353" s="3"/>
      <c r="C353" s="3"/>
      <c r="D353" s="3"/>
      <c r="E353" s="3"/>
      <c r="F353" s="3"/>
      <c r="G353" s="3"/>
      <c r="L353" s="3"/>
      <c r="N353" s="3"/>
    </row>
    <row r="354" spans="1:14" x14ac:dyDescent="0.2">
      <c r="A354" s="3"/>
      <c r="B354" s="3"/>
      <c r="C354" s="3"/>
      <c r="D354" s="3"/>
      <c r="E354" s="3"/>
      <c r="F354" s="3"/>
      <c r="G354" s="3"/>
      <c r="L354" s="3"/>
      <c r="N354" s="3"/>
    </row>
    <row r="355" spans="1:14" x14ac:dyDescent="0.2">
      <c r="A355" s="3"/>
      <c r="B355" s="3"/>
      <c r="C355" s="3"/>
      <c r="D355" s="3"/>
      <c r="E355" s="3"/>
      <c r="F355" s="3"/>
      <c r="G355" s="3"/>
      <c r="L355" s="3"/>
      <c r="N355" s="3"/>
    </row>
    <row r="356" spans="1:14" x14ac:dyDescent="0.2">
      <c r="A356" s="3"/>
      <c r="B356" s="3"/>
      <c r="C356" s="3"/>
      <c r="D356" s="3"/>
      <c r="E356" s="3"/>
      <c r="F356" s="3"/>
      <c r="G356" s="3"/>
      <c r="L356" s="3"/>
      <c r="N356" s="3"/>
    </row>
    <row r="357" spans="1:14" x14ac:dyDescent="0.2">
      <c r="A357" s="3"/>
      <c r="B357" s="3"/>
      <c r="C357" s="3"/>
      <c r="D357" s="3"/>
      <c r="E357" s="3"/>
      <c r="F357" s="3"/>
      <c r="G357" s="3"/>
      <c r="L357" s="3"/>
      <c r="N357" s="3"/>
    </row>
    <row r="358" spans="1:14" x14ac:dyDescent="0.2">
      <c r="A358" s="3"/>
      <c r="B358" s="3"/>
      <c r="C358" s="3"/>
      <c r="D358" s="3"/>
      <c r="E358" s="3"/>
      <c r="F358" s="3"/>
      <c r="G358" s="3"/>
      <c r="L358" s="3"/>
      <c r="N358" s="3"/>
    </row>
    <row r="359" spans="1:14" x14ac:dyDescent="0.2">
      <c r="A359" s="3"/>
      <c r="B359" s="3"/>
      <c r="C359" s="3"/>
      <c r="D359" s="3"/>
      <c r="E359" s="3"/>
      <c r="F359" s="3"/>
      <c r="G359" s="3"/>
      <c r="L359" s="3"/>
      <c r="N359" s="3"/>
    </row>
    <row r="360" spans="1:14" x14ac:dyDescent="0.2">
      <c r="A360" s="3"/>
      <c r="B360" s="3"/>
      <c r="C360" s="3"/>
      <c r="D360" s="3"/>
      <c r="E360" s="3"/>
      <c r="F360" s="3"/>
      <c r="G360" s="3"/>
      <c r="L360" s="3"/>
      <c r="N360" s="3"/>
    </row>
    <row r="361" spans="1:14" x14ac:dyDescent="0.2">
      <c r="A361" s="3"/>
      <c r="B361" s="3"/>
      <c r="C361" s="3"/>
      <c r="D361" s="3"/>
      <c r="E361" s="3"/>
      <c r="F361" s="3"/>
      <c r="G361" s="3"/>
      <c r="L361" s="3"/>
      <c r="N361" s="3"/>
    </row>
    <row r="362" spans="1:14" x14ac:dyDescent="0.2">
      <c r="A362" s="3"/>
      <c r="B362" s="3"/>
      <c r="C362" s="3"/>
      <c r="D362" s="3"/>
      <c r="E362" s="3"/>
      <c r="F362" s="3"/>
      <c r="G362" s="3"/>
      <c r="L362" s="3"/>
      <c r="N362" s="3"/>
    </row>
    <row r="363" spans="1:14" x14ac:dyDescent="0.2">
      <c r="A363" s="3"/>
      <c r="B363" s="3"/>
      <c r="C363" s="3"/>
      <c r="D363" s="3"/>
      <c r="E363" s="3"/>
      <c r="F363" s="3"/>
      <c r="G363" s="3"/>
      <c r="L363" s="3"/>
      <c r="N363" s="3"/>
    </row>
    <row r="364" spans="1:14" x14ac:dyDescent="0.2">
      <c r="A364" s="3"/>
      <c r="B364" s="3"/>
      <c r="C364" s="3"/>
      <c r="D364" s="3"/>
      <c r="E364" s="3"/>
      <c r="F364" s="3"/>
      <c r="G364" s="3"/>
      <c r="L364" s="3"/>
      <c r="N364" s="3"/>
    </row>
    <row r="365" spans="1:14" x14ac:dyDescent="0.2">
      <c r="A365" s="3"/>
      <c r="B365" s="3"/>
      <c r="C365" s="3"/>
      <c r="D365" s="3"/>
      <c r="E365" s="3"/>
      <c r="F365" s="3"/>
      <c r="G365" s="3"/>
      <c r="L365" s="3"/>
      <c r="N365" s="3"/>
    </row>
    <row r="366" spans="1:14" x14ac:dyDescent="0.2">
      <c r="A366" s="3"/>
      <c r="B366" s="3"/>
      <c r="C366" s="3"/>
      <c r="D366" s="3"/>
      <c r="E366" s="3"/>
      <c r="F366" s="3"/>
      <c r="G366" s="3"/>
      <c r="L366" s="3"/>
      <c r="N366" s="3"/>
    </row>
    <row r="367" spans="1:14" x14ac:dyDescent="0.2">
      <c r="A367" s="3"/>
      <c r="B367" s="3"/>
      <c r="C367" s="3"/>
      <c r="D367" s="3"/>
      <c r="E367" s="3"/>
      <c r="F367" s="3"/>
      <c r="G367" s="3"/>
      <c r="L367" s="3"/>
      <c r="N367" s="3"/>
    </row>
    <row r="368" spans="1:14" x14ac:dyDescent="0.2">
      <c r="A368" s="3"/>
      <c r="B368" s="3"/>
      <c r="C368" s="3"/>
      <c r="D368" s="3"/>
      <c r="E368" s="3"/>
      <c r="F368" s="3"/>
      <c r="G368" s="3"/>
      <c r="L368" s="3"/>
      <c r="N368" s="3"/>
    </row>
    <row r="369" spans="1:14" x14ac:dyDescent="0.2">
      <c r="A369" s="3"/>
      <c r="B369" s="3"/>
      <c r="C369" s="3"/>
      <c r="D369" s="3"/>
      <c r="E369" s="3"/>
      <c r="F369" s="3"/>
      <c r="G369" s="3"/>
      <c r="L369" s="3"/>
      <c r="N369" s="3"/>
    </row>
    <row r="370" spans="1:14" x14ac:dyDescent="0.2">
      <c r="A370" s="3"/>
      <c r="B370" s="3"/>
      <c r="C370" s="3"/>
      <c r="D370" s="3"/>
      <c r="E370" s="3"/>
      <c r="F370" s="3"/>
      <c r="G370" s="3"/>
      <c r="L370" s="3"/>
      <c r="N370" s="3"/>
    </row>
    <row r="371" spans="1:14" x14ac:dyDescent="0.2">
      <c r="A371" s="3"/>
      <c r="B371" s="3"/>
      <c r="C371" s="3"/>
      <c r="D371" s="3"/>
      <c r="E371" s="3"/>
      <c r="F371" s="3"/>
      <c r="G371" s="3"/>
      <c r="L371" s="3"/>
      <c r="N371" s="3"/>
    </row>
    <row r="372" spans="1:14" x14ac:dyDescent="0.2">
      <c r="A372" s="3"/>
      <c r="B372" s="3"/>
      <c r="C372" s="3"/>
      <c r="D372" s="3"/>
      <c r="E372" s="3"/>
      <c r="F372" s="3"/>
      <c r="G372" s="3"/>
      <c r="L372" s="3"/>
      <c r="N372" s="3"/>
    </row>
    <row r="373" spans="1:14" x14ac:dyDescent="0.2">
      <c r="A373" s="3"/>
      <c r="B373" s="3"/>
      <c r="C373" s="3"/>
      <c r="D373" s="3"/>
      <c r="E373" s="3"/>
      <c r="F373" s="3"/>
      <c r="G373" s="3"/>
      <c r="L373" s="3"/>
      <c r="N373" s="3"/>
    </row>
    <row r="374" spans="1:14" x14ac:dyDescent="0.2">
      <c r="A374" s="3"/>
      <c r="B374" s="3"/>
      <c r="C374" s="3"/>
      <c r="D374" s="3"/>
      <c r="E374" s="3"/>
      <c r="F374" s="3"/>
      <c r="G374" s="3"/>
      <c r="L374" s="3"/>
      <c r="N374" s="3"/>
    </row>
    <row r="375" spans="1:14" x14ac:dyDescent="0.2">
      <c r="A375" s="3"/>
      <c r="B375" s="3"/>
      <c r="C375" s="3"/>
      <c r="D375" s="3"/>
      <c r="E375" s="3"/>
      <c r="F375" s="3"/>
      <c r="G375" s="3"/>
      <c r="L375" s="3"/>
      <c r="N375" s="3"/>
    </row>
    <row r="376" spans="1:14" x14ac:dyDescent="0.2">
      <c r="A376" s="3"/>
      <c r="B376" s="3"/>
      <c r="C376" s="3"/>
      <c r="D376" s="3"/>
      <c r="E376" s="3"/>
      <c r="F376" s="3"/>
      <c r="G376" s="3"/>
      <c r="L376" s="3"/>
      <c r="N376" s="3"/>
    </row>
    <row r="377" spans="1:14" x14ac:dyDescent="0.2">
      <c r="A377" s="3"/>
      <c r="B377" s="3"/>
      <c r="C377" s="3"/>
      <c r="D377" s="3"/>
      <c r="E377" s="3"/>
      <c r="F377" s="3"/>
      <c r="G377" s="3"/>
      <c r="L377" s="3"/>
      <c r="N377" s="3"/>
    </row>
    <row r="378" spans="1:14" x14ac:dyDescent="0.2">
      <c r="A378" s="3"/>
      <c r="B378" s="3"/>
      <c r="C378" s="3"/>
      <c r="D378" s="3"/>
      <c r="E378" s="3"/>
      <c r="F378" s="3"/>
      <c r="G378" s="3"/>
      <c r="L378" s="3"/>
      <c r="N378" s="3"/>
    </row>
    <row r="379" spans="1:14" x14ac:dyDescent="0.2">
      <c r="A379" s="3"/>
      <c r="B379" s="3"/>
      <c r="C379" s="3"/>
      <c r="D379" s="3"/>
      <c r="E379" s="3"/>
      <c r="F379" s="3"/>
      <c r="G379" s="3"/>
      <c r="L379" s="3"/>
      <c r="N379" s="3"/>
    </row>
    <row r="380" spans="1:14" x14ac:dyDescent="0.2">
      <c r="A380" s="3"/>
      <c r="B380" s="3"/>
      <c r="C380" s="3"/>
      <c r="D380" s="3"/>
      <c r="E380" s="3"/>
      <c r="F380" s="3"/>
      <c r="G380" s="3"/>
      <c r="L380" s="3"/>
      <c r="N380" s="3"/>
    </row>
    <row r="381" spans="1:14" x14ac:dyDescent="0.2">
      <c r="A381" s="3"/>
      <c r="B381" s="3"/>
      <c r="C381" s="3"/>
      <c r="D381" s="3"/>
      <c r="E381" s="3"/>
      <c r="F381" s="3"/>
      <c r="G381" s="3"/>
      <c r="L381" s="3"/>
      <c r="N381" s="3"/>
    </row>
    <row r="382" spans="1:14" x14ac:dyDescent="0.2">
      <c r="A382" s="3"/>
      <c r="B382" s="3"/>
      <c r="C382" s="3"/>
      <c r="D382" s="3"/>
      <c r="E382" s="3"/>
      <c r="F382" s="3"/>
      <c r="G382" s="3"/>
      <c r="L382" s="3"/>
      <c r="N382" s="3"/>
    </row>
    <row r="383" spans="1:14" x14ac:dyDescent="0.2">
      <c r="A383" s="3"/>
      <c r="B383" s="3"/>
      <c r="C383" s="3"/>
      <c r="D383" s="3"/>
      <c r="E383" s="3"/>
      <c r="F383" s="3"/>
      <c r="G383" s="3"/>
      <c r="L383" s="3"/>
      <c r="N383" s="3"/>
    </row>
    <row r="384" spans="1:14" x14ac:dyDescent="0.2">
      <c r="A384" s="3"/>
      <c r="B384" s="3"/>
      <c r="C384" s="3"/>
      <c r="D384" s="3"/>
      <c r="E384" s="3"/>
      <c r="F384" s="3"/>
      <c r="G384" s="3"/>
      <c r="L384" s="3"/>
      <c r="N384" s="3"/>
    </row>
    <row r="385" spans="1:14" x14ac:dyDescent="0.2">
      <c r="A385" s="3"/>
      <c r="B385" s="3"/>
      <c r="C385" s="3"/>
      <c r="D385" s="3"/>
      <c r="E385" s="3"/>
      <c r="F385" s="3"/>
      <c r="G385" s="3"/>
      <c r="L385" s="3"/>
      <c r="N385" s="3"/>
    </row>
    <row r="386" spans="1:14" x14ac:dyDescent="0.2">
      <c r="A386" s="3"/>
      <c r="B386" s="3"/>
      <c r="C386" s="3"/>
      <c r="D386" s="3"/>
      <c r="E386" s="3"/>
      <c r="F386" s="3"/>
      <c r="G386" s="3"/>
      <c r="L386" s="3"/>
      <c r="N386" s="3"/>
    </row>
    <row r="387" spans="1:14" x14ac:dyDescent="0.2">
      <c r="A387" s="3"/>
      <c r="B387" s="3"/>
      <c r="C387" s="3"/>
      <c r="D387" s="3"/>
      <c r="E387" s="3"/>
      <c r="F387" s="3"/>
      <c r="G387" s="3"/>
      <c r="L387" s="3"/>
      <c r="N387" s="3"/>
    </row>
    <row r="388" spans="1:14" x14ac:dyDescent="0.2">
      <c r="A388" s="3"/>
      <c r="B388" s="3"/>
      <c r="C388" s="3"/>
      <c r="D388" s="3"/>
      <c r="E388" s="3"/>
      <c r="F388" s="3"/>
      <c r="G388" s="3"/>
      <c r="L388" s="3"/>
      <c r="N388" s="3"/>
    </row>
    <row r="389" spans="1:14" x14ac:dyDescent="0.2">
      <c r="A389" s="3"/>
      <c r="B389" s="3"/>
      <c r="C389" s="3"/>
      <c r="D389" s="3"/>
      <c r="E389" s="3"/>
      <c r="F389" s="3"/>
      <c r="G389" s="3"/>
      <c r="L389" s="3"/>
      <c r="N389" s="3"/>
    </row>
    <row r="390" spans="1:14" x14ac:dyDescent="0.2">
      <c r="A390" s="3"/>
      <c r="B390" s="3"/>
      <c r="C390" s="3"/>
      <c r="D390" s="3"/>
      <c r="E390" s="3"/>
      <c r="F390" s="3"/>
      <c r="G390" s="3"/>
      <c r="L390" s="3"/>
      <c r="N390" s="3"/>
    </row>
    <row r="391" spans="1:14" x14ac:dyDescent="0.2">
      <c r="A391" s="3"/>
      <c r="B391" s="3"/>
      <c r="C391" s="3"/>
      <c r="D391" s="3"/>
      <c r="E391" s="3"/>
      <c r="F391" s="3"/>
      <c r="G391" s="3"/>
      <c r="L391" s="3"/>
      <c r="N391" s="3"/>
    </row>
    <row r="392" spans="1:14" x14ac:dyDescent="0.2">
      <c r="A392" s="3"/>
      <c r="B392" s="3"/>
      <c r="C392" s="3"/>
      <c r="D392" s="3"/>
      <c r="E392" s="3"/>
      <c r="F392" s="3"/>
      <c r="G392" s="3"/>
      <c r="L392" s="3"/>
      <c r="N392" s="3"/>
    </row>
    <row r="393" spans="1:14" x14ac:dyDescent="0.2">
      <c r="A393" s="3"/>
      <c r="B393" s="3"/>
      <c r="C393" s="3"/>
      <c r="D393" s="3"/>
      <c r="E393" s="3"/>
      <c r="F393" s="3"/>
      <c r="G393" s="3"/>
      <c r="L393" s="3"/>
      <c r="N393" s="3"/>
    </row>
    <row r="394" spans="1:14" x14ac:dyDescent="0.2">
      <c r="A394" s="3"/>
      <c r="B394" s="3"/>
      <c r="C394" s="3"/>
      <c r="D394" s="3"/>
      <c r="E394" s="3"/>
      <c r="F394" s="3"/>
      <c r="G394" s="3"/>
      <c r="L394" s="3"/>
      <c r="N394" s="3"/>
    </row>
    <row r="395" spans="1:14" x14ac:dyDescent="0.2">
      <c r="A395" s="3"/>
      <c r="B395" s="3"/>
      <c r="C395" s="3"/>
      <c r="D395" s="3"/>
      <c r="E395" s="3"/>
      <c r="F395" s="3"/>
      <c r="G395" s="3"/>
      <c r="L395" s="3"/>
      <c r="N395" s="3"/>
    </row>
    <row r="396" spans="1:14" x14ac:dyDescent="0.2">
      <c r="A396" s="3"/>
      <c r="B396" s="3"/>
      <c r="C396" s="3"/>
      <c r="D396" s="3"/>
      <c r="E396" s="3"/>
      <c r="F396" s="3"/>
      <c r="G396" s="3"/>
      <c r="L396" s="3"/>
      <c r="N396" s="3"/>
    </row>
    <row r="397" spans="1:14" x14ac:dyDescent="0.2">
      <c r="A397" s="3"/>
      <c r="B397" s="3"/>
      <c r="C397" s="3"/>
      <c r="D397" s="3"/>
      <c r="E397" s="3"/>
      <c r="F397" s="3"/>
      <c r="G397" s="3"/>
      <c r="L397" s="3"/>
      <c r="N397" s="3"/>
    </row>
    <row r="398" spans="1:14" x14ac:dyDescent="0.2">
      <c r="A398" s="3"/>
      <c r="B398" s="3"/>
      <c r="C398" s="3"/>
      <c r="D398" s="3"/>
      <c r="E398" s="3"/>
      <c r="F398" s="3"/>
      <c r="G398" s="3"/>
      <c r="L398" s="3"/>
      <c r="N398" s="3"/>
    </row>
    <row r="399" spans="1:14" x14ac:dyDescent="0.2">
      <c r="A399" s="3"/>
      <c r="B399" s="3"/>
      <c r="C399" s="3"/>
      <c r="D399" s="3"/>
      <c r="E399" s="3"/>
      <c r="F399" s="3"/>
      <c r="G399" s="3"/>
      <c r="L399" s="3"/>
      <c r="N399" s="3"/>
    </row>
    <row r="400" spans="1:14" x14ac:dyDescent="0.2">
      <c r="A400" s="3"/>
      <c r="B400" s="3"/>
      <c r="C400" s="3"/>
      <c r="D400" s="3"/>
      <c r="E400" s="3"/>
      <c r="F400" s="3"/>
      <c r="G400" s="3"/>
      <c r="L400" s="3"/>
      <c r="N400" s="3"/>
    </row>
    <row r="401" spans="1:14" x14ac:dyDescent="0.2">
      <c r="A401" s="3"/>
      <c r="B401" s="3"/>
      <c r="C401" s="3"/>
      <c r="D401" s="3"/>
      <c r="E401" s="3"/>
      <c r="F401" s="3"/>
      <c r="G401" s="3"/>
      <c r="L401" s="3"/>
      <c r="N401" s="3"/>
    </row>
    <row r="402" spans="1:14" x14ac:dyDescent="0.2">
      <c r="A402" s="3"/>
      <c r="B402" s="3"/>
      <c r="C402" s="3"/>
      <c r="D402" s="3"/>
      <c r="E402" s="3"/>
      <c r="F402" s="3"/>
      <c r="G402" s="3"/>
      <c r="L402" s="3"/>
      <c r="N402" s="3"/>
    </row>
    <row r="403" spans="1:14" x14ac:dyDescent="0.2">
      <c r="A403" s="3"/>
      <c r="B403" s="3"/>
      <c r="C403" s="3"/>
      <c r="D403" s="3"/>
      <c r="E403" s="3"/>
      <c r="F403" s="3"/>
      <c r="G403" s="3"/>
      <c r="L403" s="3"/>
      <c r="N403" s="3"/>
    </row>
    <row r="404" spans="1:14" x14ac:dyDescent="0.2">
      <c r="A404" s="3"/>
      <c r="B404" s="3"/>
      <c r="C404" s="3"/>
      <c r="D404" s="3"/>
      <c r="E404" s="3"/>
      <c r="F404" s="3"/>
      <c r="G404" s="3"/>
      <c r="L404" s="3"/>
      <c r="N404" s="3"/>
    </row>
    <row r="405" spans="1:14" x14ac:dyDescent="0.2">
      <c r="A405" s="3"/>
      <c r="B405" s="3"/>
      <c r="C405" s="3"/>
      <c r="D405" s="3"/>
      <c r="E405" s="3"/>
      <c r="F405" s="3"/>
      <c r="G405" s="3"/>
      <c r="L405" s="3"/>
      <c r="N405" s="3"/>
    </row>
    <row r="406" spans="1:14" x14ac:dyDescent="0.2">
      <c r="A406" s="3"/>
      <c r="B406" s="3"/>
      <c r="C406" s="3"/>
      <c r="D406" s="3"/>
      <c r="E406" s="3"/>
      <c r="F406" s="3"/>
      <c r="G406" s="3"/>
      <c r="L406" s="3"/>
      <c r="N406" s="3"/>
    </row>
    <row r="407" spans="1:14" x14ac:dyDescent="0.2">
      <c r="A407" s="3"/>
      <c r="B407" s="3"/>
      <c r="C407" s="3"/>
      <c r="D407" s="3"/>
      <c r="E407" s="3"/>
      <c r="F407" s="3"/>
      <c r="G407" s="3"/>
      <c r="L407" s="3"/>
      <c r="N407" s="3"/>
    </row>
    <row r="408" spans="1:14" x14ac:dyDescent="0.2">
      <c r="A408" s="3"/>
      <c r="B408" s="3"/>
      <c r="C408" s="3"/>
      <c r="D408" s="3"/>
      <c r="E408" s="3"/>
      <c r="F408" s="3"/>
      <c r="G408" s="3"/>
      <c r="L408" s="3"/>
      <c r="N408" s="3"/>
    </row>
    <row r="409" spans="1:14" x14ac:dyDescent="0.2">
      <c r="A409" s="3"/>
      <c r="B409" s="3"/>
      <c r="C409" s="3"/>
      <c r="D409" s="3"/>
      <c r="E409" s="3"/>
      <c r="F409" s="3"/>
      <c r="G409" s="3"/>
      <c r="L409" s="3"/>
      <c r="N409" s="3"/>
    </row>
    <row r="410" spans="1:14" x14ac:dyDescent="0.2">
      <c r="A410" s="3"/>
      <c r="B410" s="3"/>
      <c r="C410" s="3"/>
      <c r="D410" s="3"/>
      <c r="E410" s="3"/>
      <c r="F410" s="3"/>
      <c r="G410" s="3"/>
      <c r="L410" s="3"/>
      <c r="N410" s="3"/>
    </row>
    <row r="411" spans="1:14" x14ac:dyDescent="0.2">
      <c r="A411" s="3"/>
      <c r="B411" s="3"/>
      <c r="C411" s="3"/>
      <c r="D411" s="3"/>
      <c r="E411" s="3"/>
      <c r="F411" s="3"/>
      <c r="G411" s="3"/>
      <c r="L411" s="3"/>
      <c r="N411" s="3"/>
    </row>
    <row r="412" spans="1:14" x14ac:dyDescent="0.2">
      <c r="A412" s="3"/>
      <c r="B412" s="3"/>
      <c r="C412" s="3"/>
      <c r="D412" s="3"/>
      <c r="E412" s="3"/>
      <c r="F412" s="3"/>
      <c r="G412" s="3"/>
      <c r="L412" s="3"/>
      <c r="N412" s="3"/>
    </row>
    <row r="413" spans="1:14" x14ac:dyDescent="0.2">
      <c r="A413" s="3"/>
      <c r="B413" s="3"/>
      <c r="C413" s="3"/>
      <c r="D413" s="3"/>
      <c r="E413" s="3"/>
      <c r="F413" s="3"/>
      <c r="G413" s="3"/>
      <c r="L413" s="3"/>
      <c r="N413" s="3"/>
    </row>
    <row r="414" spans="1:14" x14ac:dyDescent="0.2">
      <c r="A414" s="3"/>
      <c r="B414" s="3"/>
      <c r="C414" s="3"/>
      <c r="D414" s="3"/>
      <c r="E414" s="3"/>
      <c r="F414" s="3"/>
      <c r="G414" s="3"/>
      <c r="L414" s="3"/>
      <c r="N414" s="3"/>
    </row>
    <row r="415" spans="1:14" x14ac:dyDescent="0.2">
      <c r="A415" s="3"/>
      <c r="B415" s="3"/>
      <c r="C415" s="3"/>
      <c r="D415" s="3"/>
      <c r="E415" s="3"/>
      <c r="F415" s="3"/>
      <c r="G415" s="3"/>
      <c r="L415" s="3"/>
      <c r="N415" s="3"/>
    </row>
    <row r="416" spans="1:14" x14ac:dyDescent="0.2">
      <c r="A416" s="3"/>
      <c r="B416" s="3"/>
      <c r="C416" s="3"/>
      <c r="D416" s="3"/>
      <c r="E416" s="3"/>
      <c r="F416" s="3"/>
      <c r="G416" s="3"/>
      <c r="L416" s="3"/>
      <c r="N416" s="3"/>
    </row>
    <row r="417" spans="1:14" x14ac:dyDescent="0.2">
      <c r="A417" s="3"/>
      <c r="B417" s="3"/>
      <c r="C417" s="3"/>
      <c r="D417" s="3"/>
      <c r="E417" s="3"/>
      <c r="F417" s="3"/>
      <c r="G417" s="3"/>
      <c r="L417" s="3"/>
      <c r="N417" s="3"/>
    </row>
    <row r="418" spans="1:14" x14ac:dyDescent="0.2">
      <c r="A418" s="3"/>
      <c r="B418" s="3"/>
      <c r="C418" s="3"/>
      <c r="D418" s="3"/>
      <c r="E418" s="3"/>
      <c r="F418" s="3"/>
      <c r="G418" s="3"/>
      <c r="L418" s="3"/>
      <c r="N418" s="3"/>
    </row>
    <row r="419" spans="1:14" x14ac:dyDescent="0.2">
      <c r="A419" s="3"/>
      <c r="B419" s="3"/>
      <c r="C419" s="3"/>
      <c r="D419" s="3"/>
      <c r="E419" s="3"/>
      <c r="F419" s="3"/>
      <c r="G419" s="3"/>
      <c r="L419" s="3"/>
      <c r="N419" s="3"/>
    </row>
    <row r="420" spans="1:14" x14ac:dyDescent="0.2">
      <c r="A420" s="3"/>
      <c r="B420" s="3"/>
      <c r="C420" s="3"/>
      <c r="D420" s="3"/>
      <c r="E420" s="3"/>
      <c r="F420" s="3"/>
      <c r="G420" s="3"/>
      <c r="L420" s="3"/>
      <c r="N420" s="3"/>
    </row>
    <row r="421" spans="1:14" x14ac:dyDescent="0.2">
      <c r="A421" s="3"/>
      <c r="B421" s="3"/>
      <c r="C421" s="3"/>
      <c r="D421" s="3"/>
      <c r="E421" s="3"/>
      <c r="F421" s="3"/>
      <c r="G421" s="3"/>
      <c r="L421" s="3"/>
      <c r="N421" s="3"/>
    </row>
    <row r="422" spans="1:14" x14ac:dyDescent="0.2">
      <c r="A422" s="3"/>
      <c r="B422" s="3"/>
      <c r="C422" s="3"/>
      <c r="D422" s="3"/>
      <c r="E422" s="3"/>
      <c r="F422" s="3"/>
      <c r="G422" s="3"/>
      <c r="L422" s="3"/>
      <c r="N422" s="3"/>
    </row>
    <row r="423" spans="1:14" x14ac:dyDescent="0.2">
      <c r="A423" s="3"/>
      <c r="B423" s="3"/>
      <c r="C423" s="3"/>
      <c r="D423" s="3"/>
      <c r="E423" s="3"/>
      <c r="F423" s="3"/>
      <c r="G423" s="3"/>
      <c r="L423" s="3"/>
      <c r="N423" s="3"/>
    </row>
    <row r="424" spans="1:14" x14ac:dyDescent="0.2">
      <c r="A424" s="3"/>
      <c r="B424" s="3"/>
      <c r="C424" s="3"/>
      <c r="D424" s="3"/>
      <c r="E424" s="3"/>
      <c r="F424" s="3"/>
      <c r="G424" s="3"/>
      <c r="L424" s="3"/>
      <c r="N424" s="3"/>
    </row>
    <row r="425" spans="1:14" x14ac:dyDescent="0.2">
      <c r="A425" s="3"/>
      <c r="B425" s="3"/>
      <c r="C425" s="3"/>
      <c r="D425" s="3"/>
      <c r="E425" s="3"/>
      <c r="F425" s="3"/>
      <c r="G425" s="3"/>
      <c r="L425" s="3"/>
      <c r="N425" s="3"/>
    </row>
    <row r="426" spans="1:14" x14ac:dyDescent="0.2">
      <c r="A426" s="3"/>
      <c r="B426" s="3"/>
      <c r="C426" s="3"/>
      <c r="D426" s="3"/>
      <c r="E426" s="3"/>
      <c r="F426" s="3"/>
      <c r="G426" s="3"/>
      <c r="L426" s="3"/>
      <c r="N426" s="3"/>
    </row>
    <row r="427" spans="1:14" x14ac:dyDescent="0.2">
      <c r="A427" s="3"/>
      <c r="B427" s="3"/>
      <c r="C427" s="3"/>
      <c r="D427" s="3"/>
      <c r="E427" s="3"/>
      <c r="F427" s="3"/>
      <c r="G427" s="3"/>
      <c r="L427" s="3"/>
      <c r="N427" s="3"/>
    </row>
    <row r="428" spans="1:14" x14ac:dyDescent="0.2">
      <c r="A428" s="3"/>
      <c r="B428" s="3"/>
      <c r="C428" s="3"/>
      <c r="D428" s="3"/>
      <c r="E428" s="3"/>
      <c r="F428" s="3"/>
      <c r="G428" s="3"/>
      <c r="L428" s="3"/>
      <c r="N428" s="3"/>
    </row>
    <row r="429" spans="1:14" x14ac:dyDescent="0.2">
      <c r="A429" s="3"/>
      <c r="B429" s="3"/>
      <c r="C429" s="3"/>
      <c r="D429" s="3"/>
      <c r="E429" s="3"/>
      <c r="F429" s="3"/>
      <c r="G429" s="3"/>
      <c r="L429" s="3"/>
      <c r="N429" s="3"/>
    </row>
    <row r="430" spans="1:14" x14ac:dyDescent="0.2">
      <c r="A430" s="3"/>
      <c r="B430" s="3"/>
      <c r="C430" s="3"/>
      <c r="D430" s="3"/>
      <c r="E430" s="3"/>
      <c r="F430" s="3"/>
      <c r="G430" s="3"/>
      <c r="L430" s="3"/>
      <c r="N430" s="3"/>
    </row>
    <row r="431" spans="1:14" x14ac:dyDescent="0.2">
      <c r="A431" s="3"/>
      <c r="B431" s="3"/>
      <c r="C431" s="3"/>
      <c r="D431" s="3"/>
      <c r="E431" s="3"/>
      <c r="F431" s="3"/>
      <c r="G431" s="3"/>
      <c r="L431" s="3"/>
      <c r="N431" s="3"/>
    </row>
    <row r="432" spans="1:14" x14ac:dyDescent="0.2">
      <c r="A432" s="3"/>
      <c r="B432" s="3"/>
      <c r="C432" s="3"/>
      <c r="D432" s="3"/>
      <c r="E432" s="3"/>
      <c r="F432" s="3"/>
      <c r="G432" s="3"/>
      <c r="L432" s="3"/>
      <c r="N432" s="3"/>
    </row>
    <row r="433" spans="1:14" x14ac:dyDescent="0.2">
      <c r="A433" s="3"/>
      <c r="B433" s="3"/>
      <c r="C433" s="3"/>
      <c r="D433" s="3"/>
      <c r="E433" s="3"/>
      <c r="F433" s="3"/>
      <c r="G433" s="3"/>
      <c r="L433" s="3"/>
      <c r="N433" s="3"/>
    </row>
    <row r="434" spans="1:14" x14ac:dyDescent="0.2">
      <c r="A434" s="3"/>
      <c r="B434" s="3"/>
      <c r="C434" s="3"/>
      <c r="D434" s="3"/>
      <c r="E434" s="3"/>
      <c r="F434" s="3"/>
      <c r="G434" s="3"/>
      <c r="L434" s="3"/>
      <c r="N434" s="3"/>
    </row>
    <row r="435" spans="1:14" x14ac:dyDescent="0.2">
      <c r="A435" s="3"/>
      <c r="B435" s="3"/>
      <c r="C435" s="3"/>
      <c r="D435" s="3"/>
      <c r="E435" s="3"/>
      <c r="F435" s="3"/>
      <c r="G435" s="3"/>
      <c r="L435" s="3"/>
      <c r="N435" s="3"/>
    </row>
    <row r="436" spans="1:14" x14ac:dyDescent="0.2">
      <c r="A436" s="3"/>
      <c r="B436" s="3"/>
      <c r="C436" s="3"/>
      <c r="D436" s="3"/>
      <c r="E436" s="3"/>
      <c r="F436" s="3"/>
      <c r="G436" s="3"/>
      <c r="L436" s="3"/>
      <c r="N436" s="3"/>
    </row>
    <row r="437" spans="1:14" x14ac:dyDescent="0.2">
      <c r="A437" s="3"/>
      <c r="B437" s="3"/>
      <c r="C437" s="3"/>
      <c r="D437" s="3"/>
      <c r="E437" s="3"/>
      <c r="F437" s="3"/>
      <c r="G437" s="3"/>
      <c r="L437" s="3"/>
      <c r="N437" s="3"/>
    </row>
    <row r="438" spans="1:14" x14ac:dyDescent="0.2">
      <c r="A438" s="3"/>
      <c r="B438" s="3"/>
      <c r="C438" s="3"/>
      <c r="D438" s="3"/>
      <c r="E438" s="3"/>
      <c r="F438" s="3"/>
      <c r="G438" s="3"/>
      <c r="L438" s="3"/>
      <c r="N438" s="3"/>
    </row>
    <row r="439" spans="1:14" x14ac:dyDescent="0.2">
      <c r="A439" s="3"/>
      <c r="B439" s="3"/>
      <c r="C439" s="3"/>
      <c r="D439" s="3"/>
      <c r="E439" s="3"/>
      <c r="F439" s="3"/>
      <c r="G439" s="3"/>
      <c r="L439" s="3"/>
      <c r="N439" s="3"/>
    </row>
    <row r="440" spans="1:14" x14ac:dyDescent="0.2">
      <c r="A440" s="3"/>
      <c r="B440" s="3"/>
      <c r="C440" s="3"/>
      <c r="D440" s="3"/>
      <c r="E440" s="3"/>
      <c r="F440" s="3"/>
      <c r="G440" s="3"/>
      <c r="L440" s="3"/>
      <c r="N440" s="3"/>
    </row>
    <row r="441" spans="1:14" x14ac:dyDescent="0.2">
      <c r="A441" s="3"/>
      <c r="B441" s="3"/>
      <c r="C441" s="3"/>
      <c r="D441" s="3"/>
      <c r="E441" s="3"/>
      <c r="F441" s="3"/>
      <c r="G441" s="3"/>
      <c r="L441" s="3"/>
      <c r="N441" s="3"/>
    </row>
    <row r="442" spans="1:14" x14ac:dyDescent="0.2">
      <c r="A442" s="3"/>
      <c r="B442" s="3"/>
      <c r="C442" s="3"/>
      <c r="D442" s="3"/>
      <c r="E442" s="3"/>
      <c r="F442" s="3"/>
      <c r="G442" s="3"/>
      <c r="L442" s="3"/>
      <c r="N442" s="3"/>
    </row>
    <row r="443" spans="1:14" x14ac:dyDescent="0.2">
      <c r="A443" s="3"/>
      <c r="B443" s="3"/>
      <c r="C443" s="3"/>
      <c r="D443" s="3"/>
      <c r="E443" s="3"/>
      <c r="F443" s="3"/>
      <c r="G443" s="3"/>
      <c r="L443" s="3"/>
      <c r="N443" s="3"/>
    </row>
    <row r="444" spans="1:14" x14ac:dyDescent="0.2">
      <c r="A444" s="3"/>
      <c r="B444" s="3"/>
      <c r="C444" s="3"/>
      <c r="D444" s="3"/>
      <c r="E444" s="3"/>
      <c r="F444" s="3"/>
      <c r="G444" s="3"/>
      <c r="L444" s="3"/>
      <c r="N444" s="3"/>
    </row>
    <row r="445" spans="1:14" x14ac:dyDescent="0.2">
      <c r="A445" s="3"/>
      <c r="B445" s="3"/>
      <c r="C445" s="3"/>
      <c r="D445" s="3"/>
      <c r="E445" s="3"/>
      <c r="F445" s="3"/>
      <c r="G445" s="3"/>
      <c r="L445" s="3"/>
      <c r="N445" s="3"/>
    </row>
    <row r="446" spans="1:14" x14ac:dyDescent="0.2">
      <c r="A446" s="3"/>
      <c r="B446" s="3"/>
      <c r="C446" s="3"/>
      <c r="D446" s="3"/>
      <c r="E446" s="3"/>
      <c r="F446" s="3"/>
      <c r="G446" s="3"/>
      <c r="L446" s="3"/>
      <c r="N446" s="3"/>
    </row>
    <row r="447" spans="1:14" x14ac:dyDescent="0.2">
      <c r="A447" s="3"/>
      <c r="B447" s="3"/>
      <c r="C447" s="3"/>
      <c r="D447" s="3"/>
      <c r="E447" s="3"/>
      <c r="F447" s="3"/>
      <c r="G447" s="3"/>
      <c r="L447" s="3"/>
      <c r="N447" s="3"/>
    </row>
    <row r="448" spans="1:14" x14ac:dyDescent="0.2">
      <c r="A448" s="3"/>
      <c r="B448" s="3"/>
      <c r="C448" s="3"/>
      <c r="D448" s="3"/>
      <c r="E448" s="3"/>
      <c r="F448" s="3"/>
      <c r="G448" s="3"/>
      <c r="L448" s="3"/>
      <c r="N448" s="3"/>
    </row>
    <row r="449" spans="1:14" x14ac:dyDescent="0.2">
      <c r="A449" s="3"/>
      <c r="B449" s="3"/>
      <c r="C449" s="3"/>
      <c r="D449" s="3"/>
      <c r="E449" s="3"/>
      <c r="F449" s="3"/>
      <c r="G449" s="3"/>
      <c r="L449" s="3"/>
      <c r="N449" s="3"/>
    </row>
    <row r="450" spans="1:14" x14ac:dyDescent="0.2">
      <c r="A450" s="3"/>
      <c r="B450" s="3"/>
      <c r="C450" s="3"/>
      <c r="D450" s="3"/>
      <c r="E450" s="3"/>
      <c r="F450" s="3"/>
      <c r="G450" s="3"/>
      <c r="L450" s="3"/>
      <c r="N450" s="3"/>
    </row>
    <row r="451" spans="1:14" x14ac:dyDescent="0.2">
      <c r="A451" s="3"/>
      <c r="B451" s="3"/>
      <c r="C451" s="3"/>
      <c r="D451" s="3"/>
      <c r="E451" s="3"/>
      <c r="F451" s="3"/>
      <c r="G451" s="3"/>
      <c r="L451" s="3"/>
      <c r="N451" s="3"/>
    </row>
    <row r="452" spans="1:14" x14ac:dyDescent="0.2">
      <c r="A452" s="3"/>
      <c r="B452" s="3"/>
      <c r="C452" s="3"/>
      <c r="D452" s="3"/>
      <c r="E452" s="3"/>
      <c r="F452" s="3"/>
      <c r="G452" s="3"/>
      <c r="L452" s="3"/>
      <c r="N452" s="3"/>
    </row>
    <row r="453" spans="1:14" x14ac:dyDescent="0.2">
      <c r="A453" s="3"/>
      <c r="B453" s="3"/>
      <c r="C453" s="3"/>
      <c r="D453" s="3"/>
      <c r="E453" s="3"/>
      <c r="F453" s="3"/>
      <c r="G453" s="3"/>
      <c r="L453" s="3"/>
      <c r="N453" s="3"/>
    </row>
    <row r="454" spans="1:14" x14ac:dyDescent="0.2">
      <c r="A454" s="3"/>
      <c r="B454" s="3"/>
      <c r="C454" s="3"/>
      <c r="D454" s="3"/>
      <c r="E454" s="3"/>
      <c r="F454" s="3"/>
      <c r="G454" s="3"/>
      <c r="L454" s="3"/>
      <c r="N454" s="3"/>
    </row>
    <row r="455" spans="1:14" x14ac:dyDescent="0.2">
      <c r="A455" s="3"/>
      <c r="B455" s="3"/>
      <c r="C455" s="3"/>
      <c r="D455" s="3"/>
      <c r="E455" s="3"/>
      <c r="F455" s="3"/>
      <c r="G455" s="3"/>
      <c r="L455" s="3"/>
      <c r="N455" s="3"/>
    </row>
    <row r="456" spans="1:14" x14ac:dyDescent="0.2">
      <c r="A456" s="3"/>
      <c r="B456" s="3"/>
      <c r="C456" s="3"/>
      <c r="D456" s="3"/>
      <c r="E456" s="3"/>
      <c r="F456" s="3"/>
      <c r="G456" s="3"/>
      <c r="L456" s="3"/>
      <c r="N456" s="3"/>
    </row>
    <row r="457" spans="1:14" x14ac:dyDescent="0.2">
      <c r="A457" s="3"/>
      <c r="B457" s="3"/>
      <c r="C457" s="3"/>
      <c r="D457" s="3"/>
      <c r="E457" s="3"/>
      <c r="F457" s="3"/>
      <c r="G457" s="3"/>
      <c r="L457" s="3"/>
      <c r="N457" s="3"/>
    </row>
    <row r="458" spans="1:14" x14ac:dyDescent="0.2">
      <c r="A458" s="3"/>
      <c r="B458" s="3"/>
      <c r="C458" s="3"/>
      <c r="D458" s="3"/>
      <c r="E458" s="3"/>
      <c r="F458" s="3"/>
      <c r="G458" s="3"/>
      <c r="L458" s="3"/>
      <c r="N458" s="3"/>
    </row>
    <row r="459" spans="1:14" x14ac:dyDescent="0.2">
      <c r="A459" s="3"/>
      <c r="B459" s="3"/>
      <c r="C459" s="3"/>
      <c r="D459" s="3"/>
      <c r="E459" s="3"/>
      <c r="F459" s="3"/>
      <c r="G459" s="3"/>
      <c r="L459" s="3"/>
      <c r="N459" s="3"/>
    </row>
    <row r="460" spans="1:14" x14ac:dyDescent="0.2">
      <c r="A460" s="3"/>
      <c r="B460" s="3"/>
      <c r="C460" s="3"/>
      <c r="D460" s="3"/>
      <c r="E460" s="3"/>
      <c r="F460" s="3"/>
      <c r="G460" s="3"/>
      <c r="L460" s="3"/>
      <c r="N460" s="3"/>
    </row>
    <row r="461" spans="1:14" x14ac:dyDescent="0.2">
      <c r="A461" s="3"/>
      <c r="B461" s="3"/>
      <c r="C461" s="3"/>
      <c r="D461" s="3"/>
      <c r="E461" s="3"/>
      <c r="F461" s="3"/>
      <c r="G461" s="3"/>
      <c r="L461" s="3"/>
      <c r="N461" s="3"/>
    </row>
    <row r="462" spans="1:14" x14ac:dyDescent="0.2">
      <c r="A462" s="3"/>
      <c r="B462" s="3"/>
      <c r="C462" s="3"/>
      <c r="D462" s="3"/>
      <c r="E462" s="3"/>
      <c r="F462" s="3"/>
      <c r="G462" s="3"/>
      <c r="L462" s="3"/>
      <c r="N462" s="3"/>
    </row>
    <row r="463" spans="1:14" x14ac:dyDescent="0.2">
      <c r="A463" s="3"/>
      <c r="B463" s="3"/>
      <c r="C463" s="3"/>
      <c r="D463" s="3"/>
      <c r="E463" s="3"/>
      <c r="F463" s="3"/>
      <c r="G463" s="3"/>
      <c r="L463" s="3"/>
      <c r="N463" s="3"/>
    </row>
    <row r="464" spans="1:14" x14ac:dyDescent="0.2">
      <c r="A464" s="3"/>
      <c r="B464" s="3"/>
      <c r="C464" s="3"/>
      <c r="D464" s="3"/>
      <c r="E464" s="3"/>
      <c r="F464" s="3"/>
      <c r="G464" s="3"/>
      <c r="L464" s="3"/>
      <c r="N464" s="3"/>
    </row>
    <row r="465" spans="1:14" x14ac:dyDescent="0.2">
      <c r="A465" s="3"/>
      <c r="B465" s="3"/>
      <c r="C465" s="3"/>
      <c r="D465" s="3"/>
      <c r="E465" s="3"/>
      <c r="F465" s="3"/>
      <c r="G465" s="3"/>
      <c r="L465" s="3"/>
      <c r="N465" s="3"/>
    </row>
    <row r="466" spans="1:14" x14ac:dyDescent="0.2">
      <c r="A466" s="3"/>
      <c r="B466" s="3"/>
      <c r="C466" s="3"/>
      <c r="D466" s="3"/>
      <c r="E466" s="3"/>
      <c r="F466" s="3"/>
      <c r="G466" s="3"/>
      <c r="L466" s="3"/>
      <c r="N466" s="3"/>
    </row>
    <row r="467" spans="1:14" x14ac:dyDescent="0.2">
      <c r="A467" s="3"/>
      <c r="B467" s="3"/>
      <c r="C467" s="3"/>
      <c r="D467" s="3"/>
      <c r="E467" s="3"/>
      <c r="F467" s="3"/>
      <c r="G467" s="3"/>
      <c r="L467" s="3"/>
      <c r="N467" s="3"/>
    </row>
    <row r="468" spans="1:14" x14ac:dyDescent="0.2">
      <c r="A468" s="3"/>
      <c r="B468" s="3"/>
      <c r="C468" s="3"/>
      <c r="D468" s="3"/>
      <c r="E468" s="3"/>
      <c r="F468" s="3"/>
      <c r="G468" s="3"/>
      <c r="L468" s="3"/>
      <c r="N468" s="3"/>
    </row>
    <row r="469" spans="1:14" x14ac:dyDescent="0.2">
      <c r="A469" s="3"/>
      <c r="B469" s="3"/>
      <c r="C469" s="3"/>
      <c r="D469" s="3"/>
      <c r="E469" s="3"/>
      <c r="F469" s="3"/>
      <c r="G469" s="3"/>
      <c r="L469" s="3"/>
      <c r="N469" s="3"/>
    </row>
    <row r="470" spans="1:14" x14ac:dyDescent="0.2">
      <c r="A470" s="3"/>
      <c r="B470" s="3"/>
      <c r="C470" s="3"/>
      <c r="D470" s="3"/>
      <c r="E470" s="3"/>
      <c r="F470" s="3"/>
      <c r="G470" s="3"/>
      <c r="L470" s="3"/>
      <c r="N470" s="3"/>
    </row>
    <row r="471" spans="1:14" x14ac:dyDescent="0.2">
      <c r="A471" s="3"/>
      <c r="B471" s="3"/>
      <c r="C471" s="3"/>
      <c r="D471" s="3"/>
      <c r="E471" s="3"/>
      <c r="F471" s="3"/>
      <c r="G471" s="3"/>
      <c r="L471" s="3"/>
      <c r="N471" s="3"/>
    </row>
    <row r="472" spans="1:14" x14ac:dyDescent="0.2">
      <c r="A472" s="3"/>
      <c r="B472" s="3"/>
      <c r="C472" s="3"/>
      <c r="D472" s="3"/>
      <c r="E472" s="3"/>
      <c r="F472" s="3"/>
      <c r="G472" s="3"/>
      <c r="L472" s="3"/>
      <c r="N472" s="3"/>
    </row>
    <row r="473" spans="1:14" x14ac:dyDescent="0.2">
      <c r="A473" s="3"/>
      <c r="B473" s="3"/>
      <c r="C473" s="3"/>
      <c r="D473" s="3"/>
      <c r="E473" s="3"/>
      <c r="F473" s="3"/>
      <c r="G473" s="3"/>
      <c r="L473" s="3"/>
      <c r="N473" s="3"/>
    </row>
    <row r="474" spans="1:14" x14ac:dyDescent="0.2">
      <c r="A474" s="3"/>
      <c r="B474" s="3"/>
      <c r="C474" s="3"/>
      <c r="D474" s="3"/>
      <c r="E474" s="3"/>
      <c r="F474" s="3"/>
      <c r="G474" s="3"/>
      <c r="L474" s="3"/>
      <c r="N474" s="3"/>
    </row>
    <row r="475" spans="1:14" x14ac:dyDescent="0.2">
      <c r="A475" s="3"/>
      <c r="B475" s="3"/>
      <c r="C475" s="3"/>
      <c r="D475" s="3"/>
      <c r="E475" s="3"/>
      <c r="F475" s="3"/>
      <c r="G475" s="3"/>
      <c r="L475" s="3"/>
      <c r="N475" s="3"/>
    </row>
    <row r="476" spans="1:14" x14ac:dyDescent="0.2">
      <c r="A476" s="3"/>
      <c r="B476" s="3"/>
      <c r="C476" s="3"/>
      <c r="D476" s="3"/>
      <c r="E476" s="3"/>
      <c r="F476" s="3"/>
      <c r="G476" s="3"/>
      <c r="L476" s="3"/>
      <c r="N476" s="3"/>
    </row>
    <row r="477" spans="1:14" x14ac:dyDescent="0.2">
      <c r="A477" s="3"/>
      <c r="B477" s="3"/>
      <c r="C477" s="3"/>
      <c r="D477" s="3"/>
      <c r="E477" s="3"/>
      <c r="F477" s="3"/>
      <c r="G477" s="3"/>
      <c r="L477" s="3"/>
      <c r="N477" s="3"/>
    </row>
    <row r="478" spans="1:14" x14ac:dyDescent="0.2">
      <c r="A478" s="3"/>
      <c r="B478" s="3"/>
      <c r="C478" s="3"/>
      <c r="D478" s="3"/>
      <c r="E478" s="3"/>
      <c r="F478" s="3"/>
      <c r="G478" s="3"/>
      <c r="L478" s="3"/>
      <c r="N478" s="3"/>
    </row>
    <row r="479" spans="1:14" x14ac:dyDescent="0.2">
      <c r="A479" s="3"/>
      <c r="B479" s="3"/>
      <c r="C479" s="3"/>
      <c r="D479" s="3"/>
      <c r="E479" s="3"/>
      <c r="F479" s="3"/>
      <c r="G479" s="3"/>
      <c r="L479" s="3"/>
      <c r="N479" s="3"/>
    </row>
    <row r="480" spans="1:14" x14ac:dyDescent="0.2">
      <c r="A480" s="3"/>
      <c r="B480" s="3"/>
      <c r="C480" s="3"/>
      <c r="D480" s="3"/>
      <c r="E480" s="3"/>
      <c r="F480" s="3"/>
      <c r="G480" s="3"/>
      <c r="L480" s="3"/>
      <c r="N480" s="3"/>
    </row>
    <row r="481" spans="1:14" x14ac:dyDescent="0.2">
      <c r="A481" s="3"/>
      <c r="B481" s="3"/>
      <c r="C481" s="3"/>
      <c r="D481" s="3"/>
      <c r="E481" s="3"/>
      <c r="F481" s="3"/>
      <c r="G481" s="3"/>
      <c r="L481" s="3"/>
      <c r="N481" s="3"/>
    </row>
    <row r="482" spans="1:14" x14ac:dyDescent="0.2">
      <c r="A482" s="3"/>
      <c r="B482" s="3"/>
      <c r="C482" s="3"/>
      <c r="D482" s="3"/>
      <c r="E482" s="3"/>
      <c r="F482" s="3"/>
      <c r="G482" s="3"/>
      <c r="L482" s="3"/>
      <c r="N482" s="3"/>
    </row>
    <row r="483" spans="1:14" x14ac:dyDescent="0.2">
      <c r="A483" s="3"/>
      <c r="B483" s="3"/>
      <c r="C483" s="3"/>
      <c r="D483" s="3"/>
      <c r="E483" s="3"/>
      <c r="F483" s="3"/>
      <c r="G483" s="3"/>
      <c r="L483" s="3"/>
      <c r="N483" s="3"/>
    </row>
    <row r="484" spans="1:14" x14ac:dyDescent="0.2">
      <c r="A484" s="3"/>
      <c r="B484" s="3"/>
      <c r="C484" s="3"/>
      <c r="D484" s="3"/>
      <c r="E484" s="3"/>
      <c r="F484" s="3"/>
      <c r="G484" s="3"/>
      <c r="L484" s="3"/>
      <c r="N484" s="3"/>
    </row>
    <row r="485" spans="1:14" x14ac:dyDescent="0.2">
      <c r="A485" s="3"/>
      <c r="B485" s="3"/>
      <c r="C485" s="3"/>
      <c r="D485" s="3"/>
      <c r="E485" s="3"/>
      <c r="F485" s="3"/>
      <c r="G485" s="3"/>
      <c r="L485" s="3"/>
      <c r="N485" s="3"/>
    </row>
    <row r="486" spans="1:14" x14ac:dyDescent="0.2">
      <c r="A486" s="3"/>
      <c r="B486" s="3"/>
      <c r="C486" s="3"/>
      <c r="D486" s="3"/>
      <c r="E486" s="3"/>
      <c r="F486" s="3"/>
      <c r="G486" s="3"/>
      <c r="L486" s="3"/>
      <c r="N486" s="3"/>
    </row>
    <row r="487" spans="1:14" x14ac:dyDescent="0.2">
      <c r="A487" s="3"/>
      <c r="B487" s="3"/>
      <c r="C487" s="3"/>
      <c r="D487" s="3"/>
      <c r="E487" s="3"/>
      <c r="F487" s="3"/>
      <c r="G487" s="3"/>
      <c r="L487" s="3"/>
      <c r="N487" s="3"/>
    </row>
    <row r="488" spans="1:14" x14ac:dyDescent="0.2">
      <c r="A488" s="3"/>
      <c r="B488" s="3"/>
      <c r="C488" s="3"/>
      <c r="D488" s="3"/>
      <c r="E488" s="3"/>
      <c r="F488" s="3"/>
      <c r="G488" s="3"/>
      <c r="L488" s="3"/>
      <c r="N488" s="3"/>
    </row>
    <row r="489" spans="1:14" x14ac:dyDescent="0.2">
      <c r="A489" s="3"/>
      <c r="B489" s="3"/>
      <c r="C489" s="3"/>
      <c r="D489" s="3"/>
      <c r="E489" s="3"/>
      <c r="F489" s="3"/>
      <c r="G489" s="3"/>
      <c r="L489" s="3"/>
      <c r="N489" s="3"/>
    </row>
    <row r="490" spans="1:14" x14ac:dyDescent="0.2">
      <c r="A490" s="3"/>
      <c r="B490" s="3"/>
      <c r="C490" s="3"/>
      <c r="D490" s="3"/>
      <c r="E490" s="3"/>
      <c r="F490" s="3"/>
      <c r="G490" s="3"/>
      <c r="L490" s="3"/>
      <c r="N490" s="3"/>
    </row>
    <row r="491" spans="1:14" x14ac:dyDescent="0.2">
      <c r="A491" s="3"/>
      <c r="B491" s="3"/>
      <c r="C491" s="3"/>
      <c r="D491" s="3"/>
      <c r="E491" s="3"/>
      <c r="F491" s="3"/>
      <c r="G491" s="3"/>
      <c r="L491" s="3"/>
      <c r="N491" s="3"/>
    </row>
    <row r="492" spans="1:14" x14ac:dyDescent="0.2">
      <c r="A492" s="3"/>
      <c r="B492" s="3"/>
      <c r="C492" s="3"/>
      <c r="D492" s="3"/>
      <c r="E492" s="3"/>
      <c r="F492" s="3"/>
      <c r="G492" s="3"/>
      <c r="L492" s="3"/>
      <c r="N492" s="3"/>
    </row>
    <row r="493" spans="1:14" x14ac:dyDescent="0.2">
      <c r="A493" s="3"/>
      <c r="B493" s="3"/>
      <c r="C493" s="3"/>
      <c r="D493" s="3"/>
      <c r="E493" s="3"/>
      <c r="F493" s="3"/>
      <c r="G493" s="3"/>
      <c r="L493" s="3"/>
      <c r="N493" s="3"/>
    </row>
    <row r="494" spans="1:14" x14ac:dyDescent="0.2">
      <c r="A494" s="3"/>
      <c r="B494" s="3"/>
      <c r="C494" s="3"/>
      <c r="D494" s="3"/>
      <c r="E494" s="3"/>
      <c r="F494" s="3"/>
      <c r="G494" s="3"/>
      <c r="L494" s="3"/>
      <c r="N494" s="3"/>
    </row>
    <row r="495" spans="1:14" x14ac:dyDescent="0.2">
      <c r="A495" s="3"/>
      <c r="B495" s="3"/>
      <c r="C495" s="3"/>
      <c r="D495" s="3"/>
      <c r="E495" s="3"/>
      <c r="F495" s="3"/>
      <c r="G495" s="3"/>
      <c r="L495" s="3"/>
      <c r="N495" s="3"/>
    </row>
    <row r="496" spans="1:14" x14ac:dyDescent="0.2">
      <c r="A496" s="3"/>
      <c r="B496" s="3"/>
      <c r="C496" s="3"/>
      <c r="D496" s="3"/>
      <c r="E496" s="3"/>
      <c r="F496" s="3"/>
      <c r="G496" s="3"/>
      <c r="L496" s="3"/>
      <c r="N496" s="3"/>
    </row>
    <row r="497" spans="1:14" x14ac:dyDescent="0.2">
      <c r="A497" s="3"/>
      <c r="B497" s="3"/>
      <c r="C497" s="3"/>
      <c r="D497" s="3"/>
      <c r="E497" s="3"/>
      <c r="F497" s="3"/>
      <c r="G497" s="3"/>
      <c r="L497" s="3"/>
      <c r="N497" s="3"/>
    </row>
    <row r="498" spans="1:14" x14ac:dyDescent="0.2">
      <c r="A498" s="3"/>
      <c r="B498" s="3"/>
      <c r="C498" s="3"/>
      <c r="D498" s="3"/>
      <c r="E498" s="3"/>
      <c r="F498" s="3"/>
      <c r="G498" s="3"/>
      <c r="L498" s="3"/>
      <c r="N498" s="3"/>
    </row>
  </sheetData>
  <mergeCells count="27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B3:B4"/>
    <mergeCell ref="A77:N77"/>
    <mergeCell ref="A83:N83"/>
    <mergeCell ref="A88:N88"/>
    <mergeCell ref="A93:N93"/>
    <mergeCell ref="A53:N53"/>
    <mergeCell ref="A66:N66"/>
    <mergeCell ref="A16:N16"/>
    <mergeCell ref="A19:N19"/>
    <mergeCell ref="A23:N23"/>
    <mergeCell ref="A26:N26"/>
    <mergeCell ref="A33:N33"/>
    <mergeCell ref="A41:N41"/>
    <mergeCell ref="A8:N8"/>
    <mergeCell ref="A11:N11"/>
    <mergeCell ref="A5:M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workbookViewId="0">
      <selection activeCell="B16" sqref="B16"/>
    </sheetView>
  </sheetViews>
  <sheetFormatPr defaultRowHeight="12.75" x14ac:dyDescent="0.2"/>
  <cols>
    <col min="1" max="1" width="26" style="4" bestFit="1" customWidth="1"/>
    <col min="2" max="2" width="13.85546875" style="4" customWidth="1"/>
    <col min="3" max="3" width="22.855468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27.5703125" style="4" bestFit="1" customWidth="1"/>
    <col min="8" max="10" width="5.5703125" style="3" bestFit="1" customWidth="1"/>
    <col min="11" max="11" width="4.85546875" style="3" bestFit="1" customWidth="1"/>
    <col min="12" max="12" width="10.7109375" style="4" customWidth="1"/>
    <col min="13" max="13" width="8.5703125" style="3" bestFit="1" customWidth="1"/>
    <col min="14" max="14" width="16.42578125" style="4" bestFit="1" customWidth="1"/>
    <col min="15" max="257" width="9.140625" style="3"/>
    <col min="258" max="258" width="26" style="3" bestFit="1" customWidth="1"/>
    <col min="259" max="259" width="22.855468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27.5703125" style="3" bestFit="1" customWidth="1"/>
    <col min="264" max="266" width="5.5703125" style="3" bestFit="1" customWidth="1"/>
    <col min="267" max="267" width="4.85546875" style="3" bestFit="1" customWidth="1"/>
    <col min="268" max="268" width="10.7109375" style="3" customWidth="1"/>
    <col min="269" max="269" width="8.5703125" style="3" bestFit="1" customWidth="1"/>
    <col min="270" max="270" width="16.42578125" style="3" bestFit="1" customWidth="1"/>
    <col min="271" max="513" width="9.140625" style="3"/>
    <col min="514" max="514" width="26" style="3" bestFit="1" customWidth="1"/>
    <col min="515" max="515" width="22.855468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27.5703125" style="3" bestFit="1" customWidth="1"/>
    <col min="520" max="522" width="5.5703125" style="3" bestFit="1" customWidth="1"/>
    <col min="523" max="523" width="4.85546875" style="3" bestFit="1" customWidth="1"/>
    <col min="524" max="524" width="10.7109375" style="3" customWidth="1"/>
    <col min="525" max="525" width="8.5703125" style="3" bestFit="1" customWidth="1"/>
    <col min="526" max="526" width="16.42578125" style="3" bestFit="1" customWidth="1"/>
    <col min="527" max="769" width="9.140625" style="3"/>
    <col min="770" max="770" width="26" style="3" bestFit="1" customWidth="1"/>
    <col min="771" max="771" width="22.855468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27.5703125" style="3" bestFit="1" customWidth="1"/>
    <col min="776" max="778" width="5.5703125" style="3" bestFit="1" customWidth="1"/>
    <col min="779" max="779" width="4.85546875" style="3" bestFit="1" customWidth="1"/>
    <col min="780" max="780" width="10.7109375" style="3" customWidth="1"/>
    <col min="781" max="781" width="8.5703125" style="3" bestFit="1" customWidth="1"/>
    <col min="782" max="782" width="16.42578125" style="3" bestFit="1" customWidth="1"/>
    <col min="783" max="1025" width="9.140625" style="3"/>
    <col min="1026" max="1026" width="26" style="3" bestFit="1" customWidth="1"/>
    <col min="1027" max="1027" width="22.855468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27.5703125" style="3" bestFit="1" customWidth="1"/>
    <col min="1032" max="1034" width="5.5703125" style="3" bestFit="1" customWidth="1"/>
    <col min="1035" max="1035" width="4.85546875" style="3" bestFit="1" customWidth="1"/>
    <col min="1036" max="1036" width="10.7109375" style="3" customWidth="1"/>
    <col min="1037" max="1037" width="8.5703125" style="3" bestFit="1" customWidth="1"/>
    <col min="1038" max="1038" width="16.42578125" style="3" bestFit="1" customWidth="1"/>
    <col min="1039" max="1281" width="9.140625" style="3"/>
    <col min="1282" max="1282" width="26" style="3" bestFit="1" customWidth="1"/>
    <col min="1283" max="1283" width="22.855468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27.5703125" style="3" bestFit="1" customWidth="1"/>
    <col min="1288" max="1290" width="5.5703125" style="3" bestFit="1" customWidth="1"/>
    <col min="1291" max="1291" width="4.85546875" style="3" bestFit="1" customWidth="1"/>
    <col min="1292" max="1292" width="10.7109375" style="3" customWidth="1"/>
    <col min="1293" max="1293" width="8.5703125" style="3" bestFit="1" customWidth="1"/>
    <col min="1294" max="1294" width="16.42578125" style="3" bestFit="1" customWidth="1"/>
    <col min="1295" max="1537" width="9.140625" style="3"/>
    <col min="1538" max="1538" width="26" style="3" bestFit="1" customWidth="1"/>
    <col min="1539" max="1539" width="22.855468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27.5703125" style="3" bestFit="1" customWidth="1"/>
    <col min="1544" max="1546" width="5.5703125" style="3" bestFit="1" customWidth="1"/>
    <col min="1547" max="1547" width="4.85546875" style="3" bestFit="1" customWidth="1"/>
    <col min="1548" max="1548" width="10.7109375" style="3" customWidth="1"/>
    <col min="1549" max="1549" width="8.5703125" style="3" bestFit="1" customWidth="1"/>
    <col min="1550" max="1550" width="16.42578125" style="3" bestFit="1" customWidth="1"/>
    <col min="1551" max="1793" width="9.140625" style="3"/>
    <col min="1794" max="1794" width="26" style="3" bestFit="1" customWidth="1"/>
    <col min="1795" max="1795" width="22.855468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27.5703125" style="3" bestFit="1" customWidth="1"/>
    <col min="1800" max="1802" width="5.5703125" style="3" bestFit="1" customWidth="1"/>
    <col min="1803" max="1803" width="4.85546875" style="3" bestFit="1" customWidth="1"/>
    <col min="1804" max="1804" width="10.7109375" style="3" customWidth="1"/>
    <col min="1805" max="1805" width="8.5703125" style="3" bestFit="1" customWidth="1"/>
    <col min="1806" max="1806" width="16.42578125" style="3" bestFit="1" customWidth="1"/>
    <col min="1807" max="2049" width="9.140625" style="3"/>
    <col min="2050" max="2050" width="26" style="3" bestFit="1" customWidth="1"/>
    <col min="2051" max="2051" width="22.855468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27.5703125" style="3" bestFit="1" customWidth="1"/>
    <col min="2056" max="2058" width="5.5703125" style="3" bestFit="1" customWidth="1"/>
    <col min="2059" max="2059" width="4.85546875" style="3" bestFit="1" customWidth="1"/>
    <col min="2060" max="2060" width="10.7109375" style="3" customWidth="1"/>
    <col min="2061" max="2061" width="8.5703125" style="3" bestFit="1" customWidth="1"/>
    <col min="2062" max="2062" width="16.42578125" style="3" bestFit="1" customWidth="1"/>
    <col min="2063" max="2305" width="9.140625" style="3"/>
    <col min="2306" max="2306" width="26" style="3" bestFit="1" customWidth="1"/>
    <col min="2307" max="2307" width="22.855468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27.5703125" style="3" bestFit="1" customWidth="1"/>
    <col min="2312" max="2314" width="5.5703125" style="3" bestFit="1" customWidth="1"/>
    <col min="2315" max="2315" width="4.85546875" style="3" bestFit="1" customWidth="1"/>
    <col min="2316" max="2316" width="10.7109375" style="3" customWidth="1"/>
    <col min="2317" max="2317" width="8.5703125" style="3" bestFit="1" customWidth="1"/>
    <col min="2318" max="2318" width="16.42578125" style="3" bestFit="1" customWidth="1"/>
    <col min="2319" max="2561" width="9.140625" style="3"/>
    <col min="2562" max="2562" width="26" style="3" bestFit="1" customWidth="1"/>
    <col min="2563" max="2563" width="22.855468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27.5703125" style="3" bestFit="1" customWidth="1"/>
    <col min="2568" max="2570" width="5.5703125" style="3" bestFit="1" customWidth="1"/>
    <col min="2571" max="2571" width="4.85546875" style="3" bestFit="1" customWidth="1"/>
    <col min="2572" max="2572" width="10.7109375" style="3" customWidth="1"/>
    <col min="2573" max="2573" width="8.5703125" style="3" bestFit="1" customWidth="1"/>
    <col min="2574" max="2574" width="16.42578125" style="3" bestFit="1" customWidth="1"/>
    <col min="2575" max="2817" width="9.140625" style="3"/>
    <col min="2818" max="2818" width="26" style="3" bestFit="1" customWidth="1"/>
    <col min="2819" max="2819" width="22.855468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27.5703125" style="3" bestFit="1" customWidth="1"/>
    <col min="2824" max="2826" width="5.5703125" style="3" bestFit="1" customWidth="1"/>
    <col min="2827" max="2827" width="4.85546875" style="3" bestFit="1" customWidth="1"/>
    <col min="2828" max="2828" width="10.7109375" style="3" customWidth="1"/>
    <col min="2829" max="2829" width="8.5703125" style="3" bestFit="1" customWidth="1"/>
    <col min="2830" max="2830" width="16.42578125" style="3" bestFit="1" customWidth="1"/>
    <col min="2831" max="3073" width="9.140625" style="3"/>
    <col min="3074" max="3074" width="26" style="3" bestFit="1" customWidth="1"/>
    <col min="3075" max="3075" width="22.855468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27.5703125" style="3" bestFit="1" customWidth="1"/>
    <col min="3080" max="3082" width="5.5703125" style="3" bestFit="1" customWidth="1"/>
    <col min="3083" max="3083" width="4.85546875" style="3" bestFit="1" customWidth="1"/>
    <col min="3084" max="3084" width="10.7109375" style="3" customWidth="1"/>
    <col min="3085" max="3085" width="8.5703125" style="3" bestFit="1" customWidth="1"/>
    <col min="3086" max="3086" width="16.42578125" style="3" bestFit="1" customWidth="1"/>
    <col min="3087" max="3329" width="9.140625" style="3"/>
    <col min="3330" max="3330" width="26" style="3" bestFit="1" customWidth="1"/>
    <col min="3331" max="3331" width="22.855468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27.5703125" style="3" bestFit="1" customWidth="1"/>
    <col min="3336" max="3338" width="5.5703125" style="3" bestFit="1" customWidth="1"/>
    <col min="3339" max="3339" width="4.85546875" style="3" bestFit="1" customWidth="1"/>
    <col min="3340" max="3340" width="10.7109375" style="3" customWidth="1"/>
    <col min="3341" max="3341" width="8.5703125" style="3" bestFit="1" customWidth="1"/>
    <col min="3342" max="3342" width="16.42578125" style="3" bestFit="1" customWidth="1"/>
    <col min="3343" max="3585" width="9.140625" style="3"/>
    <col min="3586" max="3586" width="26" style="3" bestFit="1" customWidth="1"/>
    <col min="3587" max="3587" width="22.855468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27.5703125" style="3" bestFit="1" customWidth="1"/>
    <col min="3592" max="3594" width="5.5703125" style="3" bestFit="1" customWidth="1"/>
    <col min="3595" max="3595" width="4.85546875" style="3" bestFit="1" customWidth="1"/>
    <col min="3596" max="3596" width="10.7109375" style="3" customWidth="1"/>
    <col min="3597" max="3597" width="8.5703125" style="3" bestFit="1" customWidth="1"/>
    <col min="3598" max="3598" width="16.42578125" style="3" bestFit="1" customWidth="1"/>
    <col min="3599" max="3841" width="9.140625" style="3"/>
    <col min="3842" max="3842" width="26" style="3" bestFit="1" customWidth="1"/>
    <col min="3843" max="3843" width="22.855468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27.5703125" style="3" bestFit="1" customWidth="1"/>
    <col min="3848" max="3850" width="5.5703125" style="3" bestFit="1" customWidth="1"/>
    <col min="3851" max="3851" width="4.85546875" style="3" bestFit="1" customWidth="1"/>
    <col min="3852" max="3852" width="10.7109375" style="3" customWidth="1"/>
    <col min="3853" max="3853" width="8.5703125" style="3" bestFit="1" customWidth="1"/>
    <col min="3854" max="3854" width="16.42578125" style="3" bestFit="1" customWidth="1"/>
    <col min="3855" max="4097" width="9.140625" style="3"/>
    <col min="4098" max="4098" width="26" style="3" bestFit="1" customWidth="1"/>
    <col min="4099" max="4099" width="22.855468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27.5703125" style="3" bestFit="1" customWidth="1"/>
    <col min="4104" max="4106" width="5.5703125" style="3" bestFit="1" customWidth="1"/>
    <col min="4107" max="4107" width="4.85546875" style="3" bestFit="1" customWidth="1"/>
    <col min="4108" max="4108" width="10.7109375" style="3" customWidth="1"/>
    <col min="4109" max="4109" width="8.5703125" style="3" bestFit="1" customWidth="1"/>
    <col min="4110" max="4110" width="16.42578125" style="3" bestFit="1" customWidth="1"/>
    <col min="4111" max="4353" width="9.140625" style="3"/>
    <col min="4354" max="4354" width="26" style="3" bestFit="1" customWidth="1"/>
    <col min="4355" max="4355" width="22.855468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27.5703125" style="3" bestFit="1" customWidth="1"/>
    <col min="4360" max="4362" width="5.5703125" style="3" bestFit="1" customWidth="1"/>
    <col min="4363" max="4363" width="4.85546875" style="3" bestFit="1" customWidth="1"/>
    <col min="4364" max="4364" width="10.7109375" style="3" customWidth="1"/>
    <col min="4365" max="4365" width="8.5703125" style="3" bestFit="1" customWidth="1"/>
    <col min="4366" max="4366" width="16.42578125" style="3" bestFit="1" customWidth="1"/>
    <col min="4367" max="4609" width="9.140625" style="3"/>
    <col min="4610" max="4610" width="26" style="3" bestFit="1" customWidth="1"/>
    <col min="4611" max="4611" width="22.855468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27.5703125" style="3" bestFit="1" customWidth="1"/>
    <col min="4616" max="4618" width="5.5703125" style="3" bestFit="1" customWidth="1"/>
    <col min="4619" max="4619" width="4.85546875" style="3" bestFit="1" customWidth="1"/>
    <col min="4620" max="4620" width="10.7109375" style="3" customWidth="1"/>
    <col min="4621" max="4621" width="8.5703125" style="3" bestFit="1" customWidth="1"/>
    <col min="4622" max="4622" width="16.42578125" style="3" bestFit="1" customWidth="1"/>
    <col min="4623" max="4865" width="9.140625" style="3"/>
    <col min="4866" max="4866" width="26" style="3" bestFit="1" customWidth="1"/>
    <col min="4867" max="4867" width="22.855468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27.5703125" style="3" bestFit="1" customWidth="1"/>
    <col min="4872" max="4874" width="5.5703125" style="3" bestFit="1" customWidth="1"/>
    <col min="4875" max="4875" width="4.85546875" style="3" bestFit="1" customWidth="1"/>
    <col min="4876" max="4876" width="10.7109375" style="3" customWidth="1"/>
    <col min="4877" max="4877" width="8.5703125" style="3" bestFit="1" customWidth="1"/>
    <col min="4878" max="4878" width="16.42578125" style="3" bestFit="1" customWidth="1"/>
    <col min="4879" max="5121" width="9.140625" style="3"/>
    <col min="5122" max="5122" width="26" style="3" bestFit="1" customWidth="1"/>
    <col min="5123" max="5123" width="22.855468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27.5703125" style="3" bestFit="1" customWidth="1"/>
    <col min="5128" max="5130" width="5.5703125" style="3" bestFit="1" customWidth="1"/>
    <col min="5131" max="5131" width="4.85546875" style="3" bestFit="1" customWidth="1"/>
    <col min="5132" max="5132" width="10.7109375" style="3" customWidth="1"/>
    <col min="5133" max="5133" width="8.5703125" style="3" bestFit="1" customWidth="1"/>
    <col min="5134" max="5134" width="16.42578125" style="3" bestFit="1" customWidth="1"/>
    <col min="5135" max="5377" width="9.140625" style="3"/>
    <col min="5378" max="5378" width="26" style="3" bestFit="1" customWidth="1"/>
    <col min="5379" max="5379" width="22.855468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27.5703125" style="3" bestFit="1" customWidth="1"/>
    <col min="5384" max="5386" width="5.5703125" style="3" bestFit="1" customWidth="1"/>
    <col min="5387" max="5387" width="4.85546875" style="3" bestFit="1" customWidth="1"/>
    <col min="5388" max="5388" width="10.7109375" style="3" customWidth="1"/>
    <col min="5389" max="5389" width="8.5703125" style="3" bestFit="1" customWidth="1"/>
    <col min="5390" max="5390" width="16.42578125" style="3" bestFit="1" customWidth="1"/>
    <col min="5391" max="5633" width="9.140625" style="3"/>
    <col min="5634" max="5634" width="26" style="3" bestFit="1" customWidth="1"/>
    <col min="5635" max="5635" width="22.855468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27.5703125" style="3" bestFit="1" customWidth="1"/>
    <col min="5640" max="5642" width="5.5703125" style="3" bestFit="1" customWidth="1"/>
    <col min="5643" max="5643" width="4.85546875" style="3" bestFit="1" customWidth="1"/>
    <col min="5644" max="5644" width="10.7109375" style="3" customWidth="1"/>
    <col min="5645" max="5645" width="8.5703125" style="3" bestFit="1" customWidth="1"/>
    <col min="5646" max="5646" width="16.42578125" style="3" bestFit="1" customWidth="1"/>
    <col min="5647" max="5889" width="9.140625" style="3"/>
    <col min="5890" max="5890" width="26" style="3" bestFit="1" customWidth="1"/>
    <col min="5891" max="5891" width="22.855468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27.5703125" style="3" bestFit="1" customWidth="1"/>
    <col min="5896" max="5898" width="5.5703125" style="3" bestFit="1" customWidth="1"/>
    <col min="5899" max="5899" width="4.85546875" style="3" bestFit="1" customWidth="1"/>
    <col min="5900" max="5900" width="10.7109375" style="3" customWidth="1"/>
    <col min="5901" max="5901" width="8.5703125" style="3" bestFit="1" customWidth="1"/>
    <col min="5902" max="5902" width="16.42578125" style="3" bestFit="1" customWidth="1"/>
    <col min="5903" max="6145" width="9.140625" style="3"/>
    <col min="6146" max="6146" width="26" style="3" bestFit="1" customWidth="1"/>
    <col min="6147" max="6147" width="22.855468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27.5703125" style="3" bestFit="1" customWidth="1"/>
    <col min="6152" max="6154" width="5.5703125" style="3" bestFit="1" customWidth="1"/>
    <col min="6155" max="6155" width="4.85546875" style="3" bestFit="1" customWidth="1"/>
    <col min="6156" max="6156" width="10.7109375" style="3" customWidth="1"/>
    <col min="6157" max="6157" width="8.5703125" style="3" bestFit="1" customWidth="1"/>
    <col min="6158" max="6158" width="16.42578125" style="3" bestFit="1" customWidth="1"/>
    <col min="6159" max="6401" width="9.140625" style="3"/>
    <col min="6402" max="6402" width="26" style="3" bestFit="1" customWidth="1"/>
    <col min="6403" max="6403" width="22.855468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27.5703125" style="3" bestFit="1" customWidth="1"/>
    <col min="6408" max="6410" width="5.5703125" style="3" bestFit="1" customWidth="1"/>
    <col min="6411" max="6411" width="4.85546875" style="3" bestFit="1" customWidth="1"/>
    <col min="6412" max="6412" width="10.7109375" style="3" customWidth="1"/>
    <col min="6413" max="6413" width="8.5703125" style="3" bestFit="1" customWidth="1"/>
    <col min="6414" max="6414" width="16.42578125" style="3" bestFit="1" customWidth="1"/>
    <col min="6415" max="6657" width="9.140625" style="3"/>
    <col min="6658" max="6658" width="26" style="3" bestFit="1" customWidth="1"/>
    <col min="6659" max="6659" width="22.855468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27.5703125" style="3" bestFit="1" customWidth="1"/>
    <col min="6664" max="6666" width="5.5703125" style="3" bestFit="1" customWidth="1"/>
    <col min="6667" max="6667" width="4.85546875" style="3" bestFit="1" customWidth="1"/>
    <col min="6668" max="6668" width="10.7109375" style="3" customWidth="1"/>
    <col min="6669" max="6669" width="8.5703125" style="3" bestFit="1" customWidth="1"/>
    <col min="6670" max="6670" width="16.42578125" style="3" bestFit="1" customWidth="1"/>
    <col min="6671" max="6913" width="9.140625" style="3"/>
    <col min="6914" max="6914" width="26" style="3" bestFit="1" customWidth="1"/>
    <col min="6915" max="6915" width="22.855468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27.5703125" style="3" bestFit="1" customWidth="1"/>
    <col min="6920" max="6922" width="5.5703125" style="3" bestFit="1" customWidth="1"/>
    <col min="6923" max="6923" width="4.85546875" style="3" bestFit="1" customWidth="1"/>
    <col min="6924" max="6924" width="10.7109375" style="3" customWidth="1"/>
    <col min="6925" max="6925" width="8.5703125" style="3" bestFit="1" customWidth="1"/>
    <col min="6926" max="6926" width="16.42578125" style="3" bestFit="1" customWidth="1"/>
    <col min="6927" max="7169" width="9.140625" style="3"/>
    <col min="7170" max="7170" width="26" style="3" bestFit="1" customWidth="1"/>
    <col min="7171" max="7171" width="22.855468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27.5703125" style="3" bestFit="1" customWidth="1"/>
    <col min="7176" max="7178" width="5.5703125" style="3" bestFit="1" customWidth="1"/>
    <col min="7179" max="7179" width="4.85546875" style="3" bestFit="1" customWidth="1"/>
    <col min="7180" max="7180" width="10.7109375" style="3" customWidth="1"/>
    <col min="7181" max="7181" width="8.5703125" style="3" bestFit="1" customWidth="1"/>
    <col min="7182" max="7182" width="16.42578125" style="3" bestFit="1" customWidth="1"/>
    <col min="7183" max="7425" width="9.140625" style="3"/>
    <col min="7426" max="7426" width="26" style="3" bestFit="1" customWidth="1"/>
    <col min="7427" max="7427" width="22.855468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27.5703125" style="3" bestFit="1" customWidth="1"/>
    <col min="7432" max="7434" width="5.5703125" style="3" bestFit="1" customWidth="1"/>
    <col min="7435" max="7435" width="4.85546875" style="3" bestFit="1" customWidth="1"/>
    <col min="7436" max="7436" width="10.7109375" style="3" customWidth="1"/>
    <col min="7437" max="7437" width="8.5703125" style="3" bestFit="1" customWidth="1"/>
    <col min="7438" max="7438" width="16.42578125" style="3" bestFit="1" customWidth="1"/>
    <col min="7439" max="7681" width="9.140625" style="3"/>
    <col min="7682" max="7682" width="26" style="3" bestFit="1" customWidth="1"/>
    <col min="7683" max="7683" width="22.855468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27.5703125" style="3" bestFit="1" customWidth="1"/>
    <col min="7688" max="7690" width="5.5703125" style="3" bestFit="1" customWidth="1"/>
    <col min="7691" max="7691" width="4.85546875" style="3" bestFit="1" customWidth="1"/>
    <col min="7692" max="7692" width="10.7109375" style="3" customWidth="1"/>
    <col min="7693" max="7693" width="8.5703125" style="3" bestFit="1" customWidth="1"/>
    <col min="7694" max="7694" width="16.42578125" style="3" bestFit="1" customWidth="1"/>
    <col min="7695" max="7937" width="9.140625" style="3"/>
    <col min="7938" max="7938" width="26" style="3" bestFit="1" customWidth="1"/>
    <col min="7939" max="7939" width="22.855468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27.5703125" style="3" bestFit="1" customWidth="1"/>
    <col min="7944" max="7946" width="5.5703125" style="3" bestFit="1" customWidth="1"/>
    <col min="7947" max="7947" width="4.85546875" style="3" bestFit="1" customWidth="1"/>
    <col min="7948" max="7948" width="10.7109375" style="3" customWidth="1"/>
    <col min="7949" max="7949" width="8.5703125" style="3" bestFit="1" customWidth="1"/>
    <col min="7950" max="7950" width="16.42578125" style="3" bestFit="1" customWidth="1"/>
    <col min="7951" max="8193" width="9.140625" style="3"/>
    <col min="8194" max="8194" width="26" style="3" bestFit="1" customWidth="1"/>
    <col min="8195" max="8195" width="22.855468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27.5703125" style="3" bestFit="1" customWidth="1"/>
    <col min="8200" max="8202" width="5.5703125" style="3" bestFit="1" customWidth="1"/>
    <col min="8203" max="8203" width="4.85546875" style="3" bestFit="1" customWidth="1"/>
    <col min="8204" max="8204" width="10.7109375" style="3" customWidth="1"/>
    <col min="8205" max="8205" width="8.5703125" style="3" bestFit="1" customWidth="1"/>
    <col min="8206" max="8206" width="16.42578125" style="3" bestFit="1" customWidth="1"/>
    <col min="8207" max="8449" width="9.140625" style="3"/>
    <col min="8450" max="8450" width="26" style="3" bestFit="1" customWidth="1"/>
    <col min="8451" max="8451" width="22.855468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27.5703125" style="3" bestFit="1" customWidth="1"/>
    <col min="8456" max="8458" width="5.5703125" style="3" bestFit="1" customWidth="1"/>
    <col min="8459" max="8459" width="4.85546875" style="3" bestFit="1" customWidth="1"/>
    <col min="8460" max="8460" width="10.7109375" style="3" customWidth="1"/>
    <col min="8461" max="8461" width="8.5703125" style="3" bestFit="1" customWidth="1"/>
    <col min="8462" max="8462" width="16.42578125" style="3" bestFit="1" customWidth="1"/>
    <col min="8463" max="8705" width="9.140625" style="3"/>
    <col min="8706" max="8706" width="26" style="3" bestFit="1" customWidth="1"/>
    <col min="8707" max="8707" width="22.855468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27.5703125" style="3" bestFit="1" customWidth="1"/>
    <col min="8712" max="8714" width="5.5703125" style="3" bestFit="1" customWidth="1"/>
    <col min="8715" max="8715" width="4.85546875" style="3" bestFit="1" customWidth="1"/>
    <col min="8716" max="8716" width="10.7109375" style="3" customWidth="1"/>
    <col min="8717" max="8717" width="8.5703125" style="3" bestFit="1" customWidth="1"/>
    <col min="8718" max="8718" width="16.42578125" style="3" bestFit="1" customWidth="1"/>
    <col min="8719" max="8961" width="9.140625" style="3"/>
    <col min="8962" max="8962" width="26" style="3" bestFit="1" customWidth="1"/>
    <col min="8963" max="8963" width="22.855468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27.5703125" style="3" bestFit="1" customWidth="1"/>
    <col min="8968" max="8970" width="5.5703125" style="3" bestFit="1" customWidth="1"/>
    <col min="8971" max="8971" width="4.85546875" style="3" bestFit="1" customWidth="1"/>
    <col min="8972" max="8972" width="10.7109375" style="3" customWidth="1"/>
    <col min="8973" max="8973" width="8.5703125" style="3" bestFit="1" customWidth="1"/>
    <col min="8974" max="8974" width="16.42578125" style="3" bestFit="1" customWidth="1"/>
    <col min="8975" max="9217" width="9.140625" style="3"/>
    <col min="9218" max="9218" width="26" style="3" bestFit="1" customWidth="1"/>
    <col min="9219" max="9219" width="22.855468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27.5703125" style="3" bestFit="1" customWidth="1"/>
    <col min="9224" max="9226" width="5.5703125" style="3" bestFit="1" customWidth="1"/>
    <col min="9227" max="9227" width="4.85546875" style="3" bestFit="1" customWidth="1"/>
    <col min="9228" max="9228" width="10.7109375" style="3" customWidth="1"/>
    <col min="9229" max="9229" width="8.5703125" style="3" bestFit="1" customWidth="1"/>
    <col min="9230" max="9230" width="16.42578125" style="3" bestFit="1" customWidth="1"/>
    <col min="9231" max="9473" width="9.140625" style="3"/>
    <col min="9474" max="9474" width="26" style="3" bestFit="1" customWidth="1"/>
    <col min="9475" max="9475" width="22.855468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27.5703125" style="3" bestFit="1" customWidth="1"/>
    <col min="9480" max="9482" width="5.5703125" style="3" bestFit="1" customWidth="1"/>
    <col min="9483" max="9483" width="4.85546875" style="3" bestFit="1" customWidth="1"/>
    <col min="9484" max="9484" width="10.7109375" style="3" customWidth="1"/>
    <col min="9485" max="9485" width="8.5703125" style="3" bestFit="1" customWidth="1"/>
    <col min="9486" max="9486" width="16.42578125" style="3" bestFit="1" customWidth="1"/>
    <col min="9487" max="9729" width="9.140625" style="3"/>
    <col min="9730" max="9730" width="26" style="3" bestFit="1" customWidth="1"/>
    <col min="9731" max="9731" width="22.855468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27.5703125" style="3" bestFit="1" customWidth="1"/>
    <col min="9736" max="9738" width="5.5703125" style="3" bestFit="1" customWidth="1"/>
    <col min="9739" max="9739" width="4.85546875" style="3" bestFit="1" customWidth="1"/>
    <col min="9740" max="9740" width="10.7109375" style="3" customWidth="1"/>
    <col min="9741" max="9741" width="8.5703125" style="3" bestFit="1" customWidth="1"/>
    <col min="9742" max="9742" width="16.42578125" style="3" bestFit="1" customWidth="1"/>
    <col min="9743" max="9985" width="9.140625" style="3"/>
    <col min="9986" max="9986" width="26" style="3" bestFit="1" customWidth="1"/>
    <col min="9987" max="9987" width="22.855468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27.5703125" style="3" bestFit="1" customWidth="1"/>
    <col min="9992" max="9994" width="5.5703125" style="3" bestFit="1" customWidth="1"/>
    <col min="9995" max="9995" width="4.85546875" style="3" bestFit="1" customWidth="1"/>
    <col min="9996" max="9996" width="10.7109375" style="3" customWidth="1"/>
    <col min="9997" max="9997" width="8.5703125" style="3" bestFit="1" customWidth="1"/>
    <col min="9998" max="9998" width="16.42578125" style="3" bestFit="1" customWidth="1"/>
    <col min="9999" max="10241" width="9.140625" style="3"/>
    <col min="10242" max="10242" width="26" style="3" bestFit="1" customWidth="1"/>
    <col min="10243" max="10243" width="22.855468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27.5703125" style="3" bestFit="1" customWidth="1"/>
    <col min="10248" max="10250" width="5.5703125" style="3" bestFit="1" customWidth="1"/>
    <col min="10251" max="10251" width="4.85546875" style="3" bestFit="1" customWidth="1"/>
    <col min="10252" max="10252" width="10.7109375" style="3" customWidth="1"/>
    <col min="10253" max="10253" width="8.5703125" style="3" bestFit="1" customWidth="1"/>
    <col min="10254" max="10254" width="16.42578125" style="3" bestFit="1" customWidth="1"/>
    <col min="10255" max="10497" width="9.140625" style="3"/>
    <col min="10498" max="10498" width="26" style="3" bestFit="1" customWidth="1"/>
    <col min="10499" max="10499" width="22.855468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27.5703125" style="3" bestFit="1" customWidth="1"/>
    <col min="10504" max="10506" width="5.5703125" style="3" bestFit="1" customWidth="1"/>
    <col min="10507" max="10507" width="4.85546875" style="3" bestFit="1" customWidth="1"/>
    <col min="10508" max="10508" width="10.7109375" style="3" customWidth="1"/>
    <col min="10509" max="10509" width="8.5703125" style="3" bestFit="1" customWidth="1"/>
    <col min="10510" max="10510" width="16.42578125" style="3" bestFit="1" customWidth="1"/>
    <col min="10511" max="10753" width="9.140625" style="3"/>
    <col min="10754" max="10754" width="26" style="3" bestFit="1" customWidth="1"/>
    <col min="10755" max="10755" width="22.855468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27.5703125" style="3" bestFit="1" customWidth="1"/>
    <col min="10760" max="10762" width="5.5703125" style="3" bestFit="1" customWidth="1"/>
    <col min="10763" max="10763" width="4.85546875" style="3" bestFit="1" customWidth="1"/>
    <col min="10764" max="10764" width="10.7109375" style="3" customWidth="1"/>
    <col min="10765" max="10765" width="8.5703125" style="3" bestFit="1" customWidth="1"/>
    <col min="10766" max="10766" width="16.42578125" style="3" bestFit="1" customWidth="1"/>
    <col min="10767" max="11009" width="9.140625" style="3"/>
    <col min="11010" max="11010" width="26" style="3" bestFit="1" customWidth="1"/>
    <col min="11011" max="11011" width="22.855468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27.5703125" style="3" bestFit="1" customWidth="1"/>
    <col min="11016" max="11018" width="5.5703125" style="3" bestFit="1" customWidth="1"/>
    <col min="11019" max="11019" width="4.85546875" style="3" bestFit="1" customWidth="1"/>
    <col min="11020" max="11020" width="10.7109375" style="3" customWidth="1"/>
    <col min="11021" max="11021" width="8.5703125" style="3" bestFit="1" customWidth="1"/>
    <col min="11022" max="11022" width="16.42578125" style="3" bestFit="1" customWidth="1"/>
    <col min="11023" max="11265" width="9.140625" style="3"/>
    <col min="11266" max="11266" width="26" style="3" bestFit="1" customWidth="1"/>
    <col min="11267" max="11267" width="22.855468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27.5703125" style="3" bestFit="1" customWidth="1"/>
    <col min="11272" max="11274" width="5.5703125" style="3" bestFit="1" customWidth="1"/>
    <col min="11275" max="11275" width="4.85546875" style="3" bestFit="1" customWidth="1"/>
    <col min="11276" max="11276" width="10.7109375" style="3" customWidth="1"/>
    <col min="11277" max="11277" width="8.5703125" style="3" bestFit="1" customWidth="1"/>
    <col min="11278" max="11278" width="16.42578125" style="3" bestFit="1" customWidth="1"/>
    <col min="11279" max="11521" width="9.140625" style="3"/>
    <col min="11522" max="11522" width="26" style="3" bestFit="1" customWidth="1"/>
    <col min="11523" max="11523" width="22.855468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27.5703125" style="3" bestFit="1" customWidth="1"/>
    <col min="11528" max="11530" width="5.5703125" style="3" bestFit="1" customWidth="1"/>
    <col min="11531" max="11531" width="4.85546875" style="3" bestFit="1" customWidth="1"/>
    <col min="11532" max="11532" width="10.7109375" style="3" customWidth="1"/>
    <col min="11533" max="11533" width="8.5703125" style="3" bestFit="1" customWidth="1"/>
    <col min="11534" max="11534" width="16.42578125" style="3" bestFit="1" customWidth="1"/>
    <col min="11535" max="11777" width="9.140625" style="3"/>
    <col min="11778" max="11778" width="26" style="3" bestFit="1" customWidth="1"/>
    <col min="11779" max="11779" width="22.855468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27.5703125" style="3" bestFit="1" customWidth="1"/>
    <col min="11784" max="11786" width="5.5703125" style="3" bestFit="1" customWidth="1"/>
    <col min="11787" max="11787" width="4.85546875" style="3" bestFit="1" customWidth="1"/>
    <col min="11788" max="11788" width="10.7109375" style="3" customWidth="1"/>
    <col min="11789" max="11789" width="8.5703125" style="3" bestFit="1" customWidth="1"/>
    <col min="11790" max="11790" width="16.42578125" style="3" bestFit="1" customWidth="1"/>
    <col min="11791" max="12033" width="9.140625" style="3"/>
    <col min="12034" max="12034" width="26" style="3" bestFit="1" customWidth="1"/>
    <col min="12035" max="12035" width="22.855468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27.5703125" style="3" bestFit="1" customWidth="1"/>
    <col min="12040" max="12042" width="5.5703125" style="3" bestFit="1" customWidth="1"/>
    <col min="12043" max="12043" width="4.85546875" style="3" bestFit="1" customWidth="1"/>
    <col min="12044" max="12044" width="10.7109375" style="3" customWidth="1"/>
    <col min="12045" max="12045" width="8.5703125" style="3" bestFit="1" customWidth="1"/>
    <col min="12046" max="12046" width="16.42578125" style="3" bestFit="1" customWidth="1"/>
    <col min="12047" max="12289" width="9.140625" style="3"/>
    <col min="12290" max="12290" width="26" style="3" bestFit="1" customWidth="1"/>
    <col min="12291" max="12291" width="22.855468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27.5703125" style="3" bestFit="1" customWidth="1"/>
    <col min="12296" max="12298" width="5.5703125" style="3" bestFit="1" customWidth="1"/>
    <col min="12299" max="12299" width="4.85546875" style="3" bestFit="1" customWidth="1"/>
    <col min="12300" max="12300" width="10.7109375" style="3" customWidth="1"/>
    <col min="12301" max="12301" width="8.5703125" style="3" bestFit="1" customWidth="1"/>
    <col min="12302" max="12302" width="16.42578125" style="3" bestFit="1" customWidth="1"/>
    <col min="12303" max="12545" width="9.140625" style="3"/>
    <col min="12546" max="12546" width="26" style="3" bestFit="1" customWidth="1"/>
    <col min="12547" max="12547" width="22.855468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27.5703125" style="3" bestFit="1" customWidth="1"/>
    <col min="12552" max="12554" width="5.5703125" style="3" bestFit="1" customWidth="1"/>
    <col min="12555" max="12555" width="4.85546875" style="3" bestFit="1" customWidth="1"/>
    <col min="12556" max="12556" width="10.7109375" style="3" customWidth="1"/>
    <col min="12557" max="12557" width="8.5703125" style="3" bestFit="1" customWidth="1"/>
    <col min="12558" max="12558" width="16.42578125" style="3" bestFit="1" customWidth="1"/>
    <col min="12559" max="12801" width="9.140625" style="3"/>
    <col min="12802" max="12802" width="26" style="3" bestFit="1" customWidth="1"/>
    <col min="12803" max="12803" width="22.855468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27.5703125" style="3" bestFit="1" customWidth="1"/>
    <col min="12808" max="12810" width="5.5703125" style="3" bestFit="1" customWidth="1"/>
    <col min="12811" max="12811" width="4.85546875" style="3" bestFit="1" customWidth="1"/>
    <col min="12812" max="12812" width="10.7109375" style="3" customWidth="1"/>
    <col min="12813" max="12813" width="8.5703125" style="3" bestFit="1" customWidth="1"/>
    <col min="12814" max="12814" width="16.42578125" style="3" bestFit="1" customWidth="1"/>
    <col min="12815" max="13057" width="9.140625" style="3"/>
    <col min="13058" max="13058" width="26" style="3" bestFit="1" customWidth="1"/>
    <col min="13059" max="13059" width="22.855468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27.5703125" style="3" bestFit="1" customWidth="1"/>
    <col min="13064" max="13066" width="5.5703125" style="3" bestFit="1" customWidth="1"/>
    <col min="13067" max="13067" width="4.85546875" style="3" bestFit="1" customWidth="1"/>
    <col min="13068" max="13068" width="10.7109375" style="3" customWidth="1"/>
    <col min="13069" max="13069" width="8.5703125" style="3" bestFit="1" customWidth="1"/>
    <col min="13070" max="13070" width="16.42578125" style="3" bestFit="1" customWidth="1"/>
    <col min="13071" max="13313" width="9.140625" style="3"/>
    <col min="13314" max="13314" width="26" style="3" bestFit="1" customWidth="1"/>
    <col min="13315" max="13315" width="22.855468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27.5703125" style="3" bestFit="1" customWidth="1"/>
    <col min="13320" max="13322" width="5.5703125" style="3" bestFit="1" customWidth="1"/>
    <col min="13323" max="13323" width="4.85546875" style="3" bestFit="1" customWidth="1"/>
    <col min="13324" max="13324" width="10.7109375" style="3" customWidth="1"/>
    <col min="13325" max="13325" width="8.5703125" style="3" bestFit="1" customWidth="1"/>
    <col min="13326" max="13326" width="16.42578125" style="3" bestFit="1" customWidth="1"/>
    <col min="13327" max="13569" width="9.140625" style="3"/>
    <col min="13570" max="13570" width="26" style="3" bestFit="1" customWidth="1"/>
    <col min="13571" max="13571" width="22.855468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27.5703125" style="3" bestFit="1" customWidth="1"/>
    <col min="13576" max="13578" width="5.5703125" style="3" bestFit="1" customWidth="1"/>
    <col min="13579" max="13579" width="4.85546875" style="3" bestFit="1" customWidth="1"/>
    <col min="13580" max="13580" width="10.7109375" style="3" customWidth="1"/>
    <col min="13581" max="13581" width="8.5703125" style="3" bestFit="1" customWidth="1"/>
    <col min="13582" max="13582" width="16.42578125" style="3" bestFit="1" customWidth="1"/>
    <col min="13583" max="13825" width="9.140625" style="3"/>
    <col min="13826" max="13826" width="26" style="3" bestFit="1" customWidth="1"/>
    <col min="13827" max="13827" width="22.855468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27.5703125" style="3" bestFit="1" customWidth="1"/>
    <col min="13832" max="13834" width="5.5703125" style="3" bestFit="1" customWidth="1"/>
    <col min="13835" max="13835" width="4.85546875" style="3" bestFit="1" customWidth="1"/>
    <col min="13836" max="13836" width="10.7109375" style="3" customWidth="1"/>
    <col min="13837" max="13837" width="8.5703125" style="3" bestFit="1" customWidth="1"/>
    <col min="13838" max="13838" width="16.42578125" style="3" bestFit="1" customWidth="1"/>
    <col min="13839" max="14081" width="9.140625" style="3"/>
    <col min="14082" max="14082" width="26" style="3" bestFit="1" customWidth="1"/>
    <col min="14083" max="14083" width="22.855468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27.5703125" style="3" bestFit="1" customWidth="1"/>
    <col min="14088" max="14090" width="5.5703125" style="3" bestFit="1" customWidth="1"/>
    <col min="14091" max="14091" width="4.85546875" style="3" bestFit="1" customWidth="1"/>
    <col min="14092" max="14092" width="10.7109375" style="3" customWidth="1"/>
    <col min="14093" max="14093" width="8.5703125" style="3" bestFit="1" customWidth="1"/>
    <col min="14094" max="14094" width="16.42578125" style="3" bestFit="1" customWidth="1"/>
    <col min="14095" max="14337" width="9.140625" style="3"/>
    <col min="14338" max="14338" width="26" style="3" bestFit="1" customWidth="1"/>
    <col min="14339" max="14339" width="22.855468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27.5703125" style="3" bestFit="1" customWidth="1"/>
    <col min="14344" max="14346" width="5.5703125" style="3" bestFit="1" customWidth="1"/>
    <col min="14347" max="14347" width="4.85546875" style="3" bestFit="1" customWidth="1"/>
    <col min="14348" max="14348" width="10.7109375" style="3" customWidth="1"/>
    <col min="14349" max="14349" width="8.5703125" style="3" bestFit="1" customWidth="1"/>
    <col min="14350" max="14350" width="16.42578125" style="3" bestFit="1" customWidth="1"/>
    <col min="14351" max="14593" width="9.140625" style="3"/>
    <col min="14594" max="14594" width="26" style="3" bestFit="1" customWidth="1"/>
    <col min="14595" max="14595" width="22.855468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27.5703125" style="3" bestFit="1" customWidth="1"/>
    <col min="14600" max="14602" width="5.5703125" style="3" bestFit="1" customWidth="1"/>
    <col min="14603" max="14603" width="4.85546875" style="3" bestFit="1" customWidth="1"/>
    <col min="14604" max="14604" width="10.7109375" style="3" customWidth="1"/>
    <col min="14605" max="14605" width="8.5703125" style="3" bestFit="1" customWidth="1"/>
    <col min="14606" max="14606" width="16.42578125" style="3" bestFit="1" customWidth="1"/>
    <col min="14607" max="14849" width="9.140625" style="3"/>
    <col min="14850" max="14850" width="26" style="3" bestFit="1" customWidth="1"/>
    <col min="14851" max="14851" width="22.855468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27.5703125" style="3" bestFit="1" customWidth="1"/>
    <col min="14856" max="14858" width="5.5703125" style="3" bestFit="1" customWidth="1"/>
    <col min="14859" max="14859" width="4.85546875" style="3" bestFit="1" customWidth="1"/>
    <col min="14860" max="14860" width="10.7109375" style="3" customWidth="1"/>
    <col min="14861" max="14861" width="8.5703125" style="3" bestFit="1" customWidth="1"/>
    <col min="14862" max="14862" width="16.42578125" style="3" bestFit="1" customWidth="1"/>
    <col min="14863" max="15105" width="9.140625" style="3"/>
    <col min="15106" max="15106" width="26" style="3" bestFit="1" customWidth="1"/>
    <col min="15107" max="15107" width="22.855468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27.5703125" style="3" bestFit="1" customWidth="1"/>
    <col min="15112" max="15114" width="5.5703125" style="3" bestFit="1" customWidth="1"/>
    <col min="15115" max="15115" width="4.85546875" style="3" bestFit="1" customWidth="1"/>
    <col min="15116" max="15116" width="10.7109375" style="3" customWidth="1"/>
    <col min="15117" max="15117" width="8.5703125" style="3" bestFit="1" customWidth="1"/>
    <col min="15118" max="15118" width="16.42578125" style="3" bestFit="1" customWidth="1"/>
    <col min="15119" max="15361" width="9.140625" style="3"/>
    <col min="15362" max="15362" width="26" style="3" bestFit="1" customWidth="1"/>
    <col min="15363" max="15363" width="22.855468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27.5703125" style="3" bestFit="1" customWidth="1"/>
    <col min="15368" max="15370" width="5.5703125" style="3" bestFit="1" customWidth="1"/>
    <col min="15371" max="15371" width="4.85546875" style="3" bestFit="1" customWidth="1"/>
    <col min="15372" max="15372" width="10.7109375" style="3" customWidth="1"/>
    <col min="15373" max="15373" width="8.5703125" style="3" bestFit="1" customWidth="1"/>
    <col min="15374" max="15374" width="16.42578125" style="3" bestFit="1" customWidth="1"/>
    <col min="15375" max="15617" width="9.140625" style="3"/>
    <col min="15618" max="15618" width="26" style="3" bestFit="1" customWidth="1"/>
    <col min="15619" max="15619" width="22.855468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27.5703125" style="3" bestFit="1" customWidth="1"/>
    <col min="15624" max="15626" width="5.5703125" style="3" bestFit="1" customWidth="1"/>
    <col min="15627" max="15627" width="4.85546875" style="3" bestFit="1" customWidth="1"/>
    <col min="15628" max="15628" width="10.7109375" style="3" customWidth="1"/>
    <col min="15629" max="15629" width="8.5703125" style="3" bestFit="1" customWidth="1"/>
    <col min="15630" max="15630" width="16.42578125" style="3" bestFit="1" customWidth="1"/>
    <col min="15631" max="15873" width="9.140625" style="3"/>
    <col min="15874" max="15874" width="26" style="3" bestFit="1" customWidth="1"/>
    <col min="15875" max="15875" width="22.855468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27.5703125" style="3" bestFit="1" customWidth="1"/>
    <col min="15880" max="15882" width="5.5703125" style="3" bestFit="1" customWidth="1"/>
    <col min="15883" max="15883" width="4.85546875" style="3" bestFit="1" customWidth="1"/>
    <col min="15884" max="15884" width="10.7109375" style="3" customWidth="1"/>
    <col min="15885" max="15885" width="8.5703125" style="3" bestFit="1" customWidth="1"/>
    <col min="15886" max="15886" width="16.42578125" style="3" bestFit="1" customWidth="1"/>
    <col min="15887" max="16129" width="9.140625" style="3"/>
    <col min="16130" max="16130" width="26" style="3" bestFit="1" customWidth="1"/>
    <col min="16131" max="16131" width="22.855468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27.5703125" style="3" bestFit="1" customWidth="1"/>
    <col min="16136" max="16138" width="5.5703125" style="3" bestFit="1" customWidth="1"/>
    <col min="16139" max="16139" width="4.85546875" style="3" bestFit="1" customWidth="1"/>
    <col min="16140" max="16140" width="10.7109375" style="3" customWidth="1"/>
    <col min="16141" max="16141" width="8.5703125" style="3" bestFit="1" customWidth="1"/>
    <col min="16142" max="16142" width="16.42578125" style="3" bestFit="1" customWidth="1"/>
    <col min="16143" max="16384" width="9.140625" style="3"/>
  </cols>
  <sheetData>
    <row r="1" spans="1:14" s="2" customFormat="1" ht="29.1" customHeight="1" x14ac:dyDescent="0.2">
      <c r="A1" s="40" t="s">
        <v>981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61" t="s">
        <v>70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">
      <c r="A6" s="9" t="s">
        <v>982</v>
      </c>
      <c r="B6" s="9" t="s">
        <v>1443</v>
      </c>
      <c r="C6" s="9" t="s">
        <v>597</v>
      </c>
      <c r="D6" s="9" t="s">
        <v>983</v>
      </c>
      <c r="E6" s="9" t="str">
        <f>"0,6172"</f>
        <v>0,6172</v>
      </c>
      <c r="F6" s="9" t="s">
        <v>14</v>
      </c>
      <c r="G6" s="9" t="s">
        <v>93</v>
      </c>
      <c r="H6" s="10" t="s">
        <v>280</v>
      </c>
      <c r="I6" s="25" t="s">
        <v>413</v>
      </c>
      <c r="J6" s="25" t="s">
        <v>413</v>
      </c>
      <c r="K6" s="25"/>
      <c r="L6" s="9" t="str">
        <f>"200,0"</f>
        <v>200,0</v>
      </c>
      <c r="M6" s="10" t="str">
        <f>"123,4400"</f>
        <v>123,4400</v>
      </c>
      <c r="N6" s="9" t="s">
        <v>34</v>
      </c>
    </row>
    <row r="7" spans="1:14" x14ac:dyDescent="0.2">
      <c r="A7" s="11" t="s">
        <v>984</v>
      </c>
      <c r="B7" s="11" t="s">
        <v>1442</v>
      </c>
      <c r="C7" s="11" t="s">
        <v>985</v>
      </c>
      <c r="D7" s="11" t="s">
        <v>986</v>
      </c>
      <c r="E7" s="11" t="str">
        <f>"0,6211"</f>
        <v>0,6211</v>
      </c>
      <c r="F7" s="11" t="s">
        <v>65</v>
      </c>
      <c r="G7" s="11" t="s">
        <v>66</v>
      </c>
      <c r="H7" s="13" t="s">
        <v>269</v>
      </c>
      <c r="I7" s="13" t="s">
        <v>290</v>
      </c>
      <c r="J7" s="13" t="s">
        <v>382</v>
      </c>
      <c r="K7" s="12"/>
      <c r="L7" s="11" t="str">
        <f>"180,0"</f>
        <v>180,0</v>
      </c>
      <c r="M7" s="13" t="str">
        <f>"111,7980"</f>
        <v>111,7980</v>
      </c>
      <c r="N7" s="11" t="s">
        <v>987</v>
      </c>
    </row>
    <row r="8" spans="1:14" x14ac:dyDescent="0.2">
      <c r="A8" s="14" t="s">
        <v>988</v>
      </c>
      <c r="B8" s="14" t="s">
        <v>1436</v>
      </c>
      <c r="C8" s="14" t="s">
        <v>989</v>
      </c>
      <c r="D8" s="14" t="s">
        <v>78</v>
      </c>
      <c r="E8" s="14" t="str">
        <f>"0,6220"</f>
        <v>0,6220</v>
      </c>
      <c r="F8" s="14" t="s">
        <v>65</v>
      </c>
      <c r="G8" s="14" t="s">
        <v>66</v>
      </c>
      <c r="H8" s="15" t="s">
        <v>382</v>
      </c>
      <c r="I8" s="15" t="s">
        <v>382</v>
      </c>
      <c r="J8" s="15" t="s">
        <v>382</v>
      </c>
      <c r="K8" s="15"/>
      <c r="L8" s="14" t="str">
        <f>"0,0"</f>
        <v>0,0</v>
      </c>
      <c r="M8" s="16" t="str">
        <f>"0,0000"</f>
        <v>0,0000</v>
      </c>
      <c r="N8" s="14" t="s">
        <v>595</v>
      </c>
    </row>
    <row r="10" spans="1:14" ht="15" x14ac:dyDescent="0.2">
      <c r="F10" s="17" t="s">
        <v>96</v>
      </c>
    </row>
    <row r="11" spans="1:14" ht="15" x14ac:dyDescent="0.2">
      <c r="F11" s="17" t="s">
        <v>97</v>
      </c>
    </row>
    <row r="12" spans="1:14" ht="15" x14ac:dyDescent="0.2">
      <c r="F12" s="17" t="s">
        <v>98</v>
      </c>
    </row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3">
    <mergeCell ref="N3:N4"/>
    <mergeCell ref="A5:M5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B3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workbookViewId="0">
      <selection activeCell="A6" sqref="A6"/>
    </sheetView>
  </sheetViews>
  <sheetFormatPr defaultRowHeight="12.75" x14ac:dyDescent="0.2"/>
  <cols>
    <col min="1" max="1" width="26" style="4" bestFit="1" customWidth="1"/>
    <col min="2" max="2" width="12.7109375" style="4" customWidth="1"/>
    <col min="3" max="3" width="22.855468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16.7109375" style="4" bestFit="1" customWidth="1"/>
    <col min="8" max="10" width="5.5703125" style="3" bestFit="1" customWidth="1"/>
    <col min="11" max="11" width="4.85546875" style="3" bestFit="1" customWidth="1"/>
    <col min="12" max="12" width="11.28515625" style="4" customWidth="1"/>
    <col min="13" max="13" width="8.5703125" style="3" bestFit="1" customWidth="1"/>
    <col min="14" max="14" width="14.42578125" style="4" bestFit="1" customWidth="1"/>
    <col min="15" max="257" width="9.140625" style="3"/>
    <col min="258" max="258" width="26" style="3" bestFit="1" customWidth="1"/>
    <col min="259" max="259" width="22.855468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16.7109375" style="3" bestFit="1" customWidth="1"/>
    <col min="264" max="266" width="5.5703125" style="3" bestFit="1" customWidth="1"/>
    <col min="267" max="267" width="4.85546875" style="3" bestFit="1" customWidth="1"/>
    <col min="268" max="268" width="11.28515625" style="3" customWidth="1"/>
    <col min="269" max="269" width="8.5703125" style="3" bestFit="1" customWidth="1"/>
    <col min="270" max="270" width="14.42578125" style="3" bestFit="1" customWidth="1"/>
    <col min="271" max="513" width="9.140625" style="3"/>
    <col min="514" max="514" width="26" style="3" bestFit="1" customWidth="1"/>
    <col min="515" max="515" width="22.855468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16.7109375" style="3" bestFit="1" customWidth="1"/>
    <col min="520" max="522" width="5.5703125" style="3" bestFit="1" customWidth="1"/>
    <col min="523" max="523" width="4.85546875" style="3" bestFit="1" customWidth="1"/>
    <col min="524" max="524" width="11.28515625" style="3" customWidth="1"/>
    <col min="525" max="525" width="8.5703125" style="3" bestFit="1" customWidth="1"/>
    <col min="526" max="526" width="14.42578125" style="3" bestFit="1" customWidth="1"/>
    <col min="527" max="769" width="9.140625" style="3"/>
    <col min="770" max="770" width="26" style="3" bestFit="1" customWidth="1"/>
    <col min="771" max="771" width="22.855468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16.7109375" style="3" bestFit="1" customWidth="1"/>
    <col min="776" max="778" width="5.5703125" style="3" bestFit="1" customWidth="1"/>
    <col min="779" max="779" width="4.85546875" style="3" bestFit="1" customWidth="1"/>
    <col min="780" max="780" width="11.28515625" style="3" customWidth="1"/>
    <col min="781" max="781" width="8.5703125" style="3" bestFit="1" customWidth="1"/>
    <col min="782" max="782" width="14.42578125" style="3" bestFit="1" customWidth="1"/>
    <col min="783" max="1025" width="9.140625" style="3"/>
    <col min="1026" max="1026" width="26" style="3" bestFit="1" customWidth="1"/>
    <col min="1027" max="1027" width="22.855468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16.7109375" style="3" bestFit="1" customWidth="1"/>
    <col min="1032" max="1034" width="5.5703125" style="3" bestFit="1" customWidth="1"/>
    <col min="1035" max="1035" width="4.85546875" style="3" bestFit="1" customWidth="1"/>
    <col min="1036" max="1036" width="11.28515625" style="3" customWidth="1"/>
    <col min="1037" max="1037" width="8.5703125" style="3" bestFit="1" customWidth="1"/>
    <col min="1038" max="1038" width="14.42578125" style="3" bestFit="1" customWidth="1"/>
    <col min="1039" max="1281" width="9.140625" style="3"/>
    <col min="1282" max="1282" width="26" style="3" bestFit="1" customWidth="1"/>
    <col min="1283" max="1283" width="22.855468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16.7109375" style="3" bestFit="1" customWidth="1"/>
    <col min="1288" max="1290" width="5.5703125" style="3" bestFit="1" customWidth="1"/>
    <col min="1291" max="1291" width="4.85546875" style="3" bestFit="1" customWidth="1"/>
    <col min="1292" max="1292" width="11.28515625" style="3" customWidth="1"/>
    <col min="1293" max="1293" width="8.5703125" style="3" bestFit="1" customWidth="1"/>
    <col min="1294" max="1294" width="14.42578125" style="3" bestFit="1" customWidth="1"/>
    <col min="1295" max="1537" width="9.140625" style="3"/>
    <col min="1538" max="1538" width="26" style="3" bestFit="1" customWidth="1"/>
    <col min="1539" max="1539" width="22.855468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16.7109375" style="3" bestFit="1" customWidth="1"/>
    <col min="1544" max="1546" width="5.5703125" style="3" bestFit="1" customWidth="1"/>
    <col min="1547" max="1547" width="4.85546875" style="3" bestFit="1" customWidth="1"/>
    <col min="1548" max="1548" width="11.28515625" style="3" customWidth="1"/>
    <col min="1549" max="1549" width="8.5703125" style="3" bestFit="1" customWidth="1"/>
    <col min="1550" max="1550" width="14.42578125" style="3" bestFit="1" customWidth="1"/>
    <col min="1551" max="1793" width="9.140625" style="3"/>
    <col min="1794" max="1794" width="26" style="3" bestFit="1" customWidth="1"/>
    <col min="1795" max="1795" width="22.855468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16.7109375" style="3" bestFit="1" customWidth="1"/>
    <col min="1800" max="1802" width="5.5703125" style="3" bestFit="1" customWidth="1"/>
    <col min="1803" max="1803" width="4.85546875" style="3" bestFit="1" customWidth="1"/>
    <col min="1804" max="1804" width="11.28515625" style="3" customWidth="1"/>
    <col min="1805" max="1805" width="8.5703125" style="3" bestFit="1" customWidth="1"/>
    <col min="1806" max="1806" width="14.42578125" style="3" bestFit="1" customWidth="1"/>
    <col min="1807" max="2049" width="9.140625" style="3"/>
    <col min="2050" max="2050" width="26" style="3" bestFit="1" customWidth="1"/>
    <col min="2051" max="2051" width="22.855468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16.7109375" style="3" bestFit="1" customWidth="1"/>
    <col min="2056" max="2058" width="5.5703125" style="3" bestFit="1" customWidth="1"/>
    <col min="2059" max="2059" width="4.85546875" style="3" bestFit="1" customWidth="1"/>
    <col min="2060" max="2060" width="11.28515625" style="3" customWidth="1"/>
    <col min="2061" max="2061" width="8.5703125" style="3" bestFit="1" customWidth="1"/>
    <col min="2062" max="2062" width="14.42578125" style="3" bestFit="1" customWidth="1"/>
    <col min="2063" max="2305" width="9.140625" style="3"/>
    <col min="2306" max="2306" width="26" style="3" bestFit="1" customWidth="1"/>
    <col min="2307" max="2307" width="22.855468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16.7109375" style="3" bestFit="1" customWidth="1"/>
    <col min="2312" max="2314" width="5.5703125" style="3" bestFit="1" customWidth="1"/>
    <col min="2315" max="2315" width="4.85546875" style="3" bestFit="1" customWidth="1"/>
    <col min="2316" max="2316" width="11.28515625" style="3" customWidth="1"/>
    <col min="2317" max="2317" width="8.5703125" style="3" bestFit="1" customWidth="1"/>
    <col min="2318" max="2318" width="14.42578125" style="3" bestFit="1" customWidth="1"/>
    <col min="2319" max="2561" width="9.140625" style="3"/>
    <col min="2562" max="2562" width="26" style="3" bestFit="1" customWidth="1"/>
    <col min="2563" max="2563" width="22.855468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16.7109375" style="3" bestFit="1" customWidth="1"/>
    <col min="2568" max="2570" width="5.5703125" style="3" bestFit="1" customWidth="1"/>
    <col min="2571" max="2571" width="4.85546875" style="3" bestFit="1" customWidth="1"/>
    <col min="2572" max="2572" width="11.28515625" style="3" customWidth="1"/>
    <col min="2573" max="2573" width="8.5703125" style="3" bestFit="1" customWidth="1"/>
    <col min="2574" max="2574" width="14.42578125" style="3" bestFit="1" customWidth="1"/>
    <col min="2575" max="2817" width="9.140625" style="3"/>
    <col min="2818" max="2818" width="26" style="3" bestFit="1" customWidth="1"/>
    <col min="2819" max="2819" width="22.855468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16.7109375" style="3" bestFit="1" customWidth="1"/>
    <col min="2824" max="2826" width="5.5703125" style="3" bestFit="1" customWidth="1"/>
    <col min="2827" max="2827" width="4.85546875" style="3" bestFit="1" customWidth="1"/>
    <col min="2828" max="2828" width="11.28515625" style="3" customWidth="1"/>
    <col min="2829" max="2829" width="8.5703125" style="3" bestFit="1" customWidth="1"/>
    <col min="2830" max="2830" width="14.42578125" style="3" bestFit="1" customWidth="1"/>
    <col min="2831" max="3073" width="9.140625" style="3"/>
    <col min="3074" max="3074" width="26" style="3" bestFit="1" customWidth="1"/>
    <col min="3075" max="3075" width="22.855468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16.7109375" style="3" bestFit="1" customWidth="1"/>
    <col min="3080" max="3082" width="5.5703125" style="3" bestFit="1" customWidth="1"/>
    <col min="3083" max="3083" width="4.85546875" style="3" bestFit="1" customWidth="1"/>
    <col min="3084" max="3084" width="11.28515625" style="3" customWidth="1"/>
    <col min="3085" max="3085" width="8.5703125" style="3" bestFit="1" customWidth="1"/>
    <col min="3086" max="3086" width="14.42578125" style="3" bestFit="1" customWidth="1"/>
    <col min="3087" max="3329" width="9.140625" style="3"/>
    <col min="3330" max="3330" width="26" style="3" bestFit="1" customWidth="1"/>
    <col min="3331" max="3331" width="22.855468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16.7109375" style="3" bestFit="1" customWidth="1"/>
    <col min="3336" max="3338" width="5.5703125" style="3" bestFit="1" customWidth="1"/>
    <col min="3339" max="3339" width="4.85546875" style="3" bestFit="1" customWidth="1"/>
    <col min="3340" max="3340" width="11.28515625" style="3" customWidth="1"/>
    <col min="3341" max="3341" width="8.5703125" style="3" bestFit="1" customWidth="1"/>
    <col min="3342" max="3342" width="14.42578125" style="3" bestFit="1" customWidth="1"/>
    <col min="3343" max="3585" width="9.140625" style="3"/>
    <col min="3586" max="3586" width="26" style="3" bestFit="1" customWidth="1"/>
    <col min="3587" max="3587" width="22.855468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16.7109375" style="3" bestFit="1" customWidth="1"/>
    <col min="3592" max="3594" width="5.5703125" style="3" bestFit="1" customWidth="1"/>
    <col min="3595" max="3595" width="4.85546875" style="3" bestFit="1" customWidth="1"/>
    <col min="3596" max="3596" width="11.28515625" style="3" customWidth="1"/>
    <col min="3597" max="3597" width="8.5703125" style="3" bestFit="1" customWidth="1"/>
    <col min="3598" max="3598" width="14.42578125" style="3" bestFit="1" customWidth="1"/>
    <col min="3599" max="3841" width="9.140625" style="3"/>
    <col min="3842" max="3842" width="26" style="3" bestFit="1" customWidth="1"/>
    <col min="3843" max="3843" width="22.855468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16.7109375" style="3" bestFit="1" customWidth="1"/>
    <col min="3848" max="3850" width="5.5703125" style="3" bestFit="1" customWidth="1"/>
    <col min="3851" max="3851" width="4.85546875" style="3" bestFit="1" customWidth="1"/>
    <col min="3852" max="3852" width="11.28515625" style="3" customWidth="1"/>
    <col min="3853" max="3853" width="8.5703125" style="3" bestFit="1" customWidth="1"/>
    <col min="3854" max="3854" width="14.42578125" style="3" bestFit="1" customWidth="1"/>
    <col min="3855" max="4097" width="9.140625" style="3"/>
    <col min="4098" max="4098" width="26" style="3" bestFit="1" customWidth="1"/>
    <col min="4099" max="4099" width="22.855468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16.7109375" style="3" bestFit="1" customWidth="1"/>
    <col min="4104" max="4106" width="5.5703125" style="3" bestFit="1" customWidth="1"/>
    <col min="4107" max="4107" width="4.85546875" style="3" bestFit="1" customWidth="1"/>
    <col min="4108" max="4108" width="11.28515625" style="3" customWidth="1"/>
    <col min="4109" max="4109" width="8.5703125" style="3" bestFit="1" customWidth="1"/>
    <col min="4110" max="4110" width="14.42578125" style="3" bestFit="1" customWidth="1"/>
    <col min="4111" max="4353" width="9.140625" style="3"/>
    <col min="4354" max="4354" width="26" style="3" bestFit="1" customWidth="1"/>
    <col min="4355" max="4355" width="22.855468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16.7109375" style="3" bestFit="1" customWidth="1"/>
    <col min="4360" max="4362" width="5.5703125" style="3" bestFit="1" customWidth="1"/>
    <col min="4363" max="4363" width="4.85546875" style="3" bestFit="1" customWidth="1"/>
    <col min="4364" max="4364" width="11.28515625" style="3" customWidth="1"/>
    <col min="4365" max="4365" width="8.5703125" style="3" bestFit="1" customWidth="1"/>
    <col min="4366" max="4366" width="14.42578125" style="3" bestFit="1" customWidth="1"/>
    <col min="4367" max="4609" width="9.140625" style="3"/>
    <col min="4610" max="4610" width="26" style="3" bestFit="1" customWidth="1"/>
    <col min="4611" max="4611" width="22.855468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16.7109375" style="3" bestFit="1" customWidth="1"/>
    <col min="4616" max="4618" width="5.5703125" style="3" bestFit="1" customWidth="1"/>
    <col min="4619" max="4619" width="4.85546875" style="3" bestFit="1" customWidth="1"/>
    <col min="4620" max="4620" width="11.28515625" style="3" customWidth="1"/>
    <col min="4621" max="4621" width="8.5703125" style="3" bestFit="1" customWidth="1"/>
    <col min="4622" max="4622" width="14.42578125" style="3" bestFit="1" customWidth="1"/>
    <col min="4623" max="4865" width="9.140625" style="3"/>
    <col min="4866" max="4866" width="26" style="3" bestFit="1" customWidth="1"/>
    <col min="4867" max="4867" width="22.855468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16.7109375" style="3" bestFit="1" customWidth="1"/>
    <col min="4872" max="4874" width="5.5703125" style="3" bestFit="1" customWidth="1"/>
    <col min="4875" max="4875" width="4.85546875" style="3" bestFit="1" customWidth="1"/>
    <col min="4876" max="4876" width="11.28515625" style="3" customWidth="1"/>
    <col min="4877" max="4877" width="8.5703125" style="3" bestFit="1" customWidth="1"/>
    <col min="4878" max="4878" width="14.42578125" style="3" bestFit="1" customWidth="1"/>
    <col min="4879" max="5121" width="9.140625" style="3"/>
    <col min="5122" max="5122" width="26" style="3" bestFit="1" customWidth="1"/>
    <col min="5123" max="5123" width="22.855468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16.7109375" style="3" bestFit="1" customWidth="1"/>
    <col min="5128" max="5130" width="5.5703125" style="3" bestFit="1" customWidth="1"/>
    <col min="5131" max="5131" width="4.85546875" style="3" bestFit="1" customWidth="1"/>
    <col min="5132" max="5132" width="11.28515625" style="3" customWidth="1"/>
    <col min="5133" max="5133" width="8.5703125" style="3" bestFit="1" customWidth="1"/>
    <col min="5134" max="5134" width="14.42578125" style="3" bestFit="1" customWidth="1"/>
    <col min="5135" max="5377" width="9.140625" style="3"/>
    <col min="5378" max="5378" width="26" style="3" bestFit="1" customWidth="1"/>
    <col min="5379" max="5379" width="22.855468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16.7109375" style="3" bestFit="1" customWidth="1"/>
    <col min="5384" max="5386" width="5.5703125" style="3" bestFit="1" customWidth="1"/>
    <col min="5387" max="5387" width="4.85546875" style="3" bestFit="1" customWidth="1"/>
    <col min="5388" max="5388" width="11.28515625" style="3" customWidth="1"/>
    <col min="5389" max="5389" width="8.5703125" style="3" bestFit="1" customWidth="1"/>
    <col min="5390" max="5390" width="14.42578125" style="3" bestFit="1" customWidth="1"/>
    <col min="5391" max="5633" width="9.140625" style="3"/>
    <col min="5634" max="5634" width="26" style="3" bestFit="1" customWidth="1"/>
    <col min="5635" max="5635" width="22.855468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16.7109375" style="3" bestFit="1" customWidth="1"/>
    <col min="5640" max="5642" width="5.5703125" style="3" bestFit="1" customWidth="1"/>
    <col min="5643" max="5643" width="4.85546875" style="3" bestFit="1" customWidth="1"/>
    <col min="5644" max="5644" width="11.28515625" style="3" customWidth="1"/>
    <col min="5645" max="5645" width="8.5703125" style="3" bestFit="1" customWidth="1"/>
    <col min="5646" max="5646" width="14.42578125" style="3" bestFit="1" customWidth="1"/>
    <col min="5647" max="5889" width="9.140625" style="3"/>
    <col min="5890" max="5890" width="26" style="3" bestFit="1" customWidth="1"/>
    <col min="5891" max="5891" width="22.855468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16.7109375" style="3" bestFit="1" customWidth="1"/>
    <col min="5896" max="5898" width="5.5703125" style="3" bestFit="1" customWidth="1"/>
    <col min="5899" max="5899" width="4.85546875" style="3" bestFit="1" customWidth="1"/>
    <col min="5900" max="5900" width="11.28515625" style="3" customWidth="1"/>
    <col min="5901" max="5901" width="8.5703125" style="3" bestFit="1" customWidth="1"/>
    <col min="5902" max="5902" width="14.42578125" style="3" bestFit="1" customWidth="1"/>
    <col min="5903" max="6145" width="9.140625" style="3"/>
    <col min="6146" max="6146" width="26" style="3" bestFit="1" customWidth="1"/>
    <col min="6147" max="6147" width="22.855468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16.7109375" style="3" bestFit="1" customWidth="1"/>
    <col min="6152" max="6154" width="5.5703125" style="3" bestFit="1" customWidth="1"/>
    <col min="6155" max="6155" width="4.85546875" style="3" bestFit="1" customWidth="1"/>
    <col min="6156" max="6156" width="11.28515625" style="3" customWidth="1"/>
    <col min="6157" max="6157" width="8.5703125" style="3" bestFit="1" customWidth="1"/>
    <col min="6158" max="6158" width="14.42578125" style="3" bestFit="1" customWidth="1"/>
    <col min="6159" max="6401" width="9.140625" style="3"/>
    <col min="6402" max="6402" width="26" style="3" bestFit="1" customWidth="1"/>
    <col min="6403" max="6403" width="22.855468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16.7109375" style="3" bestFit="1" customWidth="1"/>
    <col min="6408" max="6410" width="5.5703125" style="3" bestFit="1" customWidth="1"/>
    <col min="6411" max="6411" width="4.85546875" style="3" bestFit="1" customWidth="1"/>
    <col min="6412" max="6412" width="11.28515625" style="3" customWidth="1"/>
    <col min="6413" max="6413" width="8.5703125" style="3" bestFit="1" customWidth="1"/>
    <col min="6414" max="6414" width="14.42578125" style="3" bestFit="1" customWidth="1"/>
    <col min="6415" max="6657" width="9.140625" style="3"/>
    <col min="6658" max="6658" width="26" style="3" bestFit="1" customWidth="1"/>
    <col min="6659" max="6659" width="22.855468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16.7109375" style="3" bestFit="1" customWidth="1"/>
    <col min="6664" max="6666" width="5.5703125" style="3" bestFit="1" customWidth="1"/>
    <col min="6667" max="6667" width="4.85546875" style="3" bestFit="1" customWidth="1"/>
    <col min="6668" max="6668" width="11.28515625" style="3" customWidth="1"/>
    <col min="6669" max="6669" width="8.5703125" style="3" bestFit="1" customWidth="1"/>
    <col min="6670" max="6670" width="14.42578125" style="3" bestFit="1" customWidth="1"/>
    <col min="6671" max="6913" width="9.140625" style="3"/>
    <col min="6914" max="6914" width="26" style="3" bestFit="1" customWidth="1"/>
    <col min="6915" max="6915" width="22.855468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16.7109375" style="3" bestFit="1" customWidth="1"/>
    <col min="6920" max="6922" width="5.5703125" style="3" bestFit="1" customWidth="1"/>
    <col min="6923" max="6923" width="4.85546875" style="3" bestFit="1" customWidth="1"/>
    <col min="6924" max="6924" width="11.28515625" style="3" customWidth="1"/>
    <col min="6925" max="6925" width="8.5703125" style="3" bestFit="1" customWidth="1"/>
    <col min="6926" max="6926" width="14.42578125" style="3" bestFit="1" customWidth="1"/>
    <col min="6927" max="7169" width="9.140625" style="3"/>
    <col min="7170" max="7170" width="26" style="3" bestFit="1" customWidth="1"/>
    <col min="7171" max="7171" width="22.855468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16.7109375" style="3" bestFit="1" customWidth="1"/>
    <col min="7176" max="7178" width="5.5703125" style="3" bestFit="1" customWidth="1"/>
    <col min="7179" max="7179" width="4.85546875" style="3" bestFit="1" customWidth="1"/>
    <col min="7180" max="7180" width="11.28515625" style="3" customWidth="1"/>
    <col min="7181" max="7181" width="8.5703125" style="3" bestFit="1" customWidth="1"/>
    <col min="7182" max="7182" width="14.42578125" style="3" bestFit="1" customWidth="1"/>
    <col min="7183" max="7425" width="9.140625" style="3"/>
    <col min="7426" max="7426" width="26" style="3" bestFit="1" customWidth="1"/>
    <col min="7427" max="7427" width="22.855468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16.7109375" style="3" bestFit="1" customWidth="1"/>
    <col min="7432" max="7434" width="5.5703125" style="3" bestFit="1" customWidth="1"/>
    <col min="7435" max="7435" width="4.85546875" style="3" bestFit="1" customWidth="1"/>
    <col min="7436" max="7436" width="11.28515625" style="3" customWidth="1"/>
    <col min="7437" max="7437" width="8.5703125" style="3" bestFit="1" customWidth="1"/>
    <col min="7438" max="7438" width="14.42578125" style="3" bestFit="1" customWidth="1"/>
    <col min="7439" max="7681" width="9.140625" style="3"/>
    <col min="7682" max="7682" width="26" style="3" bestFit="1" customWidth="1"/>
    <col min="7683" max="7683" width="22.855468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16.7109375" style="3" bestFit="1" customWidth="1"/>
    <col min="7688" max="7690" width="5.5703125" style="3" bestFit="1" customWidth="1"/>
    <col min="7691" max="7691" width="4.85546875" style="3" bestFit="1" customWidth="1"/>
    <col min="7692" max="7692" width="11.28515625" style="3" customWidth="1"/>
    <col min="7693" max="7693" width="8.5703125" style="3" bestFit="1" customWidth="1"/>
    <col min="7694" max="7694" width="14.42578125" style="3" bestFit="1" customWidth="1"/>
    <col min="7695" max="7937" width="9.140625" style="3"/>
    <col min="7938" max="7938" width="26" style="3" bestFit="1" customWidth="1"/>
    <col min="7939" max="7939" width="22.855468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16.7109375" style="3" bestFit="1" customWidth="1"/>
    <col min="7944" max="7946" width="5.5703125" style="3" bestFit="1" customWidth="1"/>
    <col min="7947" max="7947" width="4.85546875" style="3" bestFit="1" customWidth="1"/>
    <col min="7948" max="7948" width="11.28515625" style="3" customWidth="1"/>
    <col min="7949" max="7949" width="8.5703125" style="3" bestFit="1" customWidth="1"/>
    <col min="7950" max="7950" width="14.42578125" style="3" bestFit="1" customWidth="1"/>
    <col min="7951" max="8193" width="9.140625" style="3"/>
    <col min="8194" max="8194" width="26" style="3" bestFit="1" customWidth="1"/>
    <col min="8195" max="8195" width="22.855468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16.7109375" style="3" bestFit="1" customWidth="1"/>
    <col min="8200" max="8202" width="5.5703125" style="3" bestFit="1" customWidth="1"/>
    <col min="8203" max="8203" width="4.85546875" style="3" bestFit="1" customWidth="1"/>
    <col min="8204" max="8204" width="11.28515625" style="3" customWidth="1"/>
    <col min="8205" max="8205" width="8.5703125" style="3" bestFit="1" customWidth="1"/>
    <col min="8206" max="8206" width="14.42578125" style="3" bestFit="1" customWidth="1"/>
    <col min="8207" max="8449" width="9.140625" style="3"/>
    <col min="8450" max="8450" width="26" style="3" bestFit="1" customWidth="1"/>
    <col min="8451" max="8451" width="22.855468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16.7109375" style="3" bestFit="1" customWidth="1"/>
    <col min="8456" max="8458" width="5.5703125" style="3" bestFit="1" customWidth="1"/>
    <col min="8459" max="8459" width="4.85546875" style="3" bestFit="1" customWidth="1"/>
    <col min="8460" max="8460" width="11.28515625" style="3" customWidth="1"/>
    <col min="8461" max="8461" width="8.5703125" style="3" bestFit="1" customWidth="1"/>
    <col min="8462" max="8462" width="14.42578125" style="3" bestFit="1" customWidth="1"/>
    <col min="8463" max="8705" width="9.140625" style="3"/>
    <col min="8706" max="8706" width="26" style="3" bestFit="1" customWidth="1"/>
    <col min="8707" max="8707" width="22.855468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16.7109375" style="3" bestFit="1" customWidth="1"/>
    <col min="8712" max="8714" width="5.5703125" style="3" bestFit="1" customWidth="1"/>
    <col min="8715" max="8715" width="4.85546875" style="3" bestFit="1" customWidth="1"/>
    <col min="8716" max="8716" width="11.28515625" style="3" customWidth="1"/>
    <col min="8717" max="8717" width="8.5703125" style="3" bestFit="1" customWidth="1"/>
    <col min="8718" max="8718" width="14.42578125" style="3" bestFit="1" customWidth="1"/>
    <col min="8719" max="8961" width="9.140625" style="3"/>
    <col min="8962" max="8962" width="26" style="3" bestFit="1" customWidth="1"/>
    <col min="8963" max="8963" width="22.855468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16.7109375" style="3" bestFit="1" customWidth="1"/>
    <col min="8968" max="8970" width="5.5703125" style="3" bestFit="1" customWidth="1"/>
    <col min="8971" max="8971" width="4.85546875" style="3" bestFit="1" customWidth="1"/>
    <col min="8972" max="8972" width="11.28515625" style="3" customWidth="1"/>
    <col min="8973" max="8973" width="8.5703125" style="3" bestFit="1" customWidth="1"/>
    <col min="8974" max="8974" width="14.42578125" style="3" bestFit="1" customWidth="1"/>
    <col min="8975" max="9217" width="9.140625" style="3"/>
    <col min="9218" max="9218" width="26" style="3" bestFit="1" customWidth="1"/>
    <col min="9219" max="9219" width="22.855468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16.7109375" style="3" bestFit="1" customWidth="1"/>
    <col min="9224" max="9226" width="5.5703125" style="3" bestFit="1" customWidth="1"/>
    <col min="9227" max="9227" width="4.85546875" style="3" bestFit="1" customWidth="1"/>
    <col min="9228" max="9228" width="11.28515625" style="3" customWidth="1"/>
    <col min="9229" max="9229" width="8.5703125" style="3" bestFit="1" customWidth="1"/>
    <col min="9230" max="9230" width="14.42578125" style="3" bestFit="1" customWidth="1"/>
    <col min="9231" max="9473" width="9.140625" style="3"/>
    <col min="9474" max="9474" width="26" style="3" bestFit="1" customWidth="1"/>
    <col min="9475" max="9475" width="22.855468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16.7109375" style="3" bestFit="1" customWidth="1"/>
    <col min="9480" max="9482" width="5.5703125" style="3" bestFit="1" customWidth="1"/>
    <col min="9483" max="9483" width="4.85546875" style="3" bestFit="1" customWidth="1"/>
    <col min="9484" max="9484" width="11.28515625" style="3" customWidth="1"/>
    <col min="9485" max="9485" width="8.5703125" style="3" bestFit="1" customWidth="1"/>
    <col min="9486" max="9486" width="14.42578125" style="3" bestFit="1" customWidth="1"/>
    <col min="9487" max="9729" width="9.140625" style="3"/>
    <col min="9730" max="9730" width="26" style="3" bestFit="1" customWidth="1"/>
    <col min="9731" max="9731" width="22.855468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16.7109375" style="3" bestFit="1" customWidth="1"/>
    <col min="9736" max="9738" width="5.5703125" style="3" bestFit="1" customWidth="1"/>
    <col min="9739" max="9739" width="4.85546875" style="3" bestFit="1" customWidth="1"/>
    <col min="9740" max="9740" width="11.28515625" style="3" customWidth="1"/>
    <col min="9741" max="9741" width="8.5703125" style="3" bestFit="1" customWidth="1"/>
    <col min="9742" max="9742" width="14.42578125" style="3" bestFit="1" customWidth="1"/>
    <col min="9743" max="9985" width="9.140625" style="3"/>
    <col min="9986" max="9986" width="26" style="3" bestFit="1" customWidth="1"/>
    <col min="9987" max="9987" width="22.855468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16.7109375" style="3" bestFit="1" customWidth="1"/>
    <col min="9992" max="9994" width="5.5703125" style="3" bestFit="1" customWidth="1"/>
    <col min="9995" max="9995" width="4.85546875" style="3" bestFit="1" customWidth="1"/>
    <col min="9996" max="9996" width="11.28515625" style="3" customWidth="1"/>
    <col min="9997" max="9997" width="8.5703125" style="3" bestFit="1" customWidth="1"/>
    <col min="9998" max="9998" width="14.42578125" style="3" bestFit="1" customWidth="1"/>
    <col min="9999" max="10241" width="9.140625" style="3"/>
    <col min="10242" max="10242" width="26" style="3" bestFit="1" customWidth="1"/>
    <col min="10243" max="10243" width="22.855468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16.7109375" style="3" bestFit="1" customWidth="1"/>
    <col min="10248" max="10250" width="5.5703125" style="3" bestFit="1" customWidth="1"/>
    <col min="10251" max="10251" width="4.85546875" style="3" bestFit="1" customWidth="1"/>
    <col min="10252" max="10252" width="11.28515625" style="3" customWidth="1"/>
    <col min="10253" max="10253" width="8.5703125" style="3" bestFit="1" customWidth="1"/>
    <col min="10254" max="10254" width="14.42578125" style="3" bestFit="1" customWidth="1"/>
    <col min="10255" max="10497" width="9.140625" style="3"/>
    <col min="10498" max="10498" width="26" style="3" bestFit="1" customWidth="1"/>
    <col min="10499" max="10499" width="22.855468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16.7109375" style="3" bestFit="1" customWidth="1"/>
    <col min="10504" max="10506" width="5.5703125" style="3" bestFit="1" customWidth="1"/>
    <col min="10507" max="10507" width="4.85546875" style="3" bestFit="1" customWidth="1"/>
    <col min="10508" max="10508" width="11.28515625" style="3" customWidth="1"/>
    <col min="10509" max="10509" width="8.5703125" style="3" bestFit="1" customWidth="1"/>
    <col min="10510" max="10510" width="14.42578125" style="3" bestFit="1" customWidth="1"/>
    <col min="10511" max="10753" width="9.140625" style="3"/>
    <col min="10754" max="10754" width="26" style="3" bestFit="1" customWidth="1"/>
    <col min="10755" max="10755" width="22.855468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16.7109375" style="3" bestFit="1" customWidth="1"/>
    <col min="10760" max="10762" width="5.5703125" style="3" bestFit="1" customWidth="1"/>
    <col min="10763" max="10763" width="4.85546875" style="3" bestFit="1" customWidth="1"/>
    <col min="10764" max="10764" width="11.28515625" style="3" customWidth="1"/>
    <col min="10765" max="10765" width="8.5703125" style="3" bestFit="1" customWidth="1"/>
    <col min="10766" max="10766" width="14.42578125" style="3" bestFit="1" customWidth="1"/>
    <col min="10767" max="11009" width="9.140625" style="3"/>
    <col min="11010" max="11010" width="26" style="3" bestFit="1" customWidth="1"/>
    <col min="11011" max="11011" width="22.855468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16.7109375" style="3" bestFit="1" customWidth="1"/>
    <col min="11016" max="11018" width="5.5703125" style="3" bestFit="1" customWidth="1"/>
    <col min="11019" max="11019" width="4.85546875" style="3" bestFit="1" customWidth="1"/>
    <col min="11020" max="11020" width="11.28515625" style="3" customWidth="1"/>
    <col min="11021" max="11021" width="8.5703125" style="3" bestFit="1" customWidth="1"/>
    <col min="11022" max="11022" width="14.42578125" style="3" bestFit="1" customWidth="1"/>
    <col min="11023" max="11265" width="9.140625" style="3"/>
    <col min="11266" max="11266" width="26" style="3" bestFit="1" customWidth="1"/>
    <col min="11267" max="11267" width="22.855468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16.7109375" style="3" bestFit="1" customWidth="1"/>
    <col min="11272" max="11274" width="5.5703125" style="3" bestFit="1" customWidth="1"/>
    <col min="11275" max="11275" width="4.85546875" style="3" bestFit="1" customWidth="1"/>
    <col min="11276" max="11276" width="11.28515625" style="3" customWidth="1"/>
    <col min="11277" max="11277" width="8.5703125" style="3" bestFit="1" customWidth="1"/>
    <col min="11278" max="11278" width="14.42578125" style="3" bestFit="1" customWidth="1"/>
    <col min="11279" max="11521" width="9.140625" style="3"/>
    <col min="11522" max="11522" width="26" style="3" bestFit="1" customWidth="1"/>
    <col min="11523" max="11523" width="22.855468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16.7109375" style="3" bestFit="1" customWidth="1"/>
    <col min="11528" max="11530" width="5.5703125" style="3" bestFit="1" customWidth="1"/>
    <col min="11531" max="11531" width="4.85546875" style="3" bestFit="1" customWidth="1"/>
    <col min="11532" max="11532" width="11.28515625" style="3" customWidth="1"/>
    <col min="11533" max="11533" width="8.5703125" style="3" bestFit="1" customWidth="1"/>
    <col min="11534" max="11534" width="14.42578125" style="3" bestFit="1" customWidth="1"/>
    <col min="11535" max="11777" width="9.140625" style="3"/>
    <col min="11778" max="11778" width="26" style="3" bestFit="1" customWidth="1"/>
    <col min="11779" max="11779" width="22.855468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16.7109375" style="3" bestFit="1" customWidth="1"/>
    <col min="11784" max="11786" width="5.5703125" style="3" bestFit="1" customWidth="1"/>
    <col min="11787" max="11787" width="4.85546875" style="3" bestFit="1" customWidth="1"/>
    <col min="11788" max="11788" width="11.28515625" style="3" customWidth="1"/>
    <col min="11789" max="11789" width="8.5703125" style="3" bestFit="1" customWidth="1"/>
    <col min="11790" max="11790" width="14.42578125" style="3" bestFit="1" customWidth="1"/>
    <col min="11791" max="12033" width="9.140625" style="3"/>
    <col min="12034" max="12034" width="26" style="3" bestFit="1" customWidth="1"/>
    <col min="12035" max="12035" width="22.855468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16.7109375" style="3" bestFit="1" customWidth="1"/>
    <col min="12040" max="12042" width="5.5703125" style="3" bestFit="1" customWidth="1"/>
    <col min="12043" max="12043" width="4.85546875" style="3" bestFit="1" customWidth="1"/>
    <col min="12044" max="12044" width="11.28515625" style="3" customWidth="1"/>
    <col min="12045" max="12045" width="8.5703125" style="3" bestFit="1" customWidth="1"/>
    <col min="12046" max="12046" width="14.42578125" style="3" bestFit="1" customWidth="1"/>
    <col min="12047" max="12289" width="9.140625" style="3"/>
    <col min="12290" max="12290" width="26" style="3" bestFit="1" customWidth="1"/>
    <col min="12291" max="12291" width="22.855468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16.7109375" style="3" bestFit="1" customWidth="1"/>
    <col min="12296" max="12298" width="5.5703125" style="3" bestFit="1" customWidth="1"/>
    <col min="12299" max="12299" width="4.85546875" style="3" bestFit="1" customWidth="1"/>
    <col min="12300" max="12300" width="11.28515625" style="3" customWidth="1"/>
    <col min="12301" max="12301" width="8.5703125" style="3" bestFit="1" customWidth="1"/>
    <col min="12302" max="12302" width="14.42578125" style="3" bestFit="1" customWidth="1"/>
    <col min="12303" max="12545" width="9.140625" style="3"/>
    <col min="12546" max="12546" width="26" style="3" bestFit="1" customWidth="1"/>
    <col min="12547" max="12547" width="22.855468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16.7109375" style="3" bestFit="1" customWidth="1"/>
    <col min="12552" max="12554" width="5.5703125" style="3" bestFit="1" customWidth="1"/>
    <col min="12555" max="12555" width="4.85546875" style="3" bestFit="1" customWidth="1"/>
    <col min="12556" max="12556" width="11.28515625" style="3" customWidth="1"/>
    <col min="12557" max="12557" width="8.5703125" style="3" bestFit="1" customWidth="1"/>
    <col min="12558" max="12558" width="14.42578125" style="3" bestFit="1" customWidth="1"/>
    <col min="12559" max="12801" width="9.140625" style="3"/>
    <col min="12802" max="12802" width="26" style="3" bestFit="1" customWidth="1"/>
    <col min="12803" max="12803" width="22.855468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16.7109375" style="3" bestFit="1" customWidth="1"/>
    <col min="12808" max="12810" width="5.5703125" style="3" bestFit="1" customWidth="1"/>
    <col min="12811" max="12811" width="4.85546875" style="3" bestFit="1" customWidth="1"/>
    <col min="12812" max="12812" width="11.28515625" style="3" customWidth="1"/>
    <col min="12813" max="12813" width="8.5703125" style="3" bestFit="1" customWidth="1"/>
    <col min="12814" max="12814" width="14.42578125" style="3" bestFit="1" customWidth="1"/>
    <col min="12815" max="13057" width="9.140625" style="3"/>
    <col min="13058" max="13058" width="26" style="3" bestFit="1" customWidth="1"/>
    <col min="13059" max="13059" width="22.855468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16.7109375" style="3" bestFit="1" customWidth="1"/>
    <col min="13064" max="13066" width="5.5703125" style="3" bestFit="1" customWidth="1"/>
    <col min="13067" max="13067" width="4.85546875" style="3" bestFit="1" customWidth="1"/>
    <col min="13068" max="13068" width="11.28515625" style="3" customWidth="1"/>
    <col min="13069" max="13069" width="8.5703125" style="3" bestFit="1" customWidth="1"/>
    <col min="13070" max="13070" width="14.42578125" style="3" bestFit="1" customWidth="1"/>
    <col min="13071" max="13313" width="9.140625" style="3"/>
    <col min="13314" max="13314" width="26" style="3" bestFit="1" customWidth="1"/>
    <col min="13315" max="13315" width="22.855468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16.7109375" style="3" bestFit="1" customWidth="1"/>
    <col min="13320" max="13322" width="5.5703125" style="3" bestFit="1" customWidth="1"/>
    <col min="13323" max="13323" width="4.85546875" style="3" bestFit="1" customWidth="1"/>
    <col min="13324" max="13324" width="11.28515625" style="3" customWidth="1"/>
    <col min="13325" max="13325" width="8.5703125" style="3" bestFit="1" customWidth="1"/>
    <col min="13326" max="13326" width="14.42578125" style="3" bestFit="1" customWidth="1"/>
    <col min="13327" max="13569" width="9.140625" style="3"/>
    <col min="13570" max="13570" width="26" style="3" bestFit="1" customWidth="1"/>
    <col min="13571" max="13571" width="22.855468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16.7109375" style="3" bestFit="1" customWidth="1"/>
    <col min="13576" max="13578" width="5.5703125" style="3" bestFit="1" customWidth="1"/>
    <col min="13579" max="13579" width="4.85546875" style="3" bestFit="1" customWidth="1"/>
    <col min="13580" max="13580" width="11.28515625" style="3" customWidth="1"/>
    <col min="13581" max="13581" width="8.5703125" style="3" bestFit="1" customWidth="1"/>
    <col min="13582" max="13582" width="14.42578125" style="3" bestFit="1" customWidth="1"/>
    <col min="13583" max="13825" width="9.140625" style="3"/>
    <col min="13826" max="13826" width="26" style="3" bestFit="1" customWidth="1"/>
    <col min="13827" max="13827" width="22.855468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16.7109375" style="3" bestFit="1" customWidth="1"/>
    <col min="13832" max="13834" width="5.5703125" style="3" bestFit="1" customWidth="1"/>
    <col min="13835" max="13835" width="4.85546875" style="3" bestFit="1" customWidth="1"/>
    <col min="13836" max="13836" width="11.28515625" style="3" customWidth="1"/>
    <col min="13837" max="13837" width="8.5703125" style="3" bestFit="1" customWidth="1"/>
    <col min="13838" max="13838" width="14.42578125" style="3" bestFit="1" customWidth="1"/>
    <col min="13839" max="14081" width="9.140625" style="3"/>
    <col min="14082" max="14082" width="26" style="3" bestFit="1" customWidth="1"/>
    <col min="14083" max="14083" width="22.855468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16.7109375" style="3" bestFit="1" customWidth="1"/>
    <col min="14088" max="14090" width="5.5703125" style="3" bestFit="1" customWidth="1"/>
    <col min="14091" max="14091" width="4.85546875" style="3" bestFit="1" customWidth="1"/>
    <col min="14092" max="14092" width="11.28515625" style="3" customWidth="1"/>
    <col min="14093" max="14093" width="8.5703125" style="3" bestFit="1" customWidth="1"/>
    <col min="14094" max="14094" width="14.42578125" style="3" bestFit="1" customWidth="1"/>
    <col min="14095" max="14337" width="9.140625" style="3"/>
    <col min="14338" max="14338" width="26" style="3" bestFit="1" customWidth="1"/>
    <col min="14339" max="14339" width="22.855468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16.7109375" style="3" bestFit="1" customWidth="1"/>
    <col min="14344" max="14346" width="5.5703125" style="3" bestFit="1" customWidth="1"/>
    <col min="14347" max="14347" width="4.85546875" style="3" bestFit="1" customWidth="1"/>
    <col min="14348" max="14348" width="11.28515625" style="3" customWidth="1"/>
    <col min="14349" max="14349" width="8.5703125" style="3" bestFit="1" customWidth="1"/>
    <col min="14350" max="14350" width="14.42578125" style="3" bestFit="1" customWidth="1"/>
    <col min="14351" max="14593" width="9.140625" style="3"/>
    <col min="14594" max="14594" width="26" style="3" bestFit="1" customWidth="1"/>
    <col min="14595" max="14595" width="22.855468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16.7109375" style="3" bestFit="1" customWidth="1"/>
    <col min="14600" max="14602" width="5.5703125" style="3" bestFit="1" customWidth="1"/>
    <col min="14603" max="14603" width="4.85546875" style="3" bestFit="1" customWidth="1"/>
    <col min="14604" max="14604" width="11.28515625" style="3" customWidth="1"/>
    <col min="14605" max="14605" width="8.5703125" style="3" bestFit="1" customWidth="1"/>
    <col min="14606" max="14606" width="14.42578125" style="3" bestFit="1" customWidth="1"/>
    <col min="14607" max="14849" width="9.140625" style="3"/>
    <col min="14850" max="14850" width="26" style="3" bestFit="1" customWidth="1"/>
    <col min="14851" max="14851" width="22.855468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16.7109375" style="3" bestFit="1" customWidth="1"/>
    <col min="14856" max="14858" width="5.5703125" style="3" bestFit="1" customWidth="1"/>
    <col min="14859" max="14859" width="4.85546875" style="3" bestFit="1" customWidth="1"/>
    <col min="14860" max="14860" width="11.28515625" style="3" customWidth="1"/>
    <col min="14861" max="14861" width="8.5703125" style="3" bestFit="1" customWidth="1"/>
    <col min="14862" max="14862" width="14.42578125" style="3" bestFit="1" customWidth="1"/>
    <col min="14863" max="15105" width="9.140625" style="3"/>
    <col min="15106" max="15106" width="26" style="3" bestFit="1" customWidth="1"/>
    <col min="15107" max="15107" width="22.855468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16.7109375" style="3" bestFit="1" customWidth="1"/>
    <col min="15112" max="15114" width="5.5703125" style="3" bestFit="1" customWidth="1"/>
    <col min="15115" max="15115" width="4.85546875" style="3" bestFit="1" customWidth="1"/>
    <col min="15116" max="15116" width="11.28515625" style="3" customWidth="1"/>
    <col min="15117" max="15117" width="8.5703125" style="3" bestFit="1" customWidth="1"/>
    <col min="15118" max="15118" width="14.42578125" style="3" bestFit="1" customWidth="1"/>
    <col min="15119" max="15361" width="9.140625" style="3"/>
    <col min="15362" max="15362" width="26" style="3" bestFit="1" customWidth="1"/>
    <col min="15363" max="15363" width="22.855468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16.7109375" style="3" bestFit="1" customWidth="1"/>
    <col min="15368" max="15370" width="5.5703125" style="3" bestFit="1" customWidth="1"/>
    <col min="15371" max="15371" width="4.85546875" style="3" bestFit="1" customWidth="1"/>
    <col min="15372" max="15372" width="11.28515625" style="3" customWidth="1"/>
    <col min="15373" max="15373" width="8.5703125" style="3" bestFit="1" customWidth="1"/>
    <col min="15374" max="15374" width="14.42578125" style="3" bestFit="1" customWidth="1"/>
    <col min="15375" max="15617" width="9.140625" style="3"/>
    <col min="15618" max="15618" width="26" style="3" bestFit="1" customWidth="1"/>
    <col min="15619" max="15619" width="22.855468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16.7109375" style="3" bestFit="1" customWidth="1"/>
    <col min="15624" max="15626" width="5.5703125" style="3" bestFit="1" customWidth="1"/>
    <col min="15627" max="15627" width="4.85546875" style="3" bestFit="1" customWidth="1"/>
    <col min="15628" max="15628" width="11.28515625" style="3" customWidth="1"/>
    <col min="15629" max="15629" width="8.5703125" style="3" bestFit="1" customWidth="1"/>
    <col min="15630" max="15630" width="14.42578125" style="3" bestFit="1" customWidth="1"/>
    <col min="15631" max="15873" width="9.140625" style="3"/>
    <col min="15874" max="15874" width="26" style="3" bestFit="1" customWidth="1"/>
    <col min="15875" max="15875" width="22.855468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16.7109375" style="3" bestFit="1" customWidth="1"/>
    <col min="15880" max="15882" width="5.5703125" style="3" bestFit="1" customWidth="1"/>
    <col min="15883" max="15883" width="4.85546875" style="3" bestFit="1" customWidth="1"/>
    <col min="15884" max="15884" width="11.28515625" style="3" customWidth="1"/>
    <col min="15885" max="15885" width="8.5703125" style="3" bestFit="1" customWidth="1"/>
    <col min="15886" max="15886" width="14.42578125" style="3" bestFit="1" customWidth="1"/>
    <col min="15887" max="16129" width="9.140625" style="3"/>
    <col min="16130" max="16130" width="26" style="3" bestFit="1" customWidth="1"/>
    <col min="16131" max="16131" width="22.855468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16.7109375" style="3" bestFit="1" customWidth="1"/>
    <col min="16136" max="16138" width="5.5703125" style="3" bestFit="1" customWidth="1"/>
    <col min="16139" max="16139" width="4.85546875" style="3" bestFit="1" customWidth="1"/>
    <col min="16140" max="16140" width="11.28515625" style="3" customWidth="1"/>
    <col min="16141" max="16141" width="8.5703125" style="3" bestFit="1" customWidth="1"/>
    <col min="16142" max="16142" width="14.42578125" style="3" bestFit="1" customWidth="1"/>
    <col min="16143" max="16384" width="9.140625" style="3"/>
  </cols>
  <sheetData>
    <row r="1" spans="1:14" s="2" customFormat="1" ht="29.1" customHeight="1" x14ac:dyDescent="0.2">
      <c r="A1" s="40" t="s">
        <v>990</v>
      </c>
      <c r="B1" s="41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s="2" customFormat="1" ht="62.1" customHeight="1" thickBo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1" customFormat="1" ht="12.75" customHeight="1" x14ac:dyDescent="0.2">
      <c r="A3" s="33" t="s">
        <v>0</v>
      </c>
      <c r="B3" s="46" t="s">
        <v>1440</v>
      </c>
      <c r="C3" s="35" t="s">
        <v>5</v>
      </c>
      <c r="D3" s="35" t="s">
        <v>7</v>
      </c>
      <c r="E3" s="37" t="s">
        <v>223</v>
      </c>
      <c r="F3" s="37" t="s">
        <v>4</v>
      </c>
      <c r="G3" s="37" t="s">
        <v>6</v>
      </c>
      <c r="H3" s="37" t="s">
        <v>1</v>
      </c>
      <c r="I3" s="37"/>
      <c r="J3" s="37"/>
      <c r="K3" s="37"/>
      <c r="L3" s="37" t="s">
        <v>115</v>
      </c>
      <c r="M3" s="37" t="s">
        <v>3</v>
      </c>
      <c r="N3" s="38" t="s">
        <v>2</v>
      </c>
    </row>
    <row r="4" spans="1:14" s="1" customFormat="1" ht="21" customHeight="1" thickBot="1" x14ac:dyDescent="0.25">
      <c r="A4" s="34"/>
      <c r="B4" s="47"/>
      <c r="C4" s="36"/>
      <c r="D4" s="36"/>
      <c r="E4" s="36"/>
      <c r="F4" s="36"/>
      <c r="G4" s="36"/>
      <c r="H4" s="5">
        <v>1</v>
      </c>
      <c r="I4" s="5">
        <v>2</v>
      </c>
      <c r="J4" s="5">
        <v>3</v>
      </c>
      <c r="K4" s="5" t="s">
        <v>224</v>
      </c>
      <c r="L4" s="36"/>
      <c r="M4" s="36"/>
      <c r="N4" s="39"/>
    </row>
    <row r="5" spans="1:14" ht="15" x14ac:dyDescent="0.2">
      <c r="A5" s="61" t="s">
        <v>84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">
      <c r="A6" s="6" t="s">
        <v>991</v>
      </c>
      <c r="B6" s="6" t="s">
        <v>1444</v>
      </c>
      <c r="C6" s="6" t="s">
        <v>992</v>
      </c>
      <c r="D6" s="6" t="s">
        <v>993</v>
      </c>
      <c r="E6" s="6" t="str">
        <f>"0,5700"</f>
        <v>0,5700</v>
      </c>
      <c r="F6" s="6" t="s">
        <v>65</v>
      </c>
      <c r="G6" s="6" t="s">
        <v>66</v>
      </c>
      <c r="H6" s="8" t="s">
        <v>994</v>
      </c>
      <c r="I6" s="8" t="s">
        <v>995</v>
      </c>
      <c r="J6" s="7" t="s">
        <v>496</v>
      </c>
      <c r="K6" s="7"/>
      <c r="L6" s="6" t="str">
        <f>"290,0"</f>
        <v>290,0</v>
      </c>
      <c r="M6" s="8" t="str">
        <f>"165,3000"</f>
        <v>165,3000</v>
      </c>
      <c r="N6" s="6" t="s">
        <v>996</v>
      </c>
    </row>
    <row r="8" spans="1:14" ht="15" x14ac:dyDescent="0.2">
      <c r="F8" s="17" t="s">
        <v>96</v>
      </c>
    </row>
    <row r="9" spans="1:14" ht="15" x14ac:dyDescent="0.2">
      <c r="F9" s="17" t="s">
        <v>97</v>
      </c>
    </row>
    <row r="10" spans="1:14" ht="15" x14ac:dyDescent="0.2">
      <c r="F10" s="17" t="s">
        <v>98</v>
      </c>
    </row>
    <row r="11" spans="1:14" ht="15" x14ac:dyDescent="0.2">
      <c r="F11" s="17"/>
    </row>
    <row r="13" spans="1:14" ht="18" x14ac:dyDescent="0.25">
      <c r="A13" s="18" t="s">
        <v>99</v>
      </c>
      <c r="B13" s="18"/>
      <c r="C13" s="18"/>
    </row>
    <row r="14" spans="1:14" ht="15" x14ac:dyDescent="0.2">
      <c r="A14" s="19" t="s">
        <v>100</v>
      </c>
      <c r="B14" s="19"/>
      <c r="C14" s="19"/>
    </row>
    <row r="15" spans="1:14" ht="14.25" x14ac:dyDescent="0.2">
      <c r="A15" s="21"/>
      <c r="B15" s="21"/>
      <c r="C15" s="22" t="s">
        <v>107</v>
      </c>
    </row>
    <row r="16" spans="1:14" ht="15" x14ac:dyDescent="0.2">
      <c r="A16" s="23" t="s">
        <v>101</v>
      </c>
      <c r="B16" s="23"/>
      <c r="C16" s="23" t="s">
        <v>102</v>
      </c>
      <c r="D16" s="23" t="s">
        <v>103</v>
      </c>
      <c r="E16" s="23" t="s">
        <v>104</v>
      </c>
      <c r="F16" s="23" t="s">
        <v>291</v>
      </c>
    </row>
    <row r="17" spans="1:14" x14ac:dyDescent="0.2">
      <c r="A17" s="20" t="s">
        <v>997</v>
      </c>
      <c r="B17" s="20"/>
      <c r="C17" s="4" t="s">
        <v>107</v>
      </c>
      <c r="D17" s="4" t="s">
        <v>304</v>
      </c>
      <c r="E17" s="4" t="s">
        <v>995</v>
      </c>
      <c r="F17" s="24" t="s">
        <v>998</v>
      </c>
      <c r="G17" s="3"/>
      <c r="L17" s="3"/>
      <c r="N17" s="3"/>
    </row>
    <row r="18" spans="1:14" x14ac:dyDescent="0.2">
      <c r="G18" s="3"/>
      <c r="L18" s="3"/>
      <c r="N18" s="3"/>
    </row>
    <row r="19" spans="1:14" x14ac:dyDescent="0.2">
      <c r="G19" s="3"/>
      <c r="L19" s="3"/>
      <c r="N19" s="3"/>
    </row>
    <row r="20" spans="1:14" x14ac:dyDescent="0.2">
      <c r="G20" s="3"/>
      <c r="L20" s="3"/>
      <c r="N20" s="3"/>
    </row>
    <row r="21" spans="1:14" x14ac:dyDescent="0.2">
      <c r="G21" s="3"/>
      <c r="L21" s="3"/>
      <c r="N21" s="3"/>
    </row>
    <row r="22" spans="1:14" x14ac:dyDescent="0.2">
      <c r="G22" s="3"/>
      <c r="L22" s="3"/>
      <c r="N22" s="3"/>
    </row>
    <row r="23" spans="1:14" x14ac:dyDescent="0.2">
      <c r="G23" s="3"/>
      <c r="L23" s="3"/>
      <c r="N23" s="3"/>
    </row>
    <row r="24" spans="1:14" x14ac:dyDescent="0.2">
      <c r="G24" s="3"/>
      <c r="L24" s="3"/>
      <c r="N24" s="3"/>
    </row>
    <row r="25" spans="1:14" x14ac:dyDescent="0.2">
      <c r="G25" s="3"/>
      <c r="L25" s="3"/>
      <c r="N25" s="3"/>
    </row>
    <row r="26" spans="1:14" x14ac:dyDescent="0.2">
      <c r="G26" s="3"/>
      <c r="L26" s="3"/>
      <c r="N26" s="3"/>
    </row>
    <row r="27" spans="1:14" x14ac:dyDescent="0.2">
      <c r="G27" s="3"/>
      <c r="L27" s="3"/>
      <c r="N27" s="3"/>
    </row>
    <row r="28" spans="1:14" x14ac:dyDescent="0.2">
      <c r="G28" s="3"/>
      <c r="L28" s="3"/>
      <c r="N28" s="3"/>
    </row>
    <row r="29" spans="1:14" x14ac:dyDescent="0.2">
      <c r="G29" s="3"/>
      <c r="L29" s="3"/>
      <c r="N29" s="3"/>
    </row>
    <row r="30" spans="1:14" x14ac:dyDescent="0.2">
      <c r="G30" s="3"/>
      <c r="L30" s="3"/>
      <c r="N30" s="3"/>
    </row>
    <row r="31" spans="1:14" x14ac:dyDescent="0.2">
      <c r="G31" s="3"/>
      <c r="L31" s="3"/>
      <c r="N31" s="3"/>
    </row>
    <row r="32" spans="1:14" x14ac:dyDescent="0.2">
      <c r="G32" s="3"/>
      <c r="L32" s="3"/>
      <c r="N32" s="3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3">
    <mergeCell ref="N3:N4"/>
    <mergeCell ref="A5:M5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WPU НЖ 1_2 вес д.к.</vt:lpstr>
      <vt:lpstr>WPU НЖ 1 вес д.к.</vt:lpstr>
      <vt:lpstr>WPU НЖ 1 вес</vt:lpstr>
      <vt:lpstr>WPU c ДК тяга без эк.</vt:lpstr>
      <vt:lpstr>WPU c ДК тяга в одн сл. эк.</vt:lpstr>
      <vt:lpstr>WPU c ДК жим классик.</vt:lpstr>
      <vt:lpstr>WPU c ДК жим безэк.</vt:lpstr>
      <vt:lpstr>WPU c ДК жим в одн сл. эк.</vt:lpstr>
      <vt:lpstr>WPU c ДК жим в мн сл. эк.</vt:lpstr>
      <vt:lpstr>WPU c ДК пл классик.</vt:lpstr>
      <vt:lpstr>WPU c ДК пл безэк.</vt:lpstr>
      <vt:lpstr>WPU c ДК пл в одн сл. эк.</vt:lpstr>
      <vt:lpstr>WPU тяга без эк.</vt:lpstr>
      <vt:lpstr>WPU тяга в мн сл. эк.</vt:lpstr>
      <vt:lpstr>WPU жим классик.</vt:lpstr>
      <vt:lpstr>WPU жим безэк.</vt:lpstr>
      <vt:lpstr>WPU жим в одн сл. эк.</vt:lpstr>
      <vt:lpstr>WPU жим в мн сл. эк.</vt:lpstr>
      <vt:lpstr>WPU пл классик.</vt:lpstr>
      <vt:lpstr>WPU пл безэк.</vt:lpstr>
      <vt:lpstr>WPU пл в одн сл. эк.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Windows User</cp:lastModifiedBy>
  <cp:lastPrinted>2015-07-16T19:10:53Z</cp:lastPrinted>
  <dcterms:created xsi:type="dcterms:W3CDTF">2002-06-16T13:36:44Z</dcterms:created>
  <dcterms:modified xsi:type="dcterms:W3CDTF">2018-03-12T20:17:12Z</dcterms:modified>
</cp:coreProperties>
</file>