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0" windowWidth="24240" windowHeight="12720" firstSheet="4" activeTab="9"/>
  </bookViews>
  <sheets>
    <sheet name="WPU жим ЭЛИТА" sheetId="17" r:id="rId1"/>
    <sheet name="WPU c ДК жим в одн сл. эк." sheetId="11" r:id="rId2"/>
    <sheet name="WPU c ДК жим безэк." sheetId="10" r:id="rId3"/>
    <sheet name="WPU c ДК жим классик." sheetId="9" r:id="rId4"/>
    <sheet name="WPU жим в мн сл. эк." sheetId="8" r:id="rId5"/>
    <sheet name="WPU жим в одн сл. эк." sheetId="7" r:id="rId6"/>
    <sheet name="WPU жим безэк." sheetId="6" r:id="rId7"/>
    <sheet name="WPU жим классик." sheetId="5" r:id="rId8"/>
    <sheet name="WPU НЖ 1_2 вес д.к." sheetId="14" r:id="rId9"/>
    <sheet name="WPU НЖ 1 вес д.к." sheetId="15" r:id="rId10"/>
    <sheet name="WPU НЖ 1 вес" sheetId="16" r:id="rId11"/>
  </sheets>
  <definedNames>
    <definedName name="_xlnm._FilterDatabase" localSheetId="7" hidden="1">'WPU жим классик.'!$A$1:$K$3</definedName>
    <definedName name="_xlnm._FilterDatabase" localSheetId="0" hidden="1">'WPU жим ЭЛИТА'!$A$1:$K$3</definedName>
    <definedName name="_xlnm._FilterDatabase" localSheetId="10" hidden="1">'WPU НЖ 1 вес'!$A$1:$I$3</definedName>
  </definedNames>
  <calcPr calcId="124519" refMode="R1C1"/>
</workbook>
</file>

<file path=xl/calcChain.xml><?xml version="1.0" encoding="utf-8"?>
<calcChain xmlns="http://schemas.openxmlformats.org/spreadsheetml/2006/main">
  <c r="D6" i="17"/>
  <c r="K6"/>
  <c r="L6"/>
  <c r="D7"/>
  <c r="K7"/>
  <c r="L7"/>
  <c r="D8"/>
  <c r="K8"/>
  <c r="L8"/>
  <c r="D11"/>
  <c r="K11"/>
  <c r="L11"/>
  <c r="D12"/>
  <c r="K12"/>
  <c r="L12"/>
  <c r="D13"/>
  <c r="K13"/>
  <c r="L13"/>
  <c r="D14"/>
  <c r="K14"/>
  <c r="L14"/>
  <c r="D15"/>
  <c r="K15"/>
  <c r="L15"/>
  <c r="D16"/>
  <c r="K16"/>
  <c r="L16"/>
  <c r="D19"/>
  <c r="K19"/>
  <c r="L19"/>
  <c r="D20"/>
  <c r="K20"/>
  <c r="L20"/>
  <c r="D21"/>
  <c r="K21"/>
  <c r="L21"/>
  <c r="D22"/>
  <c r="K22"/>
  <c r="L22"/>
  <c r="D25"/>
  <c r="K25"/>
  <c r="L25"/>
  <c r="D26"/>
  <c r="K26"/>
  <c r="L26"/>
  <c r="D29"/>
  <c r="K29"/>
  <c r="L29"/>
  <c r="D6" i="16"/>
  <c r="I6"/>
  <c r="J6"/>
  <c r="D9"/>
  <c r="I9"/>
  <c r="J9"/>
  <c r="D12"/>
  <c r="I12"/>
  <c r="J12"/>
  <c r="D15"/>
  <c r="I15"/>
  <c r="J15"/>
  <c r="D16"/>
  <c r="I16"/>
  <c r="J16"/>
  <c r="D19"/>
  <c r="I19"/>
  <c r="J19"/>
  <c r="D20"/>
  <c r="I20"/>
  <c r="J20"/>
  <c r="D21"/>
  <c r="I21"/>
  <c r="J21"/>
  <c r="D24"/>
  <c r="I24"/>
  <c r="J24"/>
  <c r="D25"/>
  <c r="I25"/>
  <c r="J25"/>
  <c r="D28"/>
  <c r="I28"/>
  <c r="J28"/>
  <c r="D29"/>
  <c r="I29"/>
  <c r="J29"/>
  <c r="D32"/>
  <c r="I32"/>
  <c r="J32"/>
  <c r="D33"/>
  <c r="I33"/>
  <c r="J33"/>
  <c r="D6" i="15"/>
  <c r="I6"/>
  <c r="J6"/>
  <c r="D7"/>
  <c r="I7"/>
  <c r="J7"/>
  <c r="D10"/>
  <c r="I10"/>
  <c r="J10"/>
  <c r="D13"/>
  <c r="I13"/>
  <c r="J13"/>
  <c r="D14"/>
  <c r="I14"/>
  <c r="J14"/>
  <c r="D15"/>
  <c r="I15"/>
  <c r="J15"/>
  <c r="D16"/>
  <c r="I16"/>
  <c r="J16"/>
  <c r="D17"/>
  <c r="I17"/>
  <c r="J17"/>
  <c r="D18"/>
  <c r="I18"/>
  <c r="J18"/>
  <c r="D21"/>
  <c r="I21"/>
  <c r="J21"/>
  <c r="D22"/>
  <c r="I22"/>
  <c r="J22"/>
  <c r="D23"/>
  <c r="I23"/>
  <c r="J23"/>
  <c r="D24"/>
  <c r="I24"/>
  <c r="J24"/>
  <c r="D25"/>
  <c r="I25"/>
  <c r="J25"/>
  <c r="D28"/>
  <c r="I28"/>
  <c r="J28"/>
  <c r="D29"/>
  <c r="I29"/>
  <c r="J29"/>
  <c r="D30"/>
  <c r="I30"/>
  <c r="J30"/>
  <c r="D31"/>
  <c r="I31"/>
  <c r="J31"/>
  <c r="D32"/>
  <c r="I32"/>
  <c r="J32"/>
  <c r="D33"/>
  <c r="D34"/>
  <c r="I34"/>
  <c r="J34"/>
  <c r="D35"/>
  <c r="I35"/>
  <c r="J35"/>
  <c r="D36"/>
  <c r="I36"/>
  <c r="J36"/>
  <c r="D37"/>
  <c r="I37"/>
  <c r="J37"/>
  <c r="D40"/>
  <c r="I40"/>
  <c r="J40"/>
  <c r="D41"/>
  <c r="I41"/>
  <c r="J41"/>
  <c r="D42"/>
  <c r="I42"/>
  <c r="J42"/>
  <c r="D43"/>
  <c r="I43"/>
  <c r="J43"/>
  <c r="D44"/>
  <c r="I44"/>
  <c r="J44"/>
  <c r="D45"/>
  <c r="I45"/>
  <c r="J45"/>
  <c r="D46"/>
  <c r="I46"/>
  <c r="J46"/>
  <c r="D49"/>
  <c r="I49"/>
  <c r="J49"/>
  <c r="D50"/>
  <c r="I50"/>
  <c r="J50"/>
  <c r="D53"/>
  <c r="I53"/>
  <c r="J53"/>
  <c r="D54"/>
  <c r="I54"/>
  <c r="J54"/>
  <c r="D57"/>
  <c r="I57"/>
  <c r="J57"/>
  <c r="D6" i="14"/>
  <c r="I6"/>
  <c r="J6"/>
  <c r="D7"/>
  <c r="I7"/>
  <c r="J7"/>
  <c r="D10"/>
  <c r="I10"/>
  <c r="J10"/>
  <c r="D13"/>
  <c r="I13"/>
  <c r="J13"/>
  <c r="D16"/>
  <c r="I16"/>
  <c r="J16"/>
  <c r="D19"/>
  <c r="I19"/>
  <c r="J19"/>
  <c r="L26" i="11"/>
  <c r="K26"/>
  <c r="D26"/>
  <c r="L23"/>
  <c r="K23"/>
  <c r="D23"/>
  <c r="L20"/>
  <c r="K20"/>
  <c r="D20"/>
  <c r="L19"/>
  <c r="K19"/>
  <c r="D19"/>
  <c r="L18"/>
  <c r="K18"/>
  <c r="D18"/>
  <c r="L15"/>
  <c r="K15"/>
  <c r="D15"/>
  <c r="L12"/>
  <c r="K12"/>
  <c r="D12"/>
  <c r="L9"/>
  <c r="K9"/>
  <c r="D9"/>
  <c r="L6"/>
  <c r="K6"/>
  <c r="D6"/>
  <c r="L102" i="10"/>
  <c r="K102"/>
  <c r="D102"/>
  <c r="L99"/>
  <c r="K99"/>
  <c r="D99"/>
  <c r="L98"/>
  <c r="K98"/>
  <c r="D98"/>
  <c r="L95"/>
  <c r="K95"/>
  <c r="D95"/>
  <c r="L94"/>
  <c r="K94"/>
  <c r="D94"/>
  <c r="L93"/>
  <c r="K93"/>
  <c r="D93"/>
  <c r="L92"/>
  <c r="K92"/>
  <c r="D92"/>
  <c r="L91"/>
  <c r="K91"/>
  <c r="D91"/>
  <c r="L90"/>
  <c r="K90"/>
  <c r="D90"/>
  <c r="L87"/>
  <c r="K87"/>
  <c r="D87"/>
  <c r="L86"/>
  <c r="K86"/>
  <c r="D86"/>
  <c r="L85"/>
  <c r="K85"/>
  <c r="D85"/>
  <c r="L84"/>
  <c r="K84"/>
  <c r="D84"/>
  <c r="L83"/>
  <c r="K83"/>
  <c r="D83"/>
  <c r="L82"/>
  <c r="K82"/>
  <c r="D82"/>
  <c r="L81"/>
  <c r="K81"/>
  <c r="D81"/>
  <c r="L80"/>
  <c r="K80"/>
  <c r="D80"/>
  <c r="L79"/>
  <c r="K79"/>
  <c r="D79"/>
  <c r="L78"/>
  <c r="K78"/>
  <c r="D78"/>
  <c r="L75"/>
  <c r="K75"/>
  <c r="D75"/>
  <c r="L74"/>
  <c r="K74"/>
  <c r="D74"/>
  <c r="L73"/>
  <c r="K73"/>
  <c r="D73"/>
  <c r="L72"/>
  <c r="K72"/>
  <c r="D72"/>
  <c r="L71"/>
  <c r="K71"/>
  <c r="D71"/>
  <c r="L70"/>
  <c r="K70"/>
  <c r="D70"/>
  <c r="L69"/>
  <c r="K69"/>
  <c r="D69"/>
  <c r="L68"/>
  <c r="K68"/>
  <c r="D68"/>
  <c r="L65"/>
  <c r="K65"/>
  <c r="D65"/>
  <c r="L64"/>
  <c r="K64"/>
  <c r="D64"/>
  <c r="L63"/>
  <c r="K63"/>
  <c r="D63"/>
  <c r="L62"/>
  <c r="K62"/>
  <c r="D62"/>
  <c r="L61"/>
  <c r="K61"/>
  <c r="D61"/>
  <c r="L60"/>
  <c r="K60"/>
  <c r="D60"/>
  <c r="L59"/>
  <c r="K59"/>
  <c r="D59"/>
  <c r="L56"/>
  <c r="K56"/>
  <c r="D56"/>
  <c r="L55"/>
  <c r="K55"/>
  <c r="D55"/>
  <c r="L54"/>
  <c r="K54"/>
  <c r="D54"/>
  <c r="L53"/>
  <c r="K53"/>
  <c r="D53"/>
  <c r="L52"/>
  <c r="K52"/>
  <c r="D52"/>
  <c r="L51"/>
  <c r="K51"/>
  <c r="D51"/>
  <c r="L50"/>
  <c r="K50"/>
  <c r="D50"/>
  <c r="L47"/>
  <c r="K47"/>
  <c r="D47"/>
  <c r="L46"/>
  <c r="K46"/>
  <c r="D46"/>
  <c r="L45"/>
  <c r="K45"/>
  <c r="D45"/>
  <c r="L44"/>
  <c r="K44"/>
  <c r="D44"/>
  <c r="L43"/>
  <c r="K43"/>
  <c r="D43"/>
  <c r="L42"/>
  <c r="K42"/>
  <c r="D42"/>
  <c r="L39"/>
  <c r="K39"/>
  <c r="D39"/>
  <c r="L38"/>
  <c r="K38"/>
  <c r="D38"/>
  <c r="L37"/>
  <c r="K37"/>
  <c r="D37"/>
  <c r="L34"/>
  <c r="K34"/>
  <c r="D34"/>
  <c r="L31"/>
  <c r="K31"/>
  <c r="D31"/>
  <c r="L30"/>
  <c r="K30"/>
  <c r="D30"/>
  <c r="L27"/>
  <c r="K27"/>
  <c r="D27"/>
  <c r="L26"/>
  <c r="K26"/>
  <c r="D26"/>
  <c r="L23"/>
  <c r="K23"/>
  <c r="D23"/>
  <c r="L22"/>
  <c r="K22"/>
  <c r="D22"/>
  <c r="L19"/>
  <c r="K19"/>
  <c r="D19"/>
  <c r="L18"/>
  <c r="K18"/>
  <c r="D18"/>
  <c r="L17"/>
  <c r="K17"/>
  <c r="D17"/>
  <c r="L14"/>
  <c r="K14"/>
  <c r="D14"/>
  <c r="L13"/>
  <c r="K13"/>
  <c r="D13"/>
  <c r="L12"/>
  <c r="K12"/>
  <c r="D12"/>
  <c r="L9"/>
  <c r="K9"/>
  <c r="D9"/>
  <c r="L6"/>
  <c r="K6"/>
  <c r="D6"/>
  <c r="L121" i="9"/>
  <c r="K121"/>
  <c r="D121"/>
  <c r="L118"/>
  <c r="K118"/>
  <c r="D118"/>
  <c r="L117"/>
  <c r="K117"/>
  <c r="D117"/>
  <c r="L116"/>
  <c r="K116"/>
  <c r="D116"/>
  <c r="L115"/>
  <c r="K115"/>
  <c r="D115"/>
  <c r="L114"/>
  <c r="K114"/>
  <c r="D114"/>
  <c r="L111"/>
  <c r="K111"/>
  <c r="D111"/>
  <c r="L110"/>
  <c r="K110"/>
  <c r="D110"/>
  <c r="L109"/>
  <c r="K109"/>
  <c r="D109"/>
  <c r="L108"/>
  <c r="K108"/>
  <c r="D108"/>
  <c r="L107"/>
  <c r="K107"/>
  <c r="D107"/>
  <c r="L106"/>
  <c r="K106"/>
  <c r="D106"/>
  <c r="L103"/>
  <c r="K103"/>
  <c r="D103"/>
  <c r="L102"/>
  <c r="K102"/>
  <c r="D102"/>
  <c r="L101"/>
  <c r="K101"/>
  <c r="D101"/>
  <c r="L100"/>
  <c r="K100"/>
  <c r="D100"/>
  <c r="L99"/>
  <c r="K99"/>
  <c r="D99"/>
  <c r="L98"/>
  <c r="K98"/>
  <c r="D98"/>
  <c r="L97"/>
  <c r="K97"/>
  <c r="D97"/>
  <c r="L96"/>
  <c r="K96"/>
  <c r="D96"/>
  <c r="L95"/>
  <c r="K95"/>
  <c r="D95"/>
  <c r="L94"/>
  <c r="K94"/>
  <c r="D94"/>
  <c r="L93"/>
  <c r="K93"/>
  <c r="D93"/>
  <c r="L92"/>
  <c r="K92"/>
  <c r="D92"/>
  <c r="L89"/>
  <c r="K89"/>
  <c r="D89"/>
  <c r="L88"/>
  <c r="K88"/>
  <c r="D88"/>
  <c r="L87"/>
  <c r="K87"/>
  <c r="D87"/>
  <c r="L86"/>
  <c r="K86"/>
  <c r="D86"/>
  <c r="L85"/>
  <c r="K85"/>
  <c r="D85"/>
  <c r="L84"/>
  <c r="K84"/>
  <c r="D84"/>
  <c r="L83"/>
  <c r="K83"/>
  <c r="D83"/>
  <c r="L82"/>
  <c r="K82"/>
  <c r="D82"/>
  <c r="L81"/>
  <c r="K81"/>
  <c r="D81"/>
  <c r="L80"/>
  <c r="K80"/>
  <c r="D80"/>
  <c r="L79"/>
  <c r="K79"/>
  <c r="D79"/>
  <c r="L78"/>
  <c r="K78"/>
  <c r="D78"/>
  <c r="L77"/>
  <c r="K77"/>
  <c r="D77"/>
  <c r="L74"/>
  <c r="K74"/>
  <c r="D74"/>
  <c r="L73"/>
  <c r="K73"/>
  <c r="D73"/>
  <c r="L72"/>
  <c r="K72"/>
  <c r="D72"/>
  <c r="L71"/>
  <c r="K71"/>
  <c r="D71"/>
  <c r="L70"/>
  <c r="K70"/>
  <c r="D70"/>
  <c r="L69"/>
  <c r="K69"/>
  <c r="D69"/>
  <c r="L68"/>
  <c r="K68"/>
  <c r="D68"/>
  <c r="L67"/>
  <c r="K67"/>
  <c r="D67"/>
  <c r="L66"/>
  <c r="K66"/>
  <c r="D66"/>
  <c r="L65"/>
  <c r="K65"/>
  <c r="D65"/>
  <c r="L64"/>
  <c r="K64"/>
  <c r="D64"/>
  <c r="L63"/>
  <c r="K63"/>
  <c r="D63"/>
  <c r="L62"/>
  <c r="K62"/>
  <c r="D62"/>
  <c r="L61"/>
  <c r="K61"/>
  <c r="D61"/>
  <c r="L60"/>
  <c r="K60"/>
  <c r="D60"/>
  <c r="L59"/>
  <c r="K59"/>
  <c r="D59"/>
  <c r="L58"/>
  <c r="K58"/>
  <c r="D58"/>
  <c r="L57"/>
  <c r="K57"/>
  <c r="D57"/>
  <c r="L54"/>
  <c r="K54"/>
  <c r="D54"/>
  <c r="L53"/>
  <c r="K53"/>
  <c r="D53"/>
  <c r="L52"/>
  <c r="K52"/>
  <c r="D52"/>
  <c r="L51"/>
  <c r="K51"/>
  <c r="D51"/>
  <c r="L50"/>
  <c r="K50"/>
  <c r="D50"/>
  <c r="L49"/>
  <c r="K49"/>
  <c r="D49"/>
  <c r="L48"/>
  <c r="K48"/>
  <c r="D48"/>
  <c r="L47"/>
  <c r="K47"/>
  <c r="D47"/>
  <c r="L46"/>
  <c r="K46"/>
  <c r="D46"/>
  <c r="L45"/>
  <c r="K45"/>
  <c r="D45"/>
  <c r="L44"/>
  <c r="K44"/>
  <c r="D44"/>
  <c r="L41"/>
  <c r="K41"/>
  <c r="D41"/>
  <c r="L40"/>
  <c r="K40"/>
  <c r="D40"/>
  <c r="L39"/>
  <c r="K39"/>
  <c r="D39"/>
  <c r="L38"/>
  <c r="K38"/>
  <c r="D38"/>
  <c r="L37"/>
  <c r="K37"/>
  <c r="D37"/>
  <c r="L36"/>
  <c r="K36"/>
  <c r="D36"/>
  <c r="L35"/>
  <c r="K35"/>
  <c r="D35"/>
  <c r="L32"/>
  <c r="K32"/>
  <c r="D32"/>
  <c r="L31"/>
  <c r="K31"/>
  <c r="D31"/>
  <c r="L28"/>
  <c r="K28"/>
  <c r="D28"/>
  <c r="L25"/>
  <c r="K25"/>
  <c r="D25"/>
  <c r="L22"/>
  <c r="K22"/>
  <c r="D22"/>
  <c r="L19"/>
  <c r="K19"/>
  <c r="D19"/>
  <c r="L18"/>
  <c r="K18"/>
  <c r="D18"/>
  <c r="L17"/>
  <c r="K17"/>
  <c r="D17"/>
  <c r="L16"/>
  <c r="K16"/>
  <c r="D16"/>
  <c r="L13"/>
  <c r="K13"/>
  <c r="D13"/>
  <c r="L12"/>
  <c r="K12"/>
  <c r="D12"/>
  <c r="L9"/>
  <c r="K9"/>
  <c r="D9"/>
  <c r="L6"/>
  <c r="K6"/>
  <c r="D6"/>
  <c r="L10" i="8"/>
  <c r="K10"/>
  <c r="D10"/>
  <c r="L9"/>
  <c r="K9"/>
  <c r="D9"/>
  <c r="L6"/>
  <c r="K6"/>
  <c r="D6"/>
  <c r="L32" i="7"/>
  <c r="K32"/>
  <c r="D32"/>
  <c r="L31"/>
  <c r="K31"/>
  <c r="D31"/>
  <c r="L30"/>
  <c r="K30"/>
  <c r="D30"/>
  <c r="L27"/>
  <c r="K27"/>
  <c r="D27"/>
  <c r="L26"/>
  <c r="K26"/>
  <c r="D26"/>
  <c r="L25"/>
  <c r="K25"/>
  <c r="D25"/>
  <c r="L22"/>
  <c r="K22"/>
  <c r="D22"/>
  <c r="L19"/>
  <c r="K19"/>
  <c r="D19"/>
  <c r="L16"/>
  <c r="K16"/>
  <c r="D16"/>
  <c r="L13"/>
  <c r="K13"/>
  <c r="D13"/>
  <c r="L12"/>
  <c r="K12"/>
  <c r="D12"/>
  <c r="L9"/>
  <c r="K9"/>
  <c r="D9"/>
  <c r="L6"/>
  <c r="K6"/>
  <c r="D6"/>
  <c r="L56" i="6"/>
  <c r="K56"/>
  <c r="D56"/>
  <c r="L53"/>
  <c r="K53"/>
  <c r="D53"/>
  <c r="L52"/>
  <c r="K52"/>
  <c r="D52"/>
  <c r="L51"/>
  <c r="K51"/>
  <c r="D51"/>
  <c r="L48"/>
  <c r="K48"/>
  <c r="D48"/>
  <c r="L47"/>
  <c r="K47"/>
  <c r="D47"/>
  <c r="L46"/>
  <c r="K46"/>
  <c r="D46"/>
  <c r="L45"/>
  <c r="K45"/>
  <c r="D45"/>
  <c r="L44"/>
  <c r="K44"/>
  <c r="D44"/>
  <c r="L43"/>
  <c r="K43"/>
  <c r="D43"/>
  <c r="L42"/>
  <c r="K42"/>
  <c r="D42"/>
  <c r="L39"/>
  <c r="K39"/>
  <c r="D39"/>
  <c r="L38"/>
  <c r="K38"/>
  <c r="D38"/>
  <c r="L37"/>
  <c r="K37"/>
  <c r="D37"/>
  <c r="L36"/>
  <c r="K36"/>
  <c r="D36"/>
  <c r="L35"/>
  <c r="K35"/>
  <c r="D35"/>
  <c r="L34"/>
  <c r="K34"/>
  <c r="D34"/>
  <c r="L33"/>
  <c r="K33"/>
  <c r="D33"/>
  <c r="L32"/>
  <c r="K32"/>
  <c r="D32"/>
  <c r="L29"/>
  <c r="K29"/>
  <c r="D29"/>
  <c r="L28"/>
  <c r="K28"/>
  <c r="D28"/>
  <c r="L27"/>
  <c r="K27"/>
  <c r="D27"/>
  <c r="L26"/>
  <c r="K26"/>
  <c r="D26"/>
  <c r="L25"/>
  <c r="K25"/>
  <c r="D25"/>
  <c r="L24"/>
  <c r="K24"/>
  <c r="D24"/>
  <c r="L23"/>
  <c r="K23"/>
  <c r="D23"/>
  <c r="L20"/>
  <c r="K20"/>
  <c r="D20"/>
  <c r="L19"/>
  <c r="K19"/>
  <c r="D19"/>
  <c r="L16"/>
  <c r="K16"/>
  <c r="D16"/>
  <c r="L15"/>
  <c r="K15"/>
  <c r="D15"/>
  <c r="L14"/>
  <c r="K14"/>
  <c r="D14"/>
  <c r="L13"/>
  <c r="K13"/>
  <c r="D13"/>
  <c r="L10"/>
  <c r="K10"/>
  <c r="D10"/>
  <c r="L7"/>
  <c r="K7"/>
  <c r="D7"/>
  <c r="L6"/>
  <c r="K6"/>
  <c r="D6"/>
  <c r="L46" i="5"/>
  <c r="K46"/>
  <c r="D46"/>
  <c r="L45"/>
  <c r="K45"/>
  <c r="D45"/>
  <c r="L42"/>
  <c r="K42"/>
  <c r="D42"/>
  <c r="L41"/>
  <c r="K41"/>
  <c r="D41"/>
  <c r="L38"/>
  <c r="K38"/>
  <c r="D38"/>
  <c r="L37"/>
  <c r="K37"/>
  <c r="D37"/>
  <c r="L36"/>
  <c r="K36"/>
  <c r="D36"/>
  <c r="L35"/>
  <c r="K35"/>
  <c r="D35"/>
  <c r="L34"/>
  <c r="K34"/>
  <c r="D34"/>
  <c r="L31"/>
  <c r="K31"/>
  <c r="D31"/>
  <c r="L30"/>
  <c r="K30"/>
  <c r="D30"/>
  <c r="L29"/>
  <c r="K29"/>
  <c r="D29"/>
  <c r="L26"/>
  <c r="K26"/>
  <c r="D26"/>
  <c r="L25"/>
  <c r="K25"/>
  <c r="D25"/>
  <c r="L24"/>
  <c r="K24"/>
  <c r="D24"/>
  <c r="L21"/>
  <c r="K21"/>
  <c r="D21"/>
  <c r="L20"/>
  <c r="K20"/>
  <c r="D20"/>
  <c r="L17"/>
  <c r="K17"/>
  <c r="D17"/>
  <c r="L16"/>
  <c r="K16"/>
  <c r="D16"/>
  <c r="L13"/>
  <c r="K13"/>
  <c r="D13"/>
  <c r="L12"/>
  <c r="K12"/>
  <c r="D12"/>
  <c r="L9"/>
  <c r="K9"/>
  <c r="D9"/>
  <c r="L6"/>
  <c r="K6"/>
  <c r="D6"/>
</calcChain>
</file>

<file path=xl/sharedStrings.xml><?xml version="1.0" encoding="utf-8"?>
<sst xmlns="http://schemas.openxmlformats.org/spreadsheetml/2006/main" count="3324" uniqueCount="1250">
  <si>
    <t>ФИО</t>
  </si>
  <si>
    <t>Жим</t>
  </si>
  <si>
    <t>Тренер</t>
  </si>
  <si>
    <t>Очки</t>
  </si>
  <si>
    <t>Команда</t>
  </si>
  <si>
    <t>Рек</t>
  </si>
  <si>
    <t>Возр груп
Год. р./Возраст</t>
  </si>
  <si>
    <t>Город/область</t>
  </si>
  <si>
    <t>Соб.
Вес</t>
  </si>
  <si>
    <t>Wilks</t>
  </si>
  <si>
    <t>ВЕСОВАЯ КАТЕГОРИЯ   60</t>
  </si>
  <si>
    <t>1. Милохова Алена</t>
  </si>
  <si>
    <t>Открытая (30.01.1991)/27</t>
  </si>
  <si>
    <t>58,30</t>
  </si>
  <si>
    <t xml:space="preserve">Москва </t>
  </si>
  <si>
    <t xml:space="preserve">Москва/ </t>
  </si>
  <si>
    <t>70,0</t>
  </si>
  <si>
    <t>75,0</t>
  </si>
  <si>
    <t>77,5</t>
  </si>
  <si>
    <t xml:space="preserve"> </t>
  </si>
  <si>
    <t>ВЕСОВАЯ КАТЕГОРИЯ   56</t>
  </si>
  <si>
    <t>1. Пэлэдуцэ Лучиан</t>
  </si>
  <si>
    <t>Юноши 14 - 15 (16.08.2004)/13</t>
  </si>
  <si>
    <t>54,20</t>
  </si>
  <si>
    <t xml:space="preserve">Московская </t>
  </si>
  <si>
    <t xml:space="preserve">Домодедово/Московская область </t>
  </si>
  <si>
    <t>45,0</t>
  </si>
  <si>
    <t>50,0</t>
  </si>
  <si>
    <t>52,5</t>
  </si>
  <si>
    <t xml:space="preserve">Петров А.В. </t>
  </si>
  <si>
    <t>ВЕСОВАЯ КАТЕГОРИЯ   67.5</t>
  </si>
  <si>
    <t>-. Русу Даниел</t>
  </si>
  <si>
    <t>Юноши 14 - 15 (03.09.2003)/14</t>
  </si>
  <si>
    <t>67,10</t>
  </si>
  <si>
    <t>65,0</t>
  </si>
  <si>
    <t>1. Проскуряков Александр</t>
  </si>
  <si>
    <t>Ветераны 80+ (13.07.1935)/82</t>
  </si>
  <si>
    <t>64,80</t>
  </si>
  <si>
    <t xml:space="preserve">Удмуртия </t>
  </si>
  <si>
    <t xml:space="preserve">Глазов/Удмуртия </t>
  </si>
  <si>
    <t>40,0</t>
  </si>
  <si>
    <t xml:space="preserve">Поздеев А.А. </t>
  </si>
  <si>
    <t>ВЕСОВАЯ КАТЕГОРИЯ   75</t>
  </si>
  <si>
    <t>1. Кулаков Владимир</t>
  </si>
  <si>
    <t>Открытая (24.12.1955)/62</t>
  </si>
  <si>
    <t>73,50</t>
  </si>
  <si>
    <t>67,5</t>
  </si>
  <si>
    <t xml:space="preserve">. </t>
  </si>
  <si>
    <t>Ветераны 60 - 64 (24.12.1955)/62</t>
  </si>
  <si>
    <t>ВЕСОВАЯ КАТЕГОРИЯ   82.5</t>
  </si>
  <si>
    <t>1. Озеров Антон</t>
  </si>
  <si>
    <t>Открытая (05.03.1987)/31</t>
  </si>
  <si>
    <t>81,50</t>
  </si>
  <si>
    <t xml:space="preserve">Истра/Московская область </t>
  </si>
  <si>
    <t>150,0</t>
  </si>
  <si>
    <t>162,5</t>
  </si>
  <si>
    <t>170,0</t>
  </si>
  <si>
    <t xml:space="preserve">Лазарев В. </t>
  </si>
  <si>
    <t>Молочков Алексей</t>
  </si>
  <si>
    <t>1. Молочков Алексей</t>
  </si>
  <si>
    <t>Ветераны 55 - 59 (08.08.1962)/55</t>
  </si>
  <si>
    <t>82,50</t>
  </si>
  <si>
    <t>135,0</t>
  </si>
  <si>
    <t>140,0</t>
  </si>
  <si>
    <t>145,0</t>
  </si>
  <si>
    <t xml:space="preserve">Антипов Д.В. </t>
  </si>
  <si>
    <t>ВЕСОВАЯ КАТЕГОРИЯ   90</t>
  </si>
  <si>
    <t>Фирюлин Сергей</t>
  </si>
  <si>
    <t>1. Фирюлин Сергей</t>
  </si>
  <si>
    <t>Открытая (05.04.1980)/38</t>
  </si>
  <si>
    <t>88,10</t>
  </si>
  <si>
    <t>175,0</t>
  </si>
  <si>
    <t>180,0</t>
  </si>
  <si>
    <t xml:space="preserve">Самост </t>
  </si>
  <si>
    <t>2. Аксенчик Вадим</t>
  </si>
  <si>
    <t>Открытая (26.05.1982)/35</t>
  </si>
  <si>
    <t>89,70</t>
  </si>
  <si>
    <t xml:space="preserve">Беларусь </t>
  </si>
  <si>
    <t xml:space="preserve">Минск/Беларусь </t>
  </si>
  <si>
    <t>167,5</t>
  </si>
  <si>
    <t>172,5</t>
  </si>
  <si>
    <t>Пономарев Александр</t>
  </si>
  <si>
    <t>1. Пономарев Александр</t>
  </si>
  <si>
    <t>Ветераны 60 - 64 (24.06.1958)/59</t>
  </si>
  <si>
    <t xml:space="preserve">Можга/Удмуртия </t>
  </si>
  <si>
    <t>142,5</t>
  </si>
  <si>
    <t>ВЕСОВАЯ КАТЕГОРИЯ   100</t>
  </si>
  <si>
    <t>1. Лазарев Денис</t>
  </si>
  <si>
    <t>Юноши 14 - 15 (02.09.2003)/14</t>
  </si>
  <si>
    <t>90,90</t>
  </si>
  <si>
    <t xml:space="preserve">Лично </t>
  </si>
  <si>
    <t xml:space="preserve">Лазарев А. </t>
  </si>
  <si>
    <t>1. Останин Максим</t>
  </si>
  <si>
    <t>Ветераны 40 - 44 (08.05.1975)/42</t>
  </si>
  <si>
    <t>98,00</t>
  </si>
  <si>
    <t xml:space="preserve">Балашиха/Московская область </t>
  </si>
  <si>
    <t>155,0</t>
  </si>
  <si>
    <t xml:space="preserve">Сюта А.В. </t>
  </si>
  <si>
    <t>1. Дудырев Александр</t>
  </si>
  <si>
    <t>Ветераны 60 - 64 (11.03.1957)/61</t>
  </si>
  <si>
    <t>93,70</t>
  </si>
  <si>
    <t>110,0</t>
  </si>
  <si>
    <t>115,0</t>
  </si>
  <si>
    <t>ВЕСОВАЯ КАТЕГОРИЯ   110</t>
  </si>
  <si>
    <t>1. Дикарев Владислав</t>
  </si>
  <si>
    <t>Юниоры 20 - 23 (19.04.1996)/22</t>
  </si>
  <si>
    <t>107,80</t>
  </si>
  <si>
    <t xml:space="preserve">Щёлково/Московская область </t>
  </si>
  <si>
    <t>185,0</t>
  </si>
  <si>
    <t>190,0</t>
  </si>
  <si>
    <t>195,0</t>
  </si>
  <si>
    <t xml:space="preserve">Карпов А.М. </t>
  </si>
  <si>
    <t>1. Рыбин Дмитрий</t>
  </si>
  <si>
    <t>Открытая (23.10.1993)/24</t>
  </si>
  <si>
    <t>110,00</t>
  </si>
  <si>
    <t xml:space="preserve">Долгопрудный/Московская область </t>
  </si>
  <si>
    <t xml:space="preserve">Черней Б. </t>
  </si>
  <si>
    <t>Голубев Юрий</t>
  </si>
  <si>
    <t>1. Голубев Юрий</t>
  </si>
  <si>
    <t>Ветераны 45 - 49 (30.08.1969)/48</t>
  </si>
  <si>
    <t>107,30</t>
  </si>
  <si>
    <t>160,0</t>
  </si>
  <si>
    <t xml:space="preserve">- </t>
  </si>
  <si>
    <t>1. Суворов Юрий</t>
  </si>
  <si>
    <t>Ветераны 50 - 54 (22.11.1965)/52</t>
  </si>
  <si>
    <t>107,00</t>
  </si>
  <si>
    <t xml:space="preserve">Михайлов С. </t>
  </si>
  <si>
    <t>-. Рогозин Александр</t>
  </si>
  <si>
    <t>Ветераны 55 - 59 (20.10.1962)/55</t>
  </si>
  <si>
    <t>106,50</t>
  </si>
  <si>
    <t>ВЕСОВАЯ КАТЕГОРИЯ   125</t>
  </si>
  <si>
    <t>1. Селькин Дмитрий</t>
  </si>
  <si>
    <t>Ветераны 40 - 44 (09.05.1977)/40</t>
  </si>
  <si>
    <t>115,20</t>
  </si>
  <si>
    <t>2. Груздев Александр</t>
  </si>
  <si>
    <t>Ветераны 40 - 44 (24.04.1977)/40</t>
  </si>
  <si>
    <t>111,70</t>
  </si>
  <si>
    <t>125,0</t>
  </si>
  <si>
    <t>130,0</t>
  </si>
  <si>
    <t>ВЕСОВАЯ КАТЕГОРИЯ   140+</t>
  </si>
  <si>
    <t>1. Галюченко Игорь</t>
  </si>
  <si>
    <t>Ветераны 40 - 44 (13.03.1978)/40</t>
  </si>
  <si>
    <t>160,60</t>
  </si>
  <si>
    <t xml:space="preserve">Краснознаменск/Московская область </t>
  </si>
  <si>
    <t>200,0</t>
  </si>
  <si>
    <t>205,0</t>
  </si>
  <si>
    <t>210,0</t>
  </si>
  <si>
    <t>2. Лазарев Андрей</t>
  </si>
  <si>
    <t>Ветераны 40 - 44 (27.06.1977)/40</t>
  </si>
  <si>
    <t>146,50</t>
  </si>
  <si>
    <t xml:space="preserve">Петров А.И. 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</si>
  <si>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</si>
  <si>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</si>
  <si>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</si>
  <si>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</si>
  <si>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</si>
  <si>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</si>
  <si>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</si>
  <si>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</si>
  <si>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</si>
  <si>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</si>
  <si>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</si>
  <si>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</si>
  <si>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</si>
  <si>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60,0</t>
  </si>
  <si>
    <t xml:space="preserve">Мужчины </t>
  </si>
  <si>
    <t xml:space="preserve">Юноши </t>
  </si>
  <si>
    <t>100,0</t>
  </si>
  <si>
    <t xml:space="preserve">Юниоры </t>
  </si>
  <si>
    <t xml:space="preserve">Юниоры 20 - 23 </t>
  </si>
  <si>
    <t>90,0</t>
  </si>
  <si>
    <t>116,1900</t>
  </si>
  <si>
    <t>82,5</t>
  </si>
  <si>
    <t xml:space="preserve">Ветераны </t>
  </si>
  <si>
    <t xml:space="preserve">Ветераны 55 - 59 </t>
  </si>
  <si>
    <t>118,9910</t>
  </si>
  <si>
    <t xml:space="preserve">Ветераны 60 - 64 </t>
  </si>
  <si>
    <t>118,8366</t>
  </si>
  <si>
    <t xml:space="preserve">Ветераны 45 - 49 </t>
  </si>
  <si>
    <t>113,8796</t>
  </si>
  <si>
    <t>0,0</t>
  </si>
  <si>
    <t>Результат</t>
  </si>
  <si>
    <t>1. Казакова Надежда</t>
  </si>
  <si>
    <t>Открытая (02.12.1985)/32</t>
  </si>
  <si>
    <t>65,50</t>
  </si>
  <si>
    <t xml:space="preserve">Котов Н. </t>
  </si>
  <si>
    <t>-. Макунина Маргарита</t>
  </si>
  <si>
    <t>Ветераны 45 - 49 (07.03.1969)/49</t>
  </si>
  <si>
    <t>61,10</t>
  </si>
  <si>
    <t xml:space="preserve">Озёры/Московская область </t>
  </si>
  <si>
    <t>1. Яковлева Ирина</t>
  </si>
  <si>
    <t>Открытая (08.01.1970)/48</t>
  </si>
  <si>
    <t>80,70</t>
  </si>
  <si>
    <t xml:space="preserve">Солнечногорск/Московская область </t>
  </si>
  <si>
    <t>102,5</t>
  </si>
  <si>
    <t xml:space="preserve">Лепешичев А.А. </t>
  </si>
  <si>
    <t>1. Шостак Алексей</t>
  </si>
  <si>
    <t>Открытая (16.08.1989)/28</t>
  </si>
  <si>
    <t>74,70</t>
  </si>
  <si>
    <t xml:space="preserve">Наро-Фоминск/Московская область </t>
  </si>
  <si>
    <t>157,5</t>
  </si>
  <si>
    <t>2. Петрокович Николай</t>
  </si>
  <si>
    <t>Открытая (17.08.1979)/38</t>
  </si>
  <si>
    <t>75,00</t>
  </si>
  <si>
    <t>112,5</t>
  </si>
  <si>
    <t>120,0</t>
  </si>
  <si>
    <t>3. Румянцев Александр</t>
  </si>
  <si>
    <t>Открытая (26.06.1991)/26</t>
  </si>
  <si>
    <t>69,70</t>
  </si>
  <si>
    <t xml:space="preserve">Селятино/Московская область </t>
  </si>
  <si>
    <t>105,0</t>
  </si>
  <si>
    <t xml:space="preserve">Тимченко С.С. </t>
  </si>
  <si>
    <t>1. Ионов Николай</t>
  </si>
  <si>
    <t>Ветераны 65 - 69 (20.05.1949)/68</t>
  </si>
  <si>
    <t>73,00</t>
  </si>
  <si>
    <t>107,5</t>
  </si>
  <si>
    <t xml:space="preserve">Хуснетдинова Т.И. </t>
  </si>
  <si>
    <t>1. Сюта Алексей</t>
  </si>
  <si>
    <t>Открытая (12.12.1979)/38</t>
  </si>
  <si>
    <t>75,50</t>
  </si>
  <si>
    <t xml:space="preserve">Омская </t>
  </si>
  <si>
    <t xml:space="preserve">Омск/Омская область </t>
  </si>
  <si>
    <t xml:space="preserve">Манцеров А.А. </t>
  </si>
  <si>
    <t>1. Лелюшкин Николай</t>
  </si>
  <si>
    <t>Ветераны 70 - 74 (22.03.1948)/70</t>
  </si>
  <si>
    <t>76,00</t>
  </si>
  <si>
    <t xml:space="preserve">Королёв/Московская область </t>
  </si>
  <si>
    <t>80,0</t>
  </si>
  <si>
    <t xml:space="preserve">Санников В.М. </t>
  </si>
  <si>
    <t>Евтеев Алексей</t>
  </si>
  <si>
    <t>1. Евтеев Алексей</t>
  </si>
  <si>
    <t>Юниоры 20 - 23 (08.08.1994)/23</t>
  </si>
  <si>
    <t>89,60</t>
  </si>
  <si>
    <t>207,5</t>
  </si>
  <si>
    <t xml:space="preserve">Бойко Ю.М. </t>
  </si>
  <si>
    <t>Открытая (08.08.1994)/23</t>
  </si>
  <si>
    <t>2. Снежков Илья</t>
  </si>
  <si>
    <t>Открытая (06.12.1989)/28</t>
  </si>
  <si>
    <t>3. Пыхтин Дмитрий</t>
  </si>
  <si>
    <t>Открытая (18.01.1991)/27</t>
  </si>
  <si>
    <t>85,00</t>
  </si>
  <si>
    <t>147,5</t>
  </si>
  <si>
    <t xml:space="preserve">Угличин И.В. </t>
  </si>
  <si>
    <t>-. Елов Владимир</t>
  </si>
  <si>
    <t>Открытая (04.03.1991)/27</t>
  </si>
  <si>
    <t>87,00</t>
  </si>
  <si>
    <t>Костев Николай</t>
  </si>
  <si>
    <t>1. Костев Николай</t>
  </si>
  <si>
    <t>Ветераны 55 - 59 (17.12.1959)/58</t>
  </si>
  <si>
    <t>86,30</t>
  </si>
  <si>
    <t xml:space="preserve">Сергиев Посад/Московская область </t>
  </si>
  <si>
    <t>165,0</t>
  </si>
  <si>
    <t>Хуснетдинов Амир</t>
  </si>
  <si>
    <t>1. Хуснетдинов Амир</t>
  </si>
  <si>
    <t>Ветераны 70 - 74 (01.03.1948)/70</t>
  </si>
  <si>
    <t>88,30</t>
  </si>
  <si>
    <t>1. Беракчян Андраник</t>
  </si>
  <si>
    <t>Юноши 14 - 15 (25.06.2003)/14</t>
  </si>
  <si>
    <t xml:space="preserve">Мытищи/Московская область </t>
  </si>
  <si>
    <t xml:space="preserve">Миронян С.М. </t>
  </si>
  <si>
    <t>1. Молотиевский Павел</t>
  </si>
  <si>
    <t>Юноши 16 - 19 (17.06.1998)/19</t>
  </si>
  <si>
    <t xml:space="preserve">Петров </t>
  </si>
  <si>
    <t>Орлов Илья</t>
  </si>
  <si>
    <t>1. Орлов Илья</t>
  </si>
  <si>
    <t>Открытая (23.06.1982)/35</t>
  </si>
  <si>
    <t>100,00</t>
  </si>
  <si>
    <t xml:space="preserve">Воскресенск/Московская область </t>
  </si>
  <si>
    <t>220,0</t>
  </si>
  <si>
    <t>225,0</t>
  </si>
  <si>
    <t>230,0</t>
  </si>
  <si>
    <t xml:space="preserve">Краснов Н.Н. </t>
  </si>
  <si>
    <t>2. Гаврилюк Сергей</t>
  </si>
  <si>
    <t>Открытая (02.09.1988)/29</t>
  </si>
  <si>
    <t>97,80</t>
  </si>
  <si>
    <t>182,5</t>
  </si>
  <si>
    <t>187,5</t>
  </si>
  <si>
    <t>192,5</t>
  </si>
  <si>
    <t>3. Калинин Дмитрий</t>
  </si>
  <si>
    <t>Открытая (22.07.1983)/34</t>
  </si>
  <si>
    <t>97,70</t>
  </si>
  <si>
    <t>1. Латышев Андрей</t>
  </si>
  <si>
    <t>Ветераны 45 - 49 (16.04.1973)/45</t>
  </si>
  <si>
    <t>99,40</t>
  </si>
  <si>
    <t xml:space="preserve">Фомин Ю. </t>
  </si>
  <si>
    <t>2. Струлев Алексей</t>
  </si>
  <si>
    <t>Ветераны 45 - 49 (19.03.1971)/47</t>
  </si>
  <si>
    <t>99,00</t>
  </si>
  <si>
    <t xml:space="preserve">Клин/Московская область </t>
  </si>
  <si>
    <t>1. Петров Александр</t>
  </si>
  <si>
    <t>Ветераны 55 - 59 (17.07.1960)/57</t>
  </si>
  <si>
    <t>93,50</t>
  </si>
  <si>
    <t>1. Ушаков Никита</t>
  </si>
  <si>
    <t>Юноши 16 - 19 (15.04.2001)/17</t>
  </si>
  <si>
    <t>1. Кухневский Андрей</t>
  </si>
  <si>
    <t>Открытая (30.11.1981)/36</t>
  </si>
  <si>
    <t>101,70</t>
  </si>
  <si>
    <t xml:space="preserve">Ивантеевка/Московская область </t>
  </si>
  <si>
    <t>215,0</t>
  </si>
  <si>
    <t xml:space="preserve">Чевордаев В.А. </t>
  </si>
  <si>
    <t>2. Рыбин Дмитрий</t>
  </si>
  <si>
    <t>197,5</t>
  </si>
  <si>
    <t>3. Крупский Дмитрий</t>
  </si>
  <si>
    <t>Открытая (10.12.1984)/33</t>
  </si>
  <si>
    <t>106,20</t>
  </si>
  <si>
    <t xml:space="preserve">Угличев И.В. </t>
  </si>
  <si>
    <t>4. Чапаев Максим</t>
  </si>
  <si>
    <t>105,00</t>
  </si>
  <si>
    <t>1. Старов Дмитрий</t>
  </si>
  <si>
    <t>Ветераны 45 - 49 (01.02.1973)/45</t>
  </si>
  <si>
    <t>108,10</t>
  </si>
  <si>
    <t>152,5</t>
  </si>
  <si>
    <t>Кабанов Дмитрий</t>
  </si>
  <si>
    <t>1. Кабанов Дмитрий</t>
  </si>
  <si>
    <t>Открытая (15.06.1987)/30</t>
  </si>
  <si>
    <t>118,30</t>
  </si>
  <si>
    <t xml:space="preserve">Тульская </t>
  </si>
  <si>
    <t xml:space="preserve">Тула/Тульская область </t>
  </si>
  <si>
    <t>235,0</t>
  </si>
  <si>
    <t>240,0</t>
  </si>
  <si>
    <t>242,5</t>
  </si>
  <si>
    <t>1. Нурахметов Вячеслав</t>
  </si>
  <si>
    <t>Ветераны 55 - 59 (29.10.1962)/55</t>
  </si>
  <si>
    <t>120,40</t>
  </si>
  <si>
    <t>2. Дадонов Андрей</t>
  </si>
  <si>
    <t>Ветераны 55 - 59 (25.07.1959)/58</t>
  </si>
  <si>
    <t>123,80</t>
  </si>
  <si>
    <t>ВЕСОВАЯ КАТЕГОРИЯ   140</t>
  </si>
  <si>
    <t>1. Яничев Александр</t>
  </si>
  <si>
    <t>Открытая (13.05.1977)/40</t>
  </si>
  <si>
    <t>125,60</t>
  </si>
  <si>
    <t xml:space="preserve">Шостак А.С. </t>
  </si>
  <si>
    <t xml:space="preserve">Юноши 16 - 19 </t>
  </si>
  <si>
    <t>127,9600</t>
  </si>
  <si>
    <t>139,9780</t>
  </si>
  <si>
    <t>138,4560</t>
  </si>
  <si>
    <t xml:space="preserve">Ветераны 70 - 74 </t>
  </si>
  <si>
    <t>151,1257</t>
  </si>
  <si>
    <t xml:space="preserve">Ветераны 65 - 69 </t>
  </si>
  <si>
    <t>Кремлевский жим 2018
WPU Жим лежа в Однослойной экипировке
Москва/ апреля 2018 г.</t>
  </si>
  <si>
    <t>1. Таскаева Екатерина</t>
  </si>
  <si>
    <t>Открытая (22.12.1993)/24</t>
  </si>
  <si>
    <t>57,10</t>
  </si>
  <si>
    <t>-. Смоленцева Ирина</t>
  </si>
  <si>
    <t>Открытая (10.02.1988)/30</t>
  </si>
  <si>
    <t>67,50</t>
  </si>
  <si>
    <t xml:space="preserve">Пушкино/Московская область </t>
  </si>
  <si>
    <t xml:space="preserve">Филатов В. </t>
  </si>
  <si>
    <t>1. Краснов Николай</t>
  </si>
  <si>
    <t>Ветераны 55 - 59 (22.07.1960)/57</t>
  </si>
  <si>
    <t>82,00</t>
  </si>
  <si>
    <t>1. Талалаев Сергей</t>
  </si>
  <si>
    <t>Ветераны 45 - 49 (07.09.1968)/49</t>
  </si>
  <si>
    <t>88,50</t>
  </si>
  <si>
    <t xml:space="preserve">Самарская </t>
  </si>
  <si>
    <t xml:space="preserve">Тольятти/Самарская область </t>
  </si>
  <si>
    <t>-. Филиппов Кирилл</t>
  </si>
  <si>
    <t>Открытая (07.01.1989)/29</t>
  </si>
  <si>
    <t xml:space="preserve">Тучково/Московская область </t>
  </si>
  <si>
    <t>262,5</t>
  </si>
  <si>
    <t>Пешко Владимир</t>
  </si>
  <si>
    <t>1. Пешко Владимир</t>
  </si>
  <si>
    <t>Открытая (12.02.1970)/48</t>
  </si>
  <si>
    <t>107,70</t>
  </si>
  <si>
    <t>250,0</t>
  </si>
  <si>
    <t xml:space="preserve">Максимов С.Н. </t>
  </si>
  <si>
    <t>2. Кузнецов Евгений</t>
  </si>
  <si>
    <t>Открытая (09.12.1990)/27</t>
  </si>
  <si>
    <t>107,40</t>
  </si>
  <si>
    <t xml:space="preserve">Абдуллин М.Р. </t>
  </si>
  <si>
    <t>Ветераны 45 - 49 (12.02.1970)/48</t>
  </si>
  <si>
    <t>1. Рысцов Александр</t>
  </si>
  <si>
    <t>Открытая (02.12.1979)/38</t>
  </si>
  <si>
    <t>112,80</t>
  </si>
  <si>
    <t xml:space="preserve">Тамбовская </t>
  </si>
  <si>
    <t xml:space="preserve">Рассказово/Тамбовская область </t>
  </si>
  <si>
    <t>2. Мордвинцев Олег</t>
  </si>
  <si>
    <t>Открытая (22.03.1973)/45</t>
  </si>
  <si>
    <t>115,40</t>
  </si>
  <si>
    <t xml:space="preserve">Рысцов А.В. </t>
  </si>
  <si>
    <t>1. Мордвинцев Олег</t>
  </si>
  <si>
    <t>Ветераны 40 - 44 (22.03.1973)/45</t>
  </si>
  <si>
    <t>148,1000</t>
  </si>
  <si>
    <t>Кремлевский жим 2018
WPU Жим лежа в Многослойной экипировке
Москва/ апреля 2018 г.</t>
  </si>
  <si>
    <t>1. Зайцева Екатерина</t>
  </si>
  <si>
    <t>Открытая (12.02.1987)/31</t>
  </si>
  <si>
    <t>78,00</t>
  </si>
  <si>
    <t xml:space="preserve">Челябинская </t>
  </si>
  <si>
    <t xml:space="preserve">Магнитогорск/Челябинская облас </t>
  </si>
  <si>
    <t xml:space="preserve">Палей А.Э. </t>
  </si>
  <si>
    <t>1. Мавренков Сергей</t>
  </si>
  <si>
    <t>Открытая (05.11.1966)/51</t>
  </si>
  <si>
    <t>106,70</t>
  </si>
  <si>
    <t>252,5</t>
  </si>
  <si>
    <t>Ветераны 50 - 54 (05.11.1966)/51</t>
  </si>
  <si>
    <t>ВЕСОВАЯ КАТЕГОРИЯ   48</t>
  </si>
  <si>
    <t>1. Романова Наталья</t>
  </si>
  <si>
    <t>Открытая (18.11.1983)/34</t>
  </si>
  <si>
    <t>46,70</t>
  </si>
  <si>
    <t xml:space="preserve">Санкт-Петербург </t>
  </si>
  <si>
    <t xml:space="preserve">Санкт-Петербург/ </t>
  </si>
  <si>
    <t xml:space="preserve">Мурзаханов К.А. </t>
  </si>
  <si>
    <t>ВЕСОВАЯ КАТЕГОРИЯ   52</t>
  </si>
  <si>
    <t>1. Соколова Алена</t>
  </si>
  <si>
    <t>Юниорки 20 - 23 (14.01.1995)/23</t>
  </si>
  <si>
    <t>51,50</t>
  </si>
  <si>
    <t>57,5</t>
  </si>
  <si>
    <t>62,5</t>
  </si>
  <si>
    <t>1. Парыгина Ольга</t>
  </si>
  <si>
    <t>Открытая (15.09.1988)/29</t>
  </si>
  <si>
    <t>55,40</t>
  </si>
  <si>
    <t>72,5</t>
  </si>
  <si>
    <t xml:space="preserve">Горянинов Д. </t>
  </si>
  <si>
    <t>2. Кузнецова Евгения</t>
  </si>
  <si>
    <t>Открытая (18.12.1992)/25</t>
  </si>
  <si>
    <t>56,00</t>
  </si>
  <si>
    <t>47,5</t>
  </si>
  <si>
    <t>1. Райлян Екатерина</t>
  </si>
  <si>
    <t>Юниорки 20 - 23 (07.04.1998)/20</t>
  </si>
  <si>
    <t>59,30</t>
  </si>
  <si>
    <t>Кричмар Ольга</t>
  </si>
  <si>
    <t>1. Кричмар Ольга</t>
  </si>
  <si>
    <t>Открытая (09.03.1982)/36</t>
  </si>
  <si>
    <t>59,40</t>
  </si>
  <si>
    <t xml:space="preserve">Чекренев А.В. </t>
  </si>
  <si>
    <t>2. Ухарева Мария</t>
  </si>
  <si>
    <t>Открытая (03.05.1988)/29</t>
  </si>
  <si>
    <t>58,40</t>
  </si>
  <si>
    <t xml:space="preserve">Корнеев П.Н. </t>
  </si>
  <si>
    <t>1. Лымарева Елена</t>
  </si>
  <si>
    <t>Ветераны 50 - 54 (20.04.1966)/52</t>
  </si>
  <si>
    <t>59,20</t>
  </si>
  <si>
    <t xml:space="preserve">Вишняков М. </t>
  </si>
  <si>
    <t>-. Мальцева Анжелика</t>
  </si>
  <si>
    <t>Открытая (23.03.1983)/35</t>
  </si>
  <si>
    <t>67,30</t>
  </si>
  <si>
    <t xml:space="preserve">Железнодорожный/Московская область </t>
  </si>
  <si>
    <t xml:space="preserve">Черепков А.А. </t>
  </si>
  <si>
    <t>-. Панчишко Марина</t>
  </si>
  <si>
    <t>Открытая (18.05.1993)/24</t>
  </si>
  <si>
    <t>74,60</t>
  </si>
  <si>
    <t>42,5</t>
  </si>
  <si>
    <t>1. Третьякова Аксана</t>
  </si>
  <si>
    <t>Ветераны 50 - 54 (19.03.1965)/53</t>
  </si>
  <si>
    <t xml:space="preserve">Электросталь/Московская област </t>
  </si>
  <si>
    <t>1. Лысак Дмитрий</t>
  </si>
  <si>
    <t>Открытая (09.10.1989)/28</t>
  </si>
  <si>
    <t>57,30</t>
  </si>
  <si>
    <t>2. Данилов Артём</t>
  </si>
  <si>
    <t>Открытая (28.10.1987)/30</t>
  </si>
  <si>
    <t>58,00</t>
  </si>
  <si>
    <t xml:space="preserve">Ногинск-9/Московская область </t>
  </si>
  <si>
    <t>97,5</t>
  </si>
  <si>
    <t xml:space="preserve">Староверов А. </t>
  </si>
  <si>
    <t>1. Ходкин Дмитрий</t>
  </si>
  <si>
    <t>Юноши 14 - 15 (20.12.2002)/15</t>
  </si>
  <si>
    <t>64,40</t>
  </si>
  <si>
    <t>55,0</t>
  </si>
  <si>
    <t>1. Архаров Егор</t>
  </si>
  <si>
    <t>Юноши 16 - 19 (24.12.1998)/19</t>
  </si>
  <si>
    <t>64,60</t>
  </si>
  <si>
    <t xml:space="preserve">Лесной/Московская область </t>
  </si>
  <si>
    <t xml:space="preserve">Бусов А.Б. </t>
  </si>
  <si>
    <t>1. Айткулов Алибек</t>
  </si>
  <si>
    <t>Юниоры 20 - 23 (24.05.1994)/23</t>
  </si>
  <si>
    <t>66,70</t>
  </si>
  <si>
    <t>1. Лахири Валерий</t>
  </si>
  <si>
    <t>Открытая (31.12.1973)/44</t>
  </si>
  <si>
    <t>65,30</t>
  </si>
  <si>
    <t>117,5</t>
  </si>
  <si>
    <t>2. Косых Ярослав</t>
  </si>
  <si>
    <t>Открытая (29.09.1985)/32</t>
  </si>
  <si>
    <t>65,90</t>
  </si>
  <si>
    <t>3. Жуков Даниил</t>
  </si>
  <si>
    <t>Открытая (23.12.1990)/27</t>
  </si>
  <si>
    <t>66,40</t>
  </si>
  <si>
    <t>92,5</t>
  </si>
  <si>
    <t xml:space="preserve">Балугин Н.В. </t>
  </si>
  <si>
    <t>4. Серов Алексей</t>
  </si>
  <si>
    <t>Открытая (08.07.1981)/36</t>
  </si>
  <si>
    <t>67,00</t>
  </si>
  <si>
    <t>Емельянов Всеволод</t>
  </si>
  <si>
    <t>1. Емельянов Всеволод</t>
  </si>
  <si>
    <t>Юноши 16 - 19 (24.06.1998)/19</t>
  </si>
  <si>
    <t>132,5</t>
  </si>
  <si>
    <t>137,5</t>
  </si>
  <si>
    <t>2. Ланенкин Илья</t>
  </si>
  <si>
    <t>Юноши 16 - 19 (13.06.2000)/17</t>
  </si>
  <si>
    <t>74,50</t>
  </si>
  <si>
    <t xml:space="preserve">Фрязино/Московская область </t>
  </si>
  <si>
    <t xml:space="preserve">Ланенкин С.В. </t>
  </si>
  <si>
    <t>3. Лысенко Александр</t>
  </si>
  <si>
    <t>Юноши 16 - 19 (25.01.2002)/16</t>
  </si>
  <si>
    <t>72,50</t>
  </si>
  <si>
    <t xml:space="preserve">Рябухин В. </t>
  </si>
  <si>
    <t>1. Назаров Максим</t>
  </si>
  <si>
    <t>Юниоры 20 - 23 (16.02.1998)/20</t>
  </si>
  <si>
    <t>72,80</t>
  </si>
  <si>
    <t>2. Волков Борис</t>
  </si>
  <si>
    <t>Юниоры 20 - 23 (16.11.1997)/20</t>
  </si>
  <si>
    <t>73,70</t>
  </si>
  <si>
    <t>1. Кофи Каблан</t>
  </si>
  <si>
    <t>Открытая (15.03.1994)/24</t>
  </si>
  <si>
    <t>73,80</t>
  </si>
  <si>
    <t>2. Кулешов Родион</t>
  </si>
  <si>
    <t>Открытая (17.04.1994)/24</t>
  </si>
  <si>
    <t>72,70</t>
  </si>
  <si>
    <t>3. Чернышенко Максим</t>
  </si>
  <si>
    <t>Открытая (24.03.1987)/31</t>
  </si>
  <si>
    <t>73,90</t>
  </si>
  <si>
    <t xml:space="preserve">Прагин Р.О. </t>
  </si>
  <si>
    <t>4. Кузнецов Александр</t>
  </si>
  <si>
    <t>Открытая (04.01.1992)/26</t>
  </si>
  <si>
    <t xml:space="preserve">Ясногорск/Тульская область </t>
  </si>
  <si>
    <t>95,0</t>
  </si>
  <si>
    <t>Пивнов Владимир</t>
  </si>
  <si>
    <t>1. Пивнов Владимир</t>
  </si>
  <si>
    <t>Ветераны 60 - 64 (05.11.1953)/64</t>
  </si>
  <si>
    <t>122,5</t>
  </si>
  <si>
    <t>1. Манусевич Владимир</t>
  </si>
  <si>
    <t>Ветераны 70 - 74 (26.03.1946)/72</t>
  </si>
  <si>
    <t>73,20</t>
  </si>
  <si>
    <t xml:space="preserve">Сорокин С.В. </t>
  </si>
  <si>
    <t>1. Дряхлов Вячеслав</t>
  </si>
  <si>
    <t>Юноши 16 - 19 (08.06.1998)/19</t>
  </si>
  <si>
    <t>81,30</t>
  </si>
  <si>
    <t>2. Сабирзянов Дамир</t>
  </si>
  <si>
    <t>Юноши 16 - 19 (11.04.2000)/18</t>
  </si>
  <si>
    <t>81,20</t>
  </si>
  <si>
    <t>3. Ершов Даниил</t>
  </si>
  <si>
    <t>Юноши 16 - 19 (26.06.2000)/17</t>
  </si>
  <si>
    <t>77,80</t>
  </si>
  <si>
    <t xml:space="preserve">Пауесов А.И. </t>
  </si>
  <si>
    <t>Реунов Сергей</t>
  </si>
  <si>
    <t>1. Реунов Сергей</t>
  </si>
  <si>
    <t>Юниоры 20 - 23 (09.05.1995)/22</t>
  </si>
  <si>
    <t>82,40</t>
  </si>
  <si>
    <t xml:space="preserve">Ротару А.А. </t>
  </si>
  <si>
    <t>2. Хайдар Омед</t>
  </si>
  <si>
    <t>Юниоры 20 - 23 (01.01.1996)/22</t>
  </si>
  <si>
    <t>77,40</t>
  </si>
  <si>
    <t>127,5</t>
  </si>
  <si>
    <t>-. Поляков Иван</t>
  </si>
  <si>
    <t>Юниоры 20 - 23 (25.11.1997)/20</t>
  </si>
  <si>
    <t>82,20</t>
  </si>
  <si>
    <t xml:space="preserve">Корнеев А. </t>
  </si>
  <si>
    <t>1. Козак Константин</t>
  </si>
  <si>
    <t>Открытая (08.10.1993)/24</t>
  </si>
  <si>
    <t>2. Васютин Олег</t>
  </si>
  <si>
    <t>Открытая (30.01.1976)/42</t>
  </si>
  <si>
    <t>80,80</t>
  </si>
  <si>
    <t xml:space="preserve">Форменов А. </t>
  </si>
  <si>
    <t>3. Добудько Дмитрий</t>
  </si>
  <si>
    <t>Открытая (07.10.1982)/35</t>
  </si>
  <si>
    <t>81,10</t>
  </si>
  <si>
    <t>4. Мищенко Артем</t>
  </si>
  <si>
    <t>Открытая (26.06.1984)/33</t>
  </si>
  <si>
    <t xml:space="preserve">Чокаев У. </t>
  </si>
  <si>
    <t>5. Мухин Максим</t>
  </si>
  <si>
    <t>78,80</t>
  </si>
  <si>
    <t>6. Тимохин Павел</t>
  </si>
  <si>
    <t>Открытая (06.02.1981)/37</t>
  </si>
  <si>
    <t>7. Батров Равиль</t>
  </si>
  <si>
    <t>Открытая (05.06.1989)/28</t>
  </si>
  <si>
    <t>79,80</t>
  </si>
  <si>
    <t xml:space="preserve">Сидельников М.А. </t>
  </si>
  <si>
    <t>8. Савосин Антон</t>
  </si>
  <si>
    <t>Открытая (27.08.1991)/26</t>
  </si>
  <si>
    <t>77,00</t>
  </si>
  <si>
    <t>1. Васютин Олег</t>
  </si>
  <si>
    <t>Ветераны 40 - 44 (30.01.1976)/42</t>
  </si>
  <si>
    <t>2. Шалеников Андрей</t>
  </si>
  <si>
    <t>Ветераны 40 - 44 (18.04.1974)/44</t>
  </si>
  <si>
    <t>80,50</t>
  </si>
  <si>
    <t xml:space="preserve">Сумин А.В. </t>
  </si>
  <si>
    <t>1. Дрыгин Владлен</t>
  </si>
  <si>
    <t>Ветераны 60 - 64 (18.02.1956)/62</t>
  </si>
  <si>
    <t xml:space="preserve">Ракчеева А.О. </t>
  </si>
  <si>
    <t>Санников Владислав</t>
  </si>
  <si>
    <t>1. Санников Владислав</t>
  </si>
  <si>
    <t>Ветераны 75 - 79 (29.10.1938)/79</t>
  </si>
  <si>
    <t>76,90</t>
  </si>
  <si>
    <t>85,0</t>
  </si>
  <si>
    <t>1. Литвинов Виктор</t>
  </si>
  <si>
    <t>Юниоры 20 - 23 (09.10.1995)/22</t>
  </si>
  <si>
    <t>88,40</t>
  </si>
  <si>
    <t xml:space="preserve">Соловьев В.С. </t>
  </si>
  <si>
    <t>Костюков Антон</t>
  </si>
  <si>
    <t>1. Костюков Антон</t>
  </si>
  <si>
    <t>Открытая (14.07.1977)/40</t>
  </si>
  <si>
    <t>177,5</t>
  </si>
  <si>
    <t xml:space="preserve">Пустовой Р.В. </t>
  </si>
  <si>
    <t>2. Товпеко Роман</t>
  </si>
  <si>
    <t>Открытая (13.03.1981)/37</t>
  </si>
  <si>
    <t>89,00</t>
  </si>
  <si>
    <t>3. Новиков Игорь</t>
  </si>
  <si>
    <t>Открытая (24.08.1984)/33</t>
  </si>
  <si>
    <t>88,70</t>
  </si>
  <si>
    <t>4. Комиссаров Евгений</t>
  </si>
  <si>
    <t>Открытая (02.04.1991)/27</t>
  </si>
  <si>
    <t>84,90</t>
  </si>
  <si>
    <t xml:space="preserve">Виноградов В.В. </t>
  </si>
  <si>
    <t>5. Великанов Павел</t>
  </si>
  <si>
    <t>Открытая (08.11.1989)/28</t>
  </si>
  <si>
    <t>87,10</t>
  </si>
  <si>
    <t xml:space="preserve">Щелково-3/Московская </t>
  </si>
  <si>
    <t>6. Горянинов Денис</t>
  </si>
  <si>
    <t>Открытая (29.12.1989)/28</t>
  </si>
  <si>
    <t xml:space="preserve">Парыгина О. </t>
  </si>
  <si>
    <t>Ветераны 40 - 44 (14.07.1977)/40</t>
  </si>
  <si>
    <t>1. Меженин Иван</t>
  </si>
  <si>
    <t>Ветераны 45 - 49 (08.01.1973)/45</t>
  </si>
  <si>
    <t>1. Полунин Игорь</t>
  </si>
  <si>
    <t>Ветераны 50 - 54 (15.01.1966)/52</t>
  </si>
  <si>
    <t>87,50</t>
  </si>
  <si>
    <t>2. Тушин Алексей</t>
  </si>
  <si>
    <t>Ветераны 50 - 54 (03.05.1964)/53</t>
  </si>
  <si>
    <t>88,80</t>
  </si>
  <si>
    <t>1. Мурзаханов Калимулла</t>
  </si>
  <si>
    <t>Ветераны 60 - 64 (29.07.1955)/62</t>
  </si>
  <si>
    <t>87,70</t>
  </si>
  <si>
    <t xml:space="preserve">Исаков П.Г. </t>
  </si>
  <si>
    <t>Пивоваров Валерий</t>
  </si>
  <si>
    <t>1. Пивоваров Валерий</t>
  </si>
  <si>
    <t>Ветераны 65 - 69 (20.05.1952)/65</t>
  </si>
  <si>
    <t>84,40</t>
  </si>
  <si>
    <t>1. Большаков Петр</t>
  </si>
  <si>
    <t>Юниоры 20 - 23 (09.10.1996)/21</t>
  </si>
  <si>
    <t>96,60</t>
  </si>
  <si>
    <t>Иванов Сергей</t>
  </si>
  <si>
    <t>2. Иванов Сергей</t>
  </si>
  <si>
    <t>Юниоры 20 - 23 (23.09.1996)/21</t>
  </si>
  <si>
    <t>95,70</t>
  </si>
  <si>
    <t>3. Мязитов Олег</t>
  </si>
  <si>
    <t>Юниоры 20 - 23 (21.04.1996)/22</t>
  </si>
  <si>
    <t xml:space="preserve">Корнеев П. </t>
  </si>
  <si>
    <t>4. Малашкевич Илья</t>
  </si>
  <si>
    <t>Юниоры 20 - 23 (30.01.1997)/21</t>
  </si>
  <si>
    <t>99,20</t>
  </si>
  <si>
    <t xml:space="preserve">Криуленко П. </t>
  </si>
  <si>
    <t>1. Шабанов Вадим</t>
  </si>
  <si>
    <t>Открытая (03.02.1972)/46</t>
  </si>
  <si>
    <t>94,30</t>
  </si>
  <si>
    <t xml:space="preserve">Книщук Р. </t>
  </si>
  <si>
    <t>2. Герасименко Андрей</t>
  </si>
  <si>
    <t>Открытая (06.09.1990)/27</t>
  </si>
  <si>
    <t>97,90</t>
  </si>
  <si>
    <t>3. Долгушин Денис</t>
  </si>
  <si>
    <t>Открытая (24.04.1978)/39</t>
  </si>
  <si>
    <t>93,60</t>
  </si>
  <si>
    <t>1. Ладонцев Алексей</t>
  </si>
  <si>
    <t>Ветераны 40 - 44 (17.11.1973)/44</t>
  </si>
  <si>
    <t xml:space="preserve">Дмитров/Московская область </t>
  </si>
  <si>
    <t>-. Подфигурный Дмитрий</t>
  </si>
  <si>
    <t>Ветераны 40 - 44 (16.01.1978)/40</t>
  </si>
  <si>
    <t>96,00</t>
  </si>
  <si>
    <t>Ветераны 45 - 49 (03.02.1972)/46</t>
  </si>
  <si>
    <t>2. Веснин Артем</t>
  </si>
  <si>
    <t>Ветераны 45 - 49 (08.09.1971)/46</t>
  </si>
  <si>
    <t>96,50</t>
  </si>
  <si>
    <t>1. Безяев Алексей</t>
  </si>
  <si>
    <t>Ветераны 50 - 54 (19.06.1966)/51</t>
  </si>
  <si>
    <t>1. Демидов Дмитрий</t>
  </si>
  <si>
    <t>Юноши 16 - 19 (04.10.1998)/19</t>
  </si>
  <si>
    <t>108,00</t>
  </si>
  <si>
    <t>1. Криуленко Павел</t>
  </si>
  <si>
    <t>Юниоры 20 - 23 (20.11.1997)/20</t>
  </si>
  <si>
    <t>105,30</t>
  </si>
  <si>
    <t xml:space="preserve">Мозголов А.С. Иванкин Д.М. </t>
  </si>
  <si>
    <t>1. Черепков Алексей</t>
  </si>
  <si>
    <t>Открытая (09.06.1988)/29</t>
  </si>
  <si>
    <t>106,30</t>
  </si>
  <si>
    <t xml:space="preserve">Электросталь/Московская область </t>
  </si>
  <si>
    <t>2. Хачатрян Георгий</t>
  </si>
  <si>
    <t>Открытая (23.07.1986)/31</t>
  </si>
  <si>
    <t>108,30</t>
  </si>
  <si>
    <t xml:space="preserve">Лосино-Петровский/Московская область </t>
  </si>
  <si>
    <t>1. Ремин Кирилл</t>
  </si>
  <si>
    <t>Ветераны 40 - 44 (13.08.1975)/42</t>
  </si>
  <si>
    <t>102,80</t>
  </si>
  <si>
    <t xml:space="preserve">Пушнин М. </t>
  </si>
  <si>
    <t>1. Куротченко Игорь</t>
  </si>
  <si>
    <t>Ветераны 55 - 59 (20.03.1962)/56</t>
  </si>
  <si>
    <t>108,90</t>
  </si>
  <si>
    <t>Масалов Алексей</t>
  </si>
  <si>
    <t>1. Масалов Алексей</t>
  </si>
  <si>
    <t>Открытая (23.05.1976)/41</t>
  </si>
  <si>
    <t>115,30</t>
  </si>
  <si>
    <t>202,5</t>
  </si>
  <si>
    <t>2. Глазьев Евгений</t>
  </si>
  <si>
    <t>Открытая (13.02.1986)/32</t>
  </si>
  <si>
    <t>121,50</t>
  </si>
  <si>
    <t>3. Бочарников Максим</t>
  </si>
  <si>
    <t>Открытая (27.04.1980)/37</t>
  </si>
  <si>
    <t>118,10</t>
  </si>
  <si>
    <t xml:space="preserve">Джиоев И.Л. </t>
  </si>
  <si>
    <t>-. Чернышев Андрей</t>
  </si>
  <si>
    <t>Открытая (24.08.1981)/36</t>
  </si>
  <si>
    <t>Ветераны 40 - 44 (23.05.1976)/41</t>
  </si>
  <si>
    <t>Мишуренков Роман</t>
  </si>
  <si>
    <t>1. Мишуренков Роман</t>
  </si>
  <si>
    <t>Открытая (16.02.1982)/36</t>
  </si>
  <si>
    <t>139,90</t>
  </si>
  <si>
    <t>212,5</t>
  </si>
  <si>
    <t>81,4610</t>
  </si>
  <si>
    <t>94,4195</t>
  </si>
  <si>
    <t>107,2640</t>
  </si>
  <si>
    <t>118,7662</t>
  </si>
  <si>
    <t>117,5715</t>
  </si>
  <si>
    <t>112,8225</t>
  </si>
  <si>
    <t>123,9924</t>
  </si>
  <si>
    <t>119,8393</t>
  </si>
  <si>
    <t xml:space="preserve">Ветераны 75 - 79 </t>
  </si>
  <si>
    <t>119,3827</t>
  </si>
  <si>
    <t>ВЕСОВАЯ КАТЕГОРИЯ   44</t>
  </si>
  <si>
    <t>1. Мансурова Сабина</t>
  </si>
  <si>
    <t>Девушки 14 - 15 (03.09.2005)/12</t>
  </si>
  <si>
    <t>38,00</t>
  </si>
  <si>
    <t>30,0</t>
  </si>
  <si>
    <t>32,5</t>
  </si>
  <si>
    <t>35,0</t>
  </si>
  <si>
    <t xml:space="preserve">Плахотный В.И. </t>
  </si>
  <si>
    <t>1. Лукасевич Мария</t>
  </si>
  <si>
    <t>Открытая (28.04.1989)/28</t>
  </si>
  <si>
    <t>48,00</t>
  </si>
  <si>
    <t xml:space="preserve">Афанасьев Н. </t>
  </si>
  <si>
    <t>1. Клементьева Наталья</t>
  </si>
  <si>
    <t>Открытая (17.10.1980)/37</t>
  </si>
  <si>
    <t>51,20</t>
  </si>
  <si>
    <t xml:space="preserve">Щегольков В.И. </t>
  </si>
  <si>
    <t>2. Дьяченко Екатерина</t>
  </si>
  <si>
    <t>Открытая (29.09.1988)/29</t>
  </si>
  <si>
    <t>51,60</t>
  </si>
  <si>
    <t xml:space="preserve">Платыч М. </t>
  </si>
  <si>
    <t>3. Камышникова Марина</t>
  </si>
  <si>
    <t>Открытая (16.02.1979)/39</t>
  </si>
  <si>
    <t>51,90</t>
  </si>
  <si>
    <t xml:space="preserve">Мавренков С.В. </t>
  </si>
  <si>
    <t>1. Кущ Виктория</t>
  </si>
  <si>
    <t>Юниорки 20 - 23 (09.01.1995)/23</t>
  </si>
  <si>
    <t>53,40</t>
  </si>
  <si>
    <t xml:space="preserve">Ивлиев Л. </t>
  </si>
  <si>
    <t>2. Сенькина Лина</t>
  </si>
  <si>
    <t>Юниорки 20 - 23 (28.04.1995)/22</t>
  </si>
  <si>
    <t>54,60</t>
  </si>
  <si>
    <t>1. Кузнецова Евгения</t>
  </si>
  <si>
    <t>1. Кукушкина Анна</t>
  </si>
  <si>
    <t>Юниорки 20 - 23 (20.12.1995)/22</t>
  </si>
  <si>
    <t>58,80</t>
  </si>
  <si>
    <t>Шишкина Татьяна</t>
  </si>
  <si>
    <t>1. Шишкина Татьяна</t>
  </si>
  <si>
    <t>Открытая (17.08.1982)/35</t>
  </si>
  <si>
    <t xml:space="preserve">Мазуров С.А. </t>
  </si>
  <si>
    <t>1. Умеренкова Дарья</t>
  </si>
  <si>
    <t>Девушки 16 - 19 (24.05.1999)/18</t>
  </si>
  <si>
    <t>1. Баталова Татьяна</t>
  </si>
  <si>
    <t>Юниорки 20 - 23 (20.05.1997)/20</t>
  </si>
  <si>
    <t>65,10</t>
  </si>
  <si>
    <t>1. Казанцева Алина</t>
  </si>
  <si>
    <t>Девушки 16 - 19 (18.12.2000)/17</t>
  </si>
  <si>
    <t>72,90</t>
  </si>
  <si>
    <t>1. Панчишко Марина</t>
  </si>
  <si>
    <t>37,5</t>
  </si>
  <si>
    <t>1. Никитин Никита</t>
  </si>
  <si>
    <t>Юноши 14 - 15 (03.12.2004)/13</t>
  </si>
  <si>
    <t>52,90</t>
  </si>
  <si>
    <t>1. Бычков Сергей</t>
  </si>
  <si>
    <t>Открытая (23.03.1989)/29</t>
  </si>
  <si>
    <t>64,00</t>
  </si>
  <si>
    <t xml:space="preserve">Смоленская </t>
  </si>
  <si>
    <t xml:space="preserve">Смоленск/Смоленская область </t>
  </si>
  <si>
    <t>2. Сашников Иван</t>
  </si>
  <si>
    <t>Открытая (30.12.1981)/36</t>
  </si>
  <si>
    <t>1. Солодов Олег</t>
  </si>
  <si>
    <t>Ветераны 45 - 49 (14.10.1971)/46</t>
  </si>
  <si>
    <t>66,20</t>
  </si>
  <si>
    <t>1. Чернов Георгий</t>
  </si>
  <si>
    <t>Юноши 16 - 19 (13.09.2001)/16</t>
  </si>
  <si>
    <t>70,90</t>
  </si>
  <si>
    <t xml:space="preserve">Петров П.П. </t>
  </si>
  <si>
    <t>1. Букалов Роман</t>
  </si>
  <si>
    <t>Юниоры 20 - 23 (07.05.1994)/23</t>
  </si>
  <si>
    <t>74,40</t>
  </si>
  <si>
    <t>1. Дубинкин Роман</t>
  </si>
  <si>
    <t>Открытая (08.11.1987)/30</t>
  </si>
  <si>
    <t>74,30</t>
  </si>
  <si>
    <t>2. Попов Игорь</t>
  </si>
  <si>
    <t>Открытая (11.11.1989)/28</t>
  </si>
  <si>
    <t>3. Гончаров Иван</t>
  </si>
  <si>
    <t>Открытая (01.11.1987)/30</t>
  </si>
  <si>
    <t>73,30</t>
  </si>
  <si>
    <t>-. Рябухин Валерий</t>
  </si>
  <si>
    <t>Ветераны 40 - 44 (18.04.1977)/41</t>
  </si>
  <si>
    <t>1. Соколов Василий</t>
  </si>
  <si>
    <t>Юниоры 20 - 23 (10.07.1994)/23</t>
  </si>
  <si>
    <t>81,70</t>
  </si>
  <si>
    <t xml:space="preserve">Белозеров В.Л. </t>
  </si>
  <si>
    <t>1. Князев Максим</t>
  </si>
  <si>
    <t>Открытая (26.07.1986)/31</t>
  </si>
  <si>
    <t>80,10</t>
  </si>
  <si>
    <t>2. Серов Алексей</t>
  </si>
  <si>
    <t>Открытая (26.07.1990)/27</t>
  </si>
  <si>
    <t>3. Веселов Дмитрий</t>
  </si>
  <si>
    <t>Открытая (02.09.1983)/34</t>
  </si>
  <si>
    <t>1. Яцковский Андрей</t>
  </si>
  <si>
    <t>Ветераны 45 - 49 (14.08.1969)/48</t>
  </si>
  <si>
    <t>78,70</t>
  </si>
  <si>
    <t xml:space="preserve">Раменское/Московская область </t>
  </si>
  <si>
    <t>Баранов Владимир</t>
  </si>
  <si>
    <t>1. Баранов Владимир</t>
  </si>
  <si>
    <t>Ветераны 60 - 64 (23.02.1957)/61</t>
  </si>
  <si>
    <t>78,60</t>
  </si>
  <si>
    <t xml:space="preserve">Краснов Н. </t>
  </si>
  <si>
    <t>1. Ветров Николай</t>
  </si>
  <si>
    <t>Ветераны 70 - 74 (12.09.1945)/72</t>
  </si>
  <si>
    <t>75,80</t>
  </si>
  <si>
    <t>1. Ханенко Антон</t>
  </si>
  <si>
    <t>Юниоры 20 - 23 (08.10.1995)/22</t>
  </si>
  <si>
    <t>-. Рогачев Игорь</t>
  </si>
  <si>
    <t>Юниоры 20 - 23 (07.08.1994)/23</t>
  </si>
  <si>
    <t>1. Федин Сергей</t>
  </si>
  <si>
    <t>Открытая (04.05.1991)/26</t>
  </si>
  <si>
    <t>88,60</t>
  </si>
  <si>
    <t>-. Микляев Евгений</t>
  </si>
  <si>
    <t>Открытая (19.11.1980)/37</t>
  </si>
  <si>
    <t>88,00</t>
  </si>
  <si>
    <t>-. Товпеко Роман</t>
  </si>
  <si>
    <t>1. Валенцев Владимир</t>
  </si>
  <si>
    <t>Ветераны 50 - 54 (25.12.1965)/52</t>
  </si>
  <si>
    <t>83,70</t>
  </si>
  <si>
    <t>Сорокин Геннадий</t>
  </si>
  <si>
    <t>1. Сорокин Геннадий</t>
  </si>
  <si>
    <t>Ветераны 55 - 59 (08.09.1959)/58</t>
  </si>
  <si>
    <t xml:space="preserve">Реутов/Московская область </t>
  </si>
  <si>
    <t>1. Кузнецов Максим</t>
  </si>
  <si>
    <t>Открытая (19.10.1989)/28</t>
  </si>
  <si>
    <t>2. Наумов Андрей</t>
  </si>
  <si>
    <t>Открытая (07.10.1981)/36</t>
  </si>
  <si>
    <t>97,60</t>
  </si>
  <si>
    <t>3. Бородулин Алексей</t>
  </si>
  <si>
    <t>Открытая (02.04.1984)/34</t>
  </si>
  <si>
    <t>97,20</t>
  </si>
  <si>
    <t>1. Ковальский Алексей</t>
  </si>
  <si>
    <t>Ветераны 40 - 44 (25.12.1975)/42</t>
  </si>
  <si>
    <t>98,10</t>
  </si>
  <si>
    <t>2. Лисуков Вячеслав</t>
  </si>
  <si>
    <t>Ветераны 40 - 44 (14.04.1974)/44</t>
  </si>
  <si>
    <t>97,50</t>
  </si>
  <si>
    <t xml:space="preserve">Люберцы/Московская область </t>
  </si>
  <si>
    <t>1. Алехин Михаил</t>
  </si>
  <si>
    <t>Ветераны 45 - 49 (06.08.1969)/48</t>
  </si>
  <si>
    <t>92,50</t>
  </si>
  <si>
    <t xml:space="preserve">Красноармейск/Московская область </t>
  </si>
  <si>
    <t>2. Шабалин Александр</t>
  </si>
  <si>
    <t>Ветераны 45 - 49 (07.09.1971)/46</t>
  </si>
  <si>
    <t xml:space="preserve">Лазариди Г.К. </t>
  </si>
  <si>
    <t>1. Ежков Андрей</t>
  </si>
  <si>
    <t>Ветераны 50 - 54 (08.06.1967)/50</t>
  </si>
  <si>
    <t>98,40</t>
  </si>
  <si>
    <t xml:space="preserve">Щелково/Московская область </t>
  </si>
  <si>
    <t>1. Кильдюшкин Даниил</t>
  </si>
  <si>
    <t>Юниоры 20 - 23 (01.04.1997)/21</t>
  </si>
  <si>
    <t xml:space="preserve">Гречина И.И. </t>
  </si>
  <si>
    <t>Железнов Дмитрий</t>
  </si>
  <si>
    <t>1. Железнов Дмитрий</t>
  </si>
  <si>
    <t>Открытая (24.01.1993)/25</t>
  </si>
  <si>
    <t xml:space="preserve">Бронницы/Московская область </t>
  </si>
  <si>
    <t xml:space="preserve">Куренков В.С. Баландин С.В. </t>
  </si>
  <si>
    <t>2. Геворкян Антон</t>
  </si>
  <si>
    <t>Открытая (12.06.1992)/25</t>
  </si>
  <si>
    <t>107,10</t>
  </si>
  <si>
    <t>3. Мишин Станислав</t>
  </si>
  <si>
    <t>Открытая (02.11.1978)/39</t>
  </si>
  <si>
    <t>108,20</t>
  </si>
  <si>
    <t xml:space="preserve">Канищев Р.В. </t>
  </si>
  <si>
    <t>4. Семенов Владимир</t>
  </si>
  <si>
    <t>Открытая (18.01.1987)/31</t>
  </si>
  <si>
    <t>103,20</t>
  </si>
  <si>
    <t>1. Липовский Сергей</t>
  </si>
  <si>
    <t>Ветераны 40 - 44 (17.08.1975)/42</t>
  </si>
  <si>
    <t>104,20</t>
  </si>
  <si>
    <t>2. Любочкин Сергей</t>
  </si>
  <si>
    <t>Ветераны 40 - 44 (19.06.1977)/40</t>
  </si>
  <si>
    <t>109,40</t>
  </si>
  <si>
    <t>1. Кильдюшкин Андрей</t>
  </si>
  <si>
    <t>Ветераны 45 - 49 (23.07.1972)/45</t>
  </si>
  <si>
    <t>101,80</t>
  </si>
  <si>
    <t>Дергачев Николай</t>
  </si>
  <si>
    <t>1. Дергачев Николай</t>
  </si>
  <si>
    <t>Ветераны 55 - 59 (24.08.1960)/57</t>
  </si>
  <si>
    <t>103,70</t>
  </si>
  <si>
    <t>Нефедов Александр</t>
  </si>
  <si>
    <t>2. Нефедов Александр</t>
  </si>
  <si>
    <t>Ветераны 55 - 59 (14.06.1961)/56</t>
  </si>
  <si>
    <t>101,50</t>
  </si>
  <si>
    <t>Усынин Константин</t>
  </si>
  <si>
    <t>1. Усынин Константин</t>
  </si>
  <si>
    <t>Открытая (13.05.1988)/29</t>
  </si>
  <si>
    <t>115,80</t>
  </si>
  <si>
    <t>2. Селезнев Владимир</t>
  </si>
  <si>
    <t>Открытая (09.05.1977)/40</t>
  </si>
  <si>
    <t>124,40</t>
  </si>
  <si>
    <t xml:space="preserve">Одинцово/Московская область </t>
  </si>
  <si>
    <t>3. Фролов Александр</t>
  </si>
  <si>
    <t>Открытая (17.01.1988)/30</t>
  </si>
  <si>
    <t>122,40</t>
  </si>
  <si>
    <t>4. Попов Павел</t>
  </si>
  <si>
    <t>Открытая (11.08.1985)/32</t>
  </si>
  <si>
    <t>120,90</t>
  </si>
  <si>
    <t xml:space="preserve">Хабаровский Край </t>
  </si>
  <si>
    <t xml:space="preserve">Комсомольск-на-Амуре/Хабаровский край </t>
  </si>
  <si>
    <t>1. Захаров Сергей</t>
  </si>
  <si>
    <t>Ветераны 40 - 44 (27.09.1974)/43</t>
  </si>
  <si>
    <t>121,80</t>
  </si>
  <si>
    <t>1. Залетаев Андрей</t>
  </si>
  <si>
    <t>Ветераны 40 - 44 (20.09.1975)/42</t>
  </si>
  <si>
    <t>139,00</t>
  </si>
  <si>
    <t xml:space="preserve">Сумин А.В </t>
  </si>
  <si>
    <t>1. Любцов Александр</t>
  </si>
  <si>
    <t>Открытая (30.11.1984)/33</t>
  </si>
  <si>
    <t>157,40</t>
  </si>
  <si>
    <t>44,0</t>
  </si>
  <si>
    <t>90,0080</t>
  </si>
  <si>
    <t>130,1740</t>
  </si>
  <si>
    <t>125,7525</t>
  </si>
  <si>
    <t>116,0000</t>
  </si>
  <si>
    <t>129,3791</t>
  </si>
  <si>
    <t>126,5529</t>
  </si>
  <si>
    <t>122,6190</t>
  </si>
  <si>
    <t>1. Камышникова Марина</t>
  </si>
  <si>
    <t>1. Блинкова Наталья</t>
  </si>
  <si>
    <t>Открытая (20.03.1991)/27</t>
  </si>
  <si>
    <t>1. Корнеев Дмитрий</t>
  </si>
  <si>
    <t>Открытая (15.02.1987)/31</t>
  </si>
  <si>
    <t>88,90</t>
  </si>
  <si>
    <t>1. Локтионов Олег</t>
  </si>
  <si>
    <t>Открытая (05.05.1977)/40</t>
  </si>
  <si>
    <t>2. Золотых Дмитрий</t>
  </si>
  <si>
    <t>Открытая (31.07.1987)/30</t>
  </si>
  <si>
    <t>95,00</t>
  </si>
  <si>
    <t>3. Невежин Станислав</t>
  </si>
  <si>
    <t>Открытая (25.07.1988)/29</t>
  </si>
  <si>
    <t>97,10</t>
  </si>
  <si>
    <t xml:space="preserve">Подольск/Московская область </t>
  </si>
  <si>
    <t xml:space="preserve">Берман Я.В. </t>
  </si>
  <si>
    <t>1. Рак Иван</t>
  </si>
  <si>
    <t>Ветераны 40 - 44 (27.08.1974)/43</t>
  </si>
  <si>
    <t>104,10</t>
  </si>
  <si>
    <t xml:space="preserve">Евстигнеев М. </t>
  </si>
  <si>
    <t>1. Попов Владимир</t>
  </si>
  <si>
    <t>Ветераны 60 - 64 (26.02.1956)/62</t>
  </si>
  <si>
    <t>124,50</t>
  </si>
  <si>
    <t xml:space="preserve">Тверская </t>
  </si>
  <si>
    <t xml:space="preserve">Тверь/Тверская область </t>
  </si>
  <si>
    <t>Кремлевский жим 2018
WPU c ДК Жим лежа в Однослойной экипировке
Москва 22 апреля 2018 г.</t>
  </si>
  <si>
    <t>Кремлевский жим 2018
WPU c ДК Жим лежа Безэкипировочный
Москва 22 апреля 2018 г.</t>
  </si>
  <si>
    <t>Кремлевский жим 2018
WPU c ДК Жим лежа Классический
Москва 22 апреля 2018 г.</t>
  </si>
  <si>
    <t>Кремлевский жим 2018
WPU Жим лежа Безэкипировочный
Москва 22 апреля 2018 г.</t>
  </si>
  <si>
    <t>Кремлевский жим 2018
WPU Жим лежа Классический
Москва 22 апреля 2018 г.</t>
  </si>
  <si>
    <t xml:space="preserve">Герлышов Алексей Сергеевич </t>
  </si>
  <si>
    <t>27,5</t>
  </si>
  <si>
    <t>54,50</t>
  </si>
  <si>
    <t>Юноши 13 - 19 (27.12.2001)/16</t>
  </si>
  <si>
    <t>1. Попов Евгений</t>
  </si>
  <si>
    <t>7,0</t>
  </si>
  <si>
    <t xml:space="preserve">Большакова Юлия </t>
  </si>
  <si>
    <t>32,0</t>
  </si>
  <si>
    <t>62,50</t>
  </si>
  <si>
    <t>Мастера 40 - 49 (14.04.1974)/44</t>
  </si>
  <si>
    <t>1. Ромасенко Наталья</t>
  </si>
  <si>
    <t>23,0</t>
  </si>
  <si>
    <t>46,0</t>
  </si>
  <si>
    <t>25,0</t>
  </si>
  <si>
    <t>48,80</t>
  </si>
  <si>
    <t>Мастера 40 - 49 (06.05.1970)/47</t>
  </si>
  <si>
    <t>1. Евдокимова Елена</t>
  </si>
  <si>
    <t>Gloss</t>
  </si>
  <si>
    <t>Кремлевский жим 2018 Народный жим
WPU с ДК Народный жим 1/2 веса
Москва 22 апреля 2018 г.</t>
  </si>
  <si>
    <t>1697,2557</t>
  </si>
  <si>
    <t>2357,5</t>
  </si>
  <si>
    <t xml:space="preserve">Мастера 50 - 59 </t>
  </si>
  <si>
    <t>1746,9526</t>
  </si>
  <si>
    <t>2275,0</t>
  </si>
  <si>
    <t>Базанов Сергей</t>
  </si>
  <si>
    <t>1946,8751</t>
  </si>
  <si>
    <t>1950,0</t>
  </si>
  <si>
    <t xml:space="preserve">Мастера 60+ </t>
  </si>
  <si>
    <t xml:space="preserve">Gloss </t>
  </si>
  <si>
    <t xml:space="preserve">Мастера </t>
  </si>
  <si>
    <t>2027,6800</t>
  </si>
  <si>
    <t>3040,0</t>
  </si>
  <si>
    <t>Нарочный Антон</t>
  </si>
  <si>
    <t>2082,0056</t>
  </si>
  <si>
    <t>3587,5</t>
  </si>
  <si>
    <t>Жегулин Андрей</t>
  </si>
  <si>
    <t>2445,6600</t>
  </si>
  <si>
    <t>4200,0</t>
  </si>
  <si>
    <t>Филиппин Андрей</t>
  </si>
  <si>
    <t xml:space="preserve">Никитин С.И. </t>
  </si>
  <si>
    <t>24,0</t>
  </si>
  <si>
    <t>133,00</t>
  </si>
  <si>
    <t>Открытая (26.12.1978)/39</t>
  </si>
  <si>
    <t>1. Савин Руслан</t>
  </si>
  <si>
    <t>13,0</t>
  </si>
  <si>
    <t>2. Попов Павел</t>
  </si>
  <si>
    <t>21,0</t>
  </si>
  <si>
    <t xml:space="preserve">Ржев/Тверская область </t>
  </si>
  <si>
    <t>112,50</t>
  </si>
  <si>
    <t>Открытая (13.08.1980)/37</t>
  </si>
  <si>
    <t>1. Герасимов Алексей</t>
  </si>
  <si>
    <t>Мастера 50 - 59 (14.06.1961)/56</t>
  </si>
  <si>
    <t>1. Нефедов Александр</t>
  </si>
  <si>
    <t xml:space="preserve">Конакова Е.А. </t>
  </si>
  <si>
    <t>100,40</t>
  </si>
  <si>
    <t>Открытая (26.06.1980)/37</t>
  </si>
  <si>
    <t>1. Жегулин Андрей</t>
  </si>
  <si>
    <t>22,0</t>
  </si>
  <si>
    <t>Мастера 40 - 49 (05.12.1973)/44</t>
  </si>
  <si>
    <t>1. Малышев Игорь</t>
  </si>
  <si>
    <t>-. Герасименко Андрей</t>
  </si>
  <si>
    <t>17,0</t>
  </si>
  <si>
    <t>4. Долгушин Денис</t>
  </si>
  <si>
    <t>3. Кузнецов Максим</t>
  </si>
  <si>
    <t xml:space="preserve">Лобачёв Д. </t>
  </si>
  <si>
    <t>28,0</t>
  </si>
  <si>
    <t>92,10</t>
  </si>
  <si>
    <t>Открытая (22.08.1994)/23</t>
  </si>
  <si>
    <t>2. Сорокин Егор</t>
  </si>
  <si>
    <t>42,0</t>
  </si>
  <si>
    <t>99,60</t>
  </si>
  <si>
    <t>Открытая (02.01.1982)/36</t>
  </si>
  <si>
    <t>1. Филиппин Андрей</t>
  </si>
  <si>
    <t>Юниоры 20 - 23 (22.08.1994)/23</t>
  </si>
  <si>
    <t>1. Сорокин Егор</t>
  </si>
  <si>
    <t>19,0</t>
  </si>
  <si>
    <t>Мастера 60+ (20.05.1952)/65</t>
  </si>
  <si>
    <t>18,0</t>
  </si>
  <si>
    <t>Мастера 50 - 59 (03.05.1964)/53</t>
  </si>
  <si>
    <t>3. Тушин Алексей</t>
  </si>
  <si>
    <t>Мастера 50 - 59 (25.12.1965)/52</t>
  </si>
  <si>
    <t>2. Валенцев Владимир</t>
  </si>
  <si>
    <t>26,0</t>
  </si>
  <si>
    <t>87,5</t>
  </si>
  <si>
    <t>Мастера 50 - 59 (22.06.1962)/55</t>
  </si>
  <si>
    <t>1. Базанов Сергей</t>
  </si>
  <si>
    <t>Мастера 40 - 49 (08.01.1973)/45</t>
  </si>
  <si>
    <t xml:space="preserve">Барышников А. </t>
  </si>
  <si>
    <t>84,30</t>
  </si>
  <si>
    <t>Открытая (23.05.1975)/42</t>
  </si>
  <si>
    <t>2. Терехин Юрий</t>
  </si>
  <si>
    <t xml:space="preserve">Заболотников И.А. </t>
  </si>
  <si>
    <t>33,0</t>
  </si>
  <si>
    <t>Открытая (12.07.1985)/32</t>
  </si>
  <si>
    <t>1. Наумов Павел</t>
  </si>
  <si>
    <t>87,20</t>
  </si>
  <si>
    <t>Юниоры 20 - 23 (20.03.1997)/21</t>
  </si>
  <si>
    <t>2. Каргаев Александр</t>
  </si>
  <si>
    <t xml:space="preserve">Исаев Андрей </t>
  </si>
  <si>
    <t>Мастера 40 - 49 (19.12.1974)/43</t>
  </si>
  <si>
    <t>2. Кравцов Сергей</t>
  </si>
  <si>
    <t xml:space="preserve">Клабуков С.Н. </t>
  </si>
  <si>
    <t>29,0</t>
  </si>
  <si>
    <t xml:space="preserve">Химки/Московская область </t>
  </si>
  <si>
    <t>81,80</t>
  </si>
  <si>
    <t>Мастера 40 - 49 (23.08.1970)/47</t>
  </si>
  <si>
    <t>1. Ждан Юрий</t>
  </si>
  <si>
    <t>77,30</t>
  </si>
  <si>
    <t>Открытая (04.08.1988)/29</t>
  </si>
  <si>
    <t>3. Санчилов Антон</t>
  </si>
  <si>
    <t>2. Тимохин Павел</t>
  </si>
  <si>
    <t>38,0</t>
  </si>
  <si>
    <t xml:space="preserve">Бишкек/ </t>
  </si>
  <si>
    <t xml:space="preserve">Кыргызстан </t>
  </si>
  <si>
    <t>78,40</t>
  </si>
  <si>
    <t>Открытая (01.01.1980)/38</t>
  </si>
  <si>
    <t>1. Нарочный Антон</t>
  </si>
  <si>
    <t>Мастера 60+ (05.11.1953)/64</t>
  </si>
  <si>
    <t>73,10</t>
  </si>
  <si>
    <t>Открытая (07.06.1986)/31</t>
  </si>
  <si>
    <t>3. Кутилов Петр</t>
  </si>
  <si>
    <t>Открытая (21.03.1994)/24</t>
  </si>
  <si>
    <t>2. Севостьянов Александр</t>
  </si>
  <si>
    <t xml:space="preserve">Корнишин В.В. </t>
  </si>
  <si>
    <t>71,60</t>
  </si>
  <si>
    <t>Открытая (24.07.1987)/30</t>
  </si>
  <si>
    <t>1. Балугин Николай</t>
  </si>
  <si>
    <t>Юноши 13 - 19 (13.09.2001)/16</t>
  </si>
  <si>
    <t>2. Чернов Георгий</t>
  </si>
  <si>
    <t>Юноши 13 - 19 (24.06.1998)/19</t>
  </si>
  <si>
    <t>-. Серов Алексей</t>
  </si>
  <si>
    <t>16,0</t>
  </si>
  <si>
    <t>59,70</t>
  </si>
  <si>
    <t>Открытая (19.09.1984)/33</t>
  </si>
  <si>
    <t>2. Каравайчик Алексей</t>
  </si>
  <si>
    <t>1. Данилов Артём</t>
  </si>
  <si>
    <t>Кремлевский жим 2018 Народный жим
WPU с ДК Народный жим 1 вес
Москва 22 апреля 2018 г.</t>
  </si>
  <si>
    <t>3115,6639</t>
  </si>
  <si>
    <t>3850,0</t>
  </si>
  <si>
    <t>6766,9468</t>
  </si>
  <si>
    <t>9570,0</t>
  </si>
  <si>
    <t>Никитин Роман</t>
  </si>
  <si>
    <t>Мастера 50 - 59 (29.10.1962)/55</t>
  </si>
  <si>
    <t>117,20</t>
  </si>
  <si>
    <t>Открытая (02.02.1981)/37</t>
  </si>
  <si>
    <t>1. Трунилин Сергей</t>
  </si>
  <si>
    <t>15,0</t>
  </si>
  <si>
    <t>Мастера 50 - 59 (22.11.1965)/52</t>
  </si>
  <si>
    <t>27,0</t>
  </si>
  <si>
    <t>Мастера 40 - 49 (30.08.1969)/48</t>
  </si>
  <si>
    <t xml:space="preserve">Туляков Н.Г. </t>
  </si>
  <si>
    <t>98,80</t>
  </si>
  <si>
    <t>Мастера 40 - 49 (24.08.1969)/48</t>
  </si>
  <si>
    <t>1. Гринберг Игорс</t>
  </si>
  <si>
    <t xml:space="preserve">Видное/Московская область </t>
  </si>
  <si>
    <t>93,20</t>
  </si>
  <si>
    <t>Открытая (14.01.1985)/33</t>
  </si>
  <si>
    <t>1. Иванов Максим</t>
  </si>
  <si>
    <t>Мастера 50 - 59 (17.12.1959)/58</t>
  </si>
  <si>
    <t>Мастера 40 - 49 (26.08.1976)/41</t>
  </si>
  <si>
    <t>1. Клабуков Сергей</t>
  </si>
  <si>
    <t>Открытая (17.12.1959)/58</t>
  </si>
  <si>
    <t xml:space="preserve">Исаев А. </t>
  </si>
  <si>
    <t>Открытая (13.06.1989)/28</t>
  </si>
  <si>
    <t>2. Чайка Кирилл</t>
  </si>
  <si>
    <t xml:space="preserve">Данченко А.А. </t>
  </si>
  <si>
    <t xml:space="preserve">Якутск/Якутия </t>
  </si>
  <si>
    <t xml:space="preserve">Якутия </t>
  </si>
  <si>
    <t>78,10</t>
  </si>
  <si>
    <t>Открытая (01.11.1983)/34</t>
  </si>
  <si>
    <t>1. Сычевский Андрей</t>
  </si>
  <si>
    <t>132,0</t>
  </si>
  <si>
    <t xml:space="preserve">Луховицы/Московская область </t>
  </si>
  <si>
    <t>72,40</t>
  </si>
  <si>
    <t>Открытая (20.03.1993)/25</t>
  </si>
  <si>
    <t>1. Никитин Роман</t>
  </si>
  <si>
    <t xml:space="preserve">Никулин Е. </t>
  </si>
  <si>
    <t>93,0</t>
  </si>
  <si>
    <t>63,90</t>
  </si>
  <si>
    <t>Открытая (17.06.1979)/38</t>
  </si>
  <si>
    <t>1. Заболотников Иван</t>
  </si>
  <si>
    <t xml:space="preserve">Милосердов О. </t>
  </si>
  <si>
    <t>71,30</t>
  </si>
  <si>
    <t>Открытая (19.09.1978)/39</t>
  </si>
  <si>
    <t>1. Грачева Ольга</t>
  </si>
  <si>
    <t>Кремлевский жим 2018 Народный жим
WPU Народный жим 1 вес
Москва 22 апреля 2018 г.</t>
  </si>
  <si>
    <t>150,9345</t>
  </si>
  <si>
    <t>255,0</t>
  </si>
  <si>
    <t>Рахманов Вячеслав</t>
  </si>
  <si>
    <t>156,6500</t>
  </si>
  <si>
    <t>Нечпал Вячеслав</t>
  </si>
  <si>
    <t>162,1620</t>
  </si>
  <si>
    <t>270,0</t>
  </si>
  <si>
    <t>Палей Андрей</t>
  </si>
  <si>
    <t>171,3040</t>
  </si>
  <si>
    <t>280,0</t>
  </si>
  <si>
    <t>Курочкин Валерий</t>
  </si>
  <si>
    <t>178,3040</t>
  </si>
  <si>
    <t>320,0</t>
  </si>
  <si>
    <t>Аксёнов Андрей</t>
  </si>
  <si>
    <t>180,0480</t>
  </si>
  <si>
    <t>310,0</t>
  </si>
  <si>
    <t>Горбачев Дмитрий</t>
  </si>
  <si>
    <t>189,9200</t>
  </si>
  <si>
    <t>Алышев Николай</t>
  </si>
  <si>
    <t>193,6305</t>
  </si>
  <si>
    <t>315,0</t>
  </si>
  <si>
    <t>Уткин Андрей</t>
  </si>
  <si>
    <t>198,9900</t>
  </si>
  <si>
    <t>330,0</t>
  </si>
  <si>
    <t>208,8607</t>
  </si>
  <si>
    <t>372,5</t>
  </si>
  <si>
    <t>Филатов Василий</t>
  </si>
  <si>
    <t>211,9500</t>
  </si>
  <si>
    <t>375,0</t>
  </si>
  <si>
    <t>Пышминцев Николай</t>
  </si>
  <si>
    <t>225,4540</t>
  </si>
  <si>
    <t>380,0</t>
  </si>
  <si>
    <t>Мамедов Эмин</t>
  </si>
  <si>
    <t>235,2900</t>
  </si>
  <si>
    <t>412,5</t>
  </si>
  <si>
    <t>Найденов Виктор</t>
  </si>
  <si>
    <t xml:space="preserve">Самостоятельно </t>
  </si>
  <si>
    <t xml:space="preserve">Орехово-Зуево/Московская облас </t>
  </si>
  <si>
    <t>142,80</t>
  </si>
  <si>
    <t>Открытая (28.05.1992)/25</t>
  </si>
  <si>
    <t>1. Аксёнов Андрей</t>
  </si>
  <si>
    <t>362,5</t>
  </si>
  <si>
    <t>137,00</t>
  </si>
  <si>
    <t>Открытая (29.09.1986)/31</t>
  </si>
  <si>
    <t>2. Филатов Василий</t>
  </si>
  <si>
    <t>390,0</t>
  </si>
  <si>
    <t>350,0</t>
  </si>
  <si>
    <t xml:space="preserve">Екатеринбург/Свердловская область </t>
  </si>
  <si>
    <t xml:space="preserve">Свердловская </t>
  </si>
  <si>
    <t>130,50</t>
  </si>
  <si>
    <t>Открытая (04.01.1981)/37</t>
  </si>
  <si>
    <t>1. Пышминцев Николай</t>
  </si>
  <si>
    <t xml:space="preserve">Надым/Ямало-Ненецкий авт. окр. </t>
  </si>
  <si>
    <t xml:space="preserve">Ямало-Ненецкий </t>
  </si>
  <si>
    <t>117,00</t>
  </si>
  <si>
    <t>Открытая (25.11.1978)/39</t>
  </si>
  <si>
    <t>-. Ячменев Сергей</t>
  </si>
  <si>
    <t>295,0</t>
  </si>
  <si>
    <t>290,0</t>
  </si>
  <si>
    <t>-. Рысцов Александр</t>
  </si>
  <si>
    <t>300,0</t>
  </si>
  <si>
    <t>Открытая (06.03.1970)/48</t>
  </si>
  <si>
    <t>2. Горбачев Дмитрий</t>
  </si>
  <si>
    <t>400,0</t>
  </si>
  <si>
    <t>Открытая (25.01.1987)/31</t>
  </si>
  <si>
    <t>1. Найденов Виктор</t>
  </si>
  <si>
    <t xml:space="preserve">Соловьёв В. </t>
  </si>
  <si>
    <t>106,80</t>
  </si>
  <si>
    <t>Открытая (24.02.1990)/28</t>
  </si>
  <si>
    <t>-. Брехов Роман</t>
  </si>
  <si>
    <t>265,0</t>
  </si>
  <si>
    <t xml:space="preserve">Саратов/Саратовская область </t>
  </si>
  <si>
    <t xml:space="preserve">Саратовская </t>
  </si>
  <si>
    <t>Открытая (25.07.1968)/49</t>
  </si>
  <si>
    <t>5. Рахманов Вячеслав</t>
  </si>
  <si>
    <t xml:space="preserve">Рогожников К.В. </t>
  </si>
  <si>
    <t>285,0</t>
  </si>
  <si>
    <t xml:space="preserve">Магнитогорск/Челябинская область </t>
  </si>
  <si>
    <t>103,50</t>
  </si>
  <si>
    <t>Открытая (11.10.1961)/56</t>
  </si>
  <si>
    <t>4. Палей Андрей</t>
  </si>
  <si>
    <t xml:space="preserve">Бегалко А. </t>
  </si>
  <si>
    <t>307,5</t>
  </si>
  <si>
    <t>Открытая (14.10.1985)/32</t>
  </si>
  <si>
    <t>3. Алышев Николай</t>
  </si>
  <si>
    <t xml:space="preserve">Днепр/ </t>
  </si>
  <si>
    <t xml:space="preserve">Украина </t>
  </si>
  <si>
    <t>102,40</t>
  </si>
  <si>
    <t>Открытая (08.06.1990)/27</t>
  </si>
  <si>
    <t>405,0</t>
  </si>
  <si>
    <t>107,20</t>
  </si>
  <si>
    <t>Открытая (31.08.1974)/43</t>
  </si>
  <si>
    <t>1. Мамедов Эмин</t>
  </si>
  <si>
    <t xml:space="preserve">Брехов Р.О. </t>
  </si>
  <si>
    <t>Открытая (02.07.1973)/44</t>
  </si>
  <si>
    <t>3. Нечпал Вячеслав</t>
  </si>
  <si>
    <t>98,70</t>
  </si>
  <si>
    <t>Открытая (09.11.1978)/39</t>
  </si>
  <si>
    <t>2. Курочкин Валерий</t>
  </si>
  <si>
    <t xml:space="preserve">Талалаев С. </t>
  </si>
  <si>
    <t>Открытая (21.12.1976)/41</t>
  </si>
  <si>
    <t>1. Уткин Андрей</t>
  </si>
  <si>
    <t>Кремлевский жим 2018 ЭЛИТА
WPU Жим лежа в Многослойной экипировке
Москва 22 апреля 2018 г.</t>
  </si>
  <si>
    <t>2250,0</t>
  </si>
  <si>
    <t>1462,8600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</si>
</sst>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left"/>
    </xf>
    <xf numFmtId="49" fontId="6" fillId="0" borderId="14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left"/>
    </xf>
    <xf numFmtId="49" fontId="6" fillId="0" borderId="15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left"/>
    </xf>
    <xf numFmtId="49" fontId="6" fillId="0" borderId="16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/>
    </xf>
    <xf numFmtId="49" fontId="0" fillId="0" borderId="16" xfId="0" applyNumberFormat="1" applyFill="1" applyBorder="1" applyAlignment="1">
      <alignment horizontal="left"/>
    </xf>
    <xf numFmtId="0" fontId="0" fillId="0" borderId="0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workbookViewId="0">
      <selection sqref="A1:M2"/>
    </sheetView>
  </sheetViews>
  <sheetFormatPr defaultRowHeight="12.75"/>
  <cols>
    <col min="1" max="1" width="26" style="5" bestFit="1" customWidth="1"/>
    <col min="2" max="2" width="22.85546875" style="5" bestFit="1" customWidth="1"/>
    <col min="3" max="3" width="10.5703125" style="5" bestFit="1" customWidth="1"/>
    <col min="4" max="4" width="8.42578125" style="5" bestFit="1" customWidth="1"/>
    <col min="5" max="5" width="22.7109375" style="5" bestFit="1" customWidth="1"/>
    <col min="6" max="6" width="34.140625" style="5" bestFit="1" customWidth="1"/>
    <col min="7" max="9" width="5.5703125" style="4" bestFit="1" customWidth="1"/>
    <col min="10" max="10" width="4.85546875" style="4" bestFit="1" customWidth="1"/>
    <col min="11" max="11" width="11.28515625" style="5" customWidth="1"/>
    <col min="12" max="12" width="8.5703125" style="4" bestFit="1" customWidth="1"/>
    <col min="13" max="13" width="16" style="5" bestFit="1" customWidth="1"/>
    <col min="14" max="16384" width="9.140625" style="4"/>
  </cols>
  <sheetData>
    <row r="1" spans="1:13" s="3" customFormat="1" ht="29.1" customHeight="1">
      <c r="A1" s="30" t="s">
        <v>1247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3" customFormat="1" ht="62.1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2.75" customHeight="1">
      <c r="A3" s="36" t="s">
        <v>0</v>
      </c>
      <c r="B3" s="38" t="s">
        <v>6</v>
      </c>
      <c r="C3" s="38" t="s">
        <v>8</v>
      </c>
      <c r="D3" s="27" t="s">
        <v>9</v>
      </c>
      <c r="E3" s="27" t="s">
        <v>4</v>
      </c>
      <c r="F3" s="27" t="s">
        <v>7</v>
      </c>
      <c r="G3" s="27" t="s">
        <v>1</v>
      </c>
      <c r="H3" s="27"/>
      <c r="I3" s="27"/>
      <c r="J3" s="27"/>
      <c r="K3" s="27" t="s">
        <v>181</v>
      </c>
      <c r="L3" s="27" t="s">
        <v>3</v>
      </c>
      <c r="M3" s="39" t="s">
        <v>2</v>
      </c>
    </row>
    <row r="4" spans="1:13" s="1" customFormat="1" ht="21" customHeight="1" thickBot="1">
      <c r="A4" s="37"/>
      <c r="B4" s="28"/>
      <c r="C4" s="28"/>
      <c r="D4" s="28"/>
      <c r="E4" s="28"/>
      <c r="F4" s="28"/>
      <c r="G4" s="2">
        <v>1</v>
      </c>
      <c r="H4" s="2">
        <v>2</v>
      </c>
      <c r="I4" s="2">
        <v>3</v>
      </c>
      <c r="J4" s="2" t="s">
        <v>5</v>
      </c>
      <c r="K4" s="28"/>
      <c r="L4" s="28"/>
      <c r="M4" s="40"/>
    </row>
    <row r="5" spans="1:13" ht="15">
      <c r="A5" s="29" t="s">
        <v>86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3">
      <c r="A6" s="9" t="s">
        <v>1246</v>
      </c>
      <c r="B6" s="9" t="s">
        <v>1245</v>
      </c>
      <c r="C6" s="9" t="s">
        <v>838</v>
      </c>
      <c r="D6" s="9" t="str">
        <f>"0,6147"</f>
        <v>0,6147</v>
      </c>
      <c r="E6" s="9" t="s">
        <v>354</v>
      </c>
      <c r="F6" s="9" t="s">
        <v>355</v>
      </c>
      <c r="G6" s="14" t="s">
        <v>1205</v>
      </c>
      <c r="H6" s="14" t="s">
        <v>1160</v>
      </c>
      <c r="I6" s="14" t="s">
        <v>1165</v>
      </c>
      <c r="J6" s="10"/>
      <c r="K6" s="9" t="str">
        <f>"315,0"</f>
        <v>315,0</v>
      </c>
      <c r="L6" s="14" t="str">
        <f>"193,6305"</f>
        <v>193,6305</v>
      </c>
      <c r="M6" s="9" t="s">
        <v>1244</v>
      </c>
    </row>
    <row r="7" spans="1:13">
      <c r="A7" s="15" t="s">
        <v>1243</v>
      </c>
      <c r="B7" s="15" t="s">
        <v>1242</v>
      </c>
      <c r="C7" s="15" t="s">
        <v>1241</v>
      </c>
      <c r="D7" s="15" t="str">
        <f>"0,6118"</f>
        <v>0,6118</v>
      </c>
      <c r="E7" s="15" t="s">
        <v>90</v>
      </c>
      <c r="F7" s="15" t="s">
        <v>15</v>
      </c>
      <c r="G7" s="17" t="s">
        <v>1151</v>
      </c>
      <c r="H7" s="17" t="s">
        <v>1154</v>
      </c>
      <c r="I7" s="16" t="s">
        <v>1203</v>
      </c>
      <c r="J7" s="16"/>
      <c r="K7" s="15" t="str">
        <f>"280,0"</f>
        <v>280,0</v>
      </c>
      <c r="L7" s="17" t="str">
        <f>"171,3040"</f>
        <v>171,3040</v>
      </c>
      <c r="M7" s="15" t="s">
        <v>19</v>
      </c>
    </row>
    <row r="8" spans="1:13">
      <c r="A8" s="11" t="s">
        <v>1240</v>
      </c>
      <c r="B8" s="11" t="s">
        <v>1239</v>
      </c>
      <c r="C8" s="11" t="s">
        <v>291</v>
      </c>
      <c r="D8" s="11" t="str">
        <f>"0,6266"</f>
        <v>0,6266</v>
      </c>
      <c r="E8" s="11" t="s">
        <v>24</v>
      </c>
      <c r="F8" s="11" t="s">
        <v>95</v>
      </c>
      <c r="G8" s="12" t="s">
        <v>364</v>
      </c>
      <c r="H8" s="12" t="s">
        <v>364</v>
      </c>
      <c r="I8" s="13" t="s">
        <v>364</v>
      </c>
      <c r="J8" s="12"/>
      <c r="K8" s="11" t="str">
        <f>"250,0"</f>
        <v>250,0</v>
      </c>
      <c r="L8" s="13" t="str">
        <f>"156,6500"</f>
        <v>156,6500</v>
      </c>
      <c r="M8" s="11" t="s">
        <v>1238</v>
      </c>
    </row>
    <row r="10" spans="1:13" ht="15">
      <c r="A10" s="26" t="s">
        <v>103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3">
      <c r="A11" s="9" t="s">
        <v>1237</v>
      </c>
      <c r="B11" s="9" t="s">
        <v>1236</v>
      </c>
      <c r="C11" s="9" t="s">
        <v>1235</v>
      </c>
      <c r="D11" s="9" t="str">
        <f>"0,5933"</f>
        <v>0,5933</v>
      </c>
      <c r="E11" s="9" t="s">
        <v>354</v>
      </c>
      <c r="F11" s="9" t="s">
        <v>355</v>
      </c>
      <c r="G11" s="14" t="s">
        <v>1191</v>
      </c>
      <c r="H11" s="14" t="s">
        <v>1176</v>
      </c>
      <c r="I11" s="10" t="s">
        <v>1234</v>
      </c>
      <c r="J11" s="10"/>
      <c r="K11" s="9" t="str">
        <f>"380,0"</f>
        <v>380,0</v>
      </c>
      <c r="L11" s="14" t="str">
        <f>"225,4540"</f>
        <v>225,4540</v>
      </c>
      <c r="M11" s="9" t="s">
        <v>19</v>
      </c>
    </row>
    <row r="12" spans="1:13">
      <c r="A12" s="15" t="s">
        <v>630</v>
      </c>
      <c r="B12" s="15" t="s">
        <v>1233</v>
      </c>
      <c r="C12" s="15" t="s">
        <v>1232</v>
      </c>
      <c r="D12" s="15" t="str">
        <f>"0,6030"</f>
        <v>0,6030</v>
      </c>
      <c r="E12" s="15" t="s">
        <v>1231</v>
      </c>
      <c r="F12" s="15" t="s">
        <v>1230</v>
      </c>
      <c r="G12" s="17" t="s">
        <v>1168</v>
      </c>
      <c r="H12" s="16" t="s">
        <v>1191</v>
      </c>
      <c r="I12" s="16" t="s">
        <v>1191</v>
      </c>
      <c r="J12" s="16"/>
      <c r="K12" s="15" t="str">
        <f>"330,0"</f>
        <v>330,0</v>
      </c>
      <c r="L12" s="17" t="str">
        <f>"198,9900"</f>
        <v>198,9900</v>
      </c>
      <c r="M12" s="15" t="s">
        <v>19</v>
      </c>
    </row>
    <row r="13" spans="1:13">
      <c r="A13" s="15" t="s">
        <v>1229</v>
      </c>
      <c r="B13" s="15" t="s">
        <v>1228</v>
      </c>
      <c r="C13" s="15" t="s">
        <v>870</v>
      </c>
      <c r="D13" s="15" t="str">
        <f>"0,5935"</f>
        <v>0,5935</v>
      </c>
      <c r="E13" s="15" t="s">
        <v>14</v>
      </c>
      <c r="F13" s="15" t="s">
        <v>15</v>
      </c>
      <c r="G13" s="17" t="s">
        <v>1205</v>
      </c>
      <c r="H13" s="17" t="s">
        <v>1227</v>
      </c>
      <c r="I13" s="17" t="s">
        <v>1157</v>
      </c>
      <c r="J13" s="16"/>
      <c r="K13" s="15" t="str">
        <f>"320,0"</f>
        <v>320,0</v>
      </c>
      <c r="L13" s="17" t="str">
        <f>"189,9200"</f>
        <v>189,9200</v>
      </c>
      <c r="M13" s="15" t="s">
        <v>1226</v>
      </c>
    </row>
    <row r="14" spans="1:13">
      <c r="A14" s="15" t="s">
        <v>1225</v>
      </c>
      <c r="B14" s="15" t="s">
        <v>1224</v>
      </c>
      <c r="C14" s="15" t="s">
        <v>1223</v>
      </c>
      <c r="D14" s="15" t="str">
        <f>"0,6006"</f>
        <v>0,6006</v>
      </c>
      <c r="E14" s="15" t="s">
        <v>90</v>
      </c>
      <c r="F14" s="15" t="s">
        <v>1222</v>
      </c>
      <c r="G14" s="17" t="s">
        <v>1151</v>
      </c>
      <c r="H14" s="16" t="s">
        <v>1221</v>
      </c>
      <c r="I14" s="16" t="s">
        <v>1205</v>
      </c>
      <c r="J14" s="16"/>
      <c r="K14" s="15" t="str">
        <f>"270,0"</f>
        <v>270,0</v>
      </c>
      <c r="L14" s="17" t="str">
        <f>"162,1620"</f>
        <v>162,1620</v>
      </c>
      <c r="M14" s="15" t="s">
        <v>1220</v>
      </c>
    </row>
    <row r="15" spans="1:13">
      <c r="A15" s="15" t="s">
        <v>1219</v>
      </c>
      <c r="B15" s="15" t="s">
        <v>1218</v>
      </c>
      <c r="C15" s="15" t="s">
        <v>664</v>
      </c>
      <c r="D15" s="15" t="str">
        <f>"0,5919"</f>
        <v>0,5919</v>
      </c>
      <c r="E15" s="15" t="s">
        <v>1217</v>
      </c>
      <c r="F15" s="15" t="s">
        <v>1216</v>
      </c>
      <c r="G15" s="17" t="s">
        <v>1146</v>
      </c>
      <c r="H15" s="16" t="s">
        <v>1215</v>
      </c>
      <c r="I15" s="16" t="s">
        <v>1215</v>
      </c>
      <c r="J15" s="16"/>
      <c r="K15" s="15" t="str">
        <f>"255,0"</f>
        <v>255,0</v>
      </c>
      <c r="L15" s="17" t="str">
        <f>"150,9345"</f>
        <v>150,9345</v>
      </c>
      <c r="M15" s="15" t="s">
        <v>19</v>
      </c>
    </row>
    <row r="16" spans="1:13">
      <c r="A16" s="11" t="s">
        <v>1214</v>
      </c>
      <c r="B16" s="11" t="s">
        <v>1213</v>
      </c>
      <c r="C16" s="11" t="s">
        <v>1212</v>
      </c>
      <c r="D16" s="11" t="str">
        <f>"0,5941"</f>
        <v>0,5941</v>
      </c>
      <c r="E16" s="11" t="s">
        <v>24</v>
      </c>
      <c r="F16" s="11" t="s">
        <v>95</v>
      </c>
      <c r="G16" s="12" t="s">
        <v>1202</v>
      </c>
      <c r="H16" s="12" t="s">
        <v>1202</v>
      </c>
      <c r="I16" s="12" t="s">
        <v>1202</v>
      </c>
      <c r="J16" s="12"/>
      <c r="K16" s="11" t="str">
        <f>"0,0"</f>
        <v>0,0</v>
      </c>
      <c r="L16" s="13" t="str">
        <f>"0,0000"</f>
        <v>0,0000</v>
      </c>
      <c r="M16" s="11" t="s">
        <v>1211</v>
      </c>
    </row>
    <row r="18" spans="1:13" ht="15">
      <c r="A18" s="26" t="s">
        <v>130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spans="1:13">
      <c r="A19" s="9" t="s">
        <v>1210</v>
      </c>
      <c r="B19" s="9" t="s">
        <v>1209</v>
      </c>
      <c r="C19" s="9" t="s">
        <v>901</v>
      </c>
      <c r="D19" s="9" t="str">
        <f>"0,5704"</f>
        <v>0,5704</v>
      </c>
      <c r="E19" s="9" t="s">
        <v>14</v>
      </c>
      <c r="F19" s="9" t="s">
        <v>14</v>
      </c>
      <c r="G19" s="14" t="s">
        <v>1176</v>
      </c>
      <c r="H19" s="14" t="s">
        <v>1208</v>
      </c>
      <c r="I19" s="14" t="s">
        <v>1179</v>
      </c>
      <c r="J19" s="10"/>
      <c r="K19" s="9" t="str">
        <f>"412,5"</f>
        <v>412,5</v>
      </c>
      <c r="L19" s="14" t="str">
        <f>"235,2900"</f>
        <v>235,2900</v>
      </c>
      <c r="M19" s="9" t="s">
        <v>47</v>
      </c>
    </row>
    <row r="20" spans="1:13">
      <c r="A20" s="15" t="s">
        <v>1207</v>
      </c>
      <c r="B20" s="15" t="s">
        <v>1206</v>
      </c>
      <c r="C20" s="15" t="s">
        <v>133</v>
      </c>
      <c r="D20" s="15" t="str">
        <f>"0,5808"</f>
        <v>0,5808</v>
      </c>
      <c r="E20" s="15" t="s">
        <v>24</v>
      </c>
      <c r="F20" s="15" t="s">
        <v>807</v>
      </c>
      <c r="G20" s="17" t="s">
        <v>1205</v>
      </c>
      <c r="H20" s="16" t="s">
        <v>1160</v>
      </c>
      <c r="I20" s="17" t="s">
        <v>1160</v>
      </c>
      <c r="J20" s="16"/>
      <c r="K20" s="15" t="str">
        <f>"310,0"</f>
        <v>310,0</v>
      </c>
      <c r="L20" s="17" t="str">
        <f>"180,0480"</f>
        <v>180,0480</v>
      </c>
      <c r="M20" s="15" t="s">
        <v>47</v>
      </c>
    </row>
    <row r="21" spans="1:13">
      <c r="A21" s="15" t="s">
        <v>1204</v>
      </c>
      <c r="B21" s="15" t="s">
        <v>372</v>
      </c>
      <c r="C21" s="15" t="s">
        <v>373</v>
      </c>
      <c r="D21" s="15" t="str">
        <f>"0,5841"</f>
        <v>0,5841</v>
      </c>
      <c r="E21" s="15" t="s">
        <v>374</v>
      </c>
      <c r="F21" s="15" t="s">
        <v>375</v>
      </c>
      <c r="G21" s="16" t="s">
        <v>1203</v>
      </c>
      <c r="H21" s="16" t="s">
        <v>1202</v>
      </c>
      <c r="I21" s="16" t="s">
        <v>1202</v>
      </c>
      <c r="J21" s="16"/>
      <c r="K21" s="15" t="str">
        <f>"0,0"</f>
        <v>0,0</v>
      </c>
      <c r="L21" s="17" t="str">
        <f>"0,0000"</f>
        <v>0,0000</v>
      </c>
      <c r="M21" s="15" t="s">
        <v>47</v>
      </c>
    </row>
    <row r="22" spans="1:13">
      <c r="A22" s="11" t="s">
        <v>1201</v>
      </c>
      <c r="B22" s="11" t="s">
        <v>1200</v>
      </c>
      <c r="C22" s="11" t="s">
        <v>1199</v>
      </c>
      <c r="D22" s="11" t="str">
        <f>"0,5785"</f>
        <v>0,5785</v>
      </c>
      <c r="E22" s="11" t="s">
        <v>1198</v>
      </c>
      <c r="F22" s="11" t="s">
        <v>1197</v>
      </c>
      <c r="G22" s="12" t="s">
        <v>1168</v>
      </c>
      <c r="H22" s="12" t="s">
        <v>1168</v>
      </c>
      <c r="I22" s="12"/>
      <c r="J22" s="12"/>
      <c r="K22" s="11" t="str">
        <f>"0,0"</f>
        <v>0,0</v>
      </c>
      <c r="L22" s="13" t="str">
        <f>"0,0000"</f>
        <v>0,0000</v>
      </c>
      <c r="M22" s="11" t="s">
        <v>586</v>
      </c>
    </row>
    <row r="24" spans="1:13" ht="15">
      <c r="A24" s="26" t="s">
        <v>327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13">
      <c r="A25" s="9" t="s">
        <v>1196</v>
      </c>
      <c r="B25" s="9" t="s">
        <v>1195</v>
      </c>
      <c r="C25" s="9" t="s">
        <v>1194</v>
      </c>
      <c r="D25" s="9" t="str">
        <f>"0,5652"</f>
        <v>0,5652</v>
      </c>
      <c r="E25" s="9" t="s">
        <v>1193</v>
      </c>
      <c r="F25" s="9" t="s">
        <v>1192</v>
      </c>
      <c r="G25" s="14" t="s">
        <v>1191</v>
      </c>
      <c r="H25" s="14" t="s">
        <v>1173</v>
      </c>
      <c r="I25" s="10" t="s">
        <v>1190</v>
      </c>
      <c r="J25" s="10"/>
      <c r="K25" s="9" t="str">
        <f>"375,0"</f>
        <v>375,0</v>
      </c>
      <c r="L25" s="14" t="str">
        <f>"211,9500"</f>
        <v>211,9500</v>
      </c>
      <c r="M25" s="9" t="s">
        <v>19</v>
      </c>
    </row>
    <row r="26" spans="1:13">
      <c r="A26" s="11" t="s">
        <v>1189</v>
      </c>
      <c r="B26" s="11" t="s">
        <v>1188</v>
      </c>
      <c r="C26" s="11" t="s">
        <v>1187</v>
      </c>
      <c r="D26" s="11" t="str">
        <f>"0,5607"</f>
        <v>0,5607</v>
      </c>
      <c r="E26" s="11" t="s">
        <v>90</v>
      </c>
      <c r="F26" s="11" t="s">
        <v>848</v>
      </c>
      <c r="G26" s="13" t="s">
        <v>1186</v>
      </c>
      <c r="H26" s="12" t="s">
        <v>1170</v>
      </c>
      <c r="I26" s="13" t="s">
        <v>1170</v>
      </c>
      <c r="J26" s="12"/>
      <c r="K26" s="11" t="str">
        <f>"372,5"</f>
        <v>372,5</v>
      </c>
      <c r="L26" s="13" t="str">
        <f>"208,8607"</f>
        <v>208,8607</v>
      </c>
      <c r="M26" s="11" t="s">
        <v>47</v>
      </c>
    </row>
    <row r="28" spans="1:13" ht="15">
      <c r="A28" s="26" t="s">
        <v>139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</row>
    <row r="29" spans="1:13">
      <c r="A29" s="6" t="s">
        <v>1185</v>
      </c>
      <c r="B29" s="6" t="s">
        <v>1184</v>
      </c>
      <c r="C29" s="6" t="s">
        <v>1183</v>
      </c>
      <c r="D29" s="6" t="str">
        <f>"0,5572"</f>
        <v>0,5572</v>
      </c>
      <c r="E29" s="6" t="s">
        <v>24</v>
      </c>
      <c r="F29" s="6" t="s">
        <v>1182</v>
      </c>
      <c r="G29" s="7" t="s">
        <v>1157</v>
      </c>
      <c r="H29" s="7" t="s">
        <v>1157</v>
      </c>
      <c r="I29" s="8" t="s">
        <v>1157</v>
      </c>
      <c r="J29" s="7"/>
      <c r="K29" s="6" t="str">
        <f>"320,0"</f>
        <v>320,0</v>
      </c>
      <c r="L29" s="8" t="str">
        <f>"178,3040"</f>
        <v>178,3040</v>
      </c>
      <c r="M29" s="6" t="s">
        <v>1181</v>
      </c>
    </row>
    <row r="31" spans="1:13" ht="15">
      <c r="E31" s="18" t="s">
        <v>151</v>
      </c>
    </row>
    <row r="32" spans="1:13" ht="15">
      <c r="E32" s="18" t="s">
        <v>152</v>
      </c>
    </row>
    <row r="33" spans="1:5" ht="15">
      <c r="E33" s="18" t="s">
        <v>153</v>
      </c>
    </row>
    <row r="34" spans="1:5" ht="15">
      <c r="E34" s="18" t="s">
        <v>154</v>
      </c>
    </row>
    <row r="35" spans="1:5" ht="15">
      <c r="E35" s="18" t="s">
        <v>154</v>
      </c>
    </row>
    <row r="36" spans="1:5" ht="15">
      <c r="E36" s="18" t="s">
        <v>155</v>
      </c>
    </row>
    <row r="37" spans="1:5" ht="15">
      <c r="E37" s="18"/>
    </row>
    <row r="39" spans="1:5" ht="18">
      <c r="A39" s="19" t="s">
        <v>156</v>
      </c>
      <c r="B39" s="19"/>
    </row>
    <row r="40" spans="1:5" ht="15">
      <c r="A40" s="20" t="s">
        <v>165</v>
      </c>
      <c r="B40" s="20"/>
    </row>
    <row r="41" spans="1:5" ht="14.25">
      <c r="A41" s="22"/>
      <c r="B41" s="23" t="s">
        <v>158</v>
      </c>
    </row>
    <row r="42" spans="1:5" ht="15">
      <c r="A42" s="24" t="s">
        <v>159</v>
      </c>
      <c r="B42" s="24" t="s">
        <v>160</v>
      </c>
      <c r="C42" s="24" t="s">
        <v>161</v>
      </c>
      <c r="D42" s="24" t="s">
        <v>162</v>
      </c>
      <c r="E42" s="24" t="s">
        <v>163</v>
      </c>
    </row>
    <row r="43" spans="1:5">
      <c r="A43" s="21" t="s">
        <v>1180</v>
      </c>
      <c r="B43" s="5" t="s">
        <v>158</v>
      </c>
      <c r="C43" s="5" t="s">
        <v>137</v>
      </c>
      <c r="D43" s="5" t="s">
        <v>1179</v>
      </c>
      <c r="E43" s="25" t="s">
        <v>1178</v>
      </c>
    </row>
    <row r="44" spans="1:5">
      <c r="A44" s="21" t="s">
        <v>1177</v>
      </c>
      <c r="B44" s="5" t="s">
        <v>158</v>
      </c>
      <c r="C44" s="5" t="s">
        <v>101</v>
      </c>
      <c r="D44" s="5" t="s">
        <v>1176</v>
      </c>
      <c r="E44" s="25" t="s">
        <v>1175</v>
      </c>
    </row>
    <row r="45" spans="1:5">
      <c r="A45" s="21" t="s">
        <v>1174</v>
      </c>
      <c r="B45" s="5" t="s">
        <v>158</v>
      </c>
      <c r="C45" s="5" t="s">
        <v>63</v>
      </c>
      <c r="D45" s="5" t="s">
        <v>1173</v>
      </c>
      <c r="E45" s="25" t="s">
        <v>1172</v>
      </c>
    </row>
    <row r="46" spans="1:5">
      <c r="A46" s="21" t="s">
        <v>1171</v>
      </c>
      <c r="B46" s="5" t="s">
        <v>158</v>
      </c>
      <c r="C46" s="5" t="s">
        <v>63</v>
      </c>
      <c r="D46" s="5" t="s">
        <v>1170</v>
      </c>
      <c r="E46" s="25" t="s">
        <v>1169</v>
      </c>
    </row>
    <row r="47" spans="1:5">
      <c r="A47" s="21" t="s">
        <v>629</v>
      </c>
      <c r="B47" s="5" t="s">
        <v>158</v>
      </c>
      <c r="C47" s="5" t="s">
        <v>101</v>
      </c>
      <c r="D47" s="5" t="s">
        <v>1168</v>
      </c>
      <c r="E47" s="25" t="s">
        <v>1167</v>
      </c>
    </row>
    <row r="48" spans="1:5">
      <c r="A48" s="21" t="s">
        <v>1166</v>
      </c>
      <c r="B48" s="5" t="s">
        <v>158</v>
      </c>
      <c r="C48" s="5" t="s">
        <v>167</v>
      </c>
      <c r="D48" s="5" t="s">
        <v>1165</v>
      </c>
      <c r="E48" s="25" t="s">
        <v>1164</v>
      </c>
    </row>
    <row r="49" spans="1:5">
      <c r="A49" s="21" t="s">
        <v>1163</v>
      </c>
      <c r="B49" s="5" t="s">
        <v>158</v>
      </c>
      <c r="C49" s="5" t="s">
        <v>101</v>
      </c>
      <c r="D49" s="5" t="s">
        <v>1157</v>
      </c>
      <c r="E49" s="25" t="s">
        <v>1162</v>
      </c>
    </row>
    <row r="50" spans="1:5">
      <c r="A50" s="21" t="s">
        <v>1161</v>
      </c>
      <c r="B50" s="5" t="s">
        <v>158</v>
      </c>
      <c r="C50" s="5" t="s">
        <v>137</v>
      </c>
      <c r="D50" s="5" t="s">
        <v>1160</v>
      </c>
      <c r="E50" s="25" t="s">
        <v>1159</v>
      </c>
    </row>
    <row r="51" spans="1:5">
      <c r="A51" s="21" t="s">
        <v>1158</v>
      </c>
      <c r="B51" s="5" t="s">
        <v>158</v>
      </c>
      <c r="C51" s="5" t="s">
        <v>180</v>
      </c>
      <c r="D51" s="5" t="s">
        <v>1157</v>
      </c>
      <c r="E51" s="25" t="s">
        <v>1156</v>
      </c>
    </row>
    <row r="52" spans="1:5">
      <c r="A52" s="21" t="s">
        <v>1155</v>
      </c>
      <c r="B52" s="5" t="s">
        <v>158</v>
      </c>
      <c r="C52" s="5" t="s">
        <v>167</v>
      </c>
      <c r="D52" s="5" t="s">
        <v>1154</v>
      </c>
      <c r="E52" s="25" t="s">
        <v>1153</v>
      </c>
    </row>
    <row r="53" spans="1:5">
      <c r="A53" s="21" t="s">
        <v>1152</v>
      </c>
      <c r="B53" s="5" t="s">
        <v>158</v>
      </c>
      <c r="C53" s="5" t="s">
        <v>101</v>
      </c>
      <c r="D53" s="5" t="s">
        <v>1151</v>
      </c>
      <c r="E53" s="25" t="s">
        <v>1150</v>
      </c>
    </row>
    <row r="54" spans="1:5">
      <c r="A54" s="21" t="s">
        <v>1149</v>
      </c>
      <c r="B54" s="5" t="s">
        <v>158</v>
      </c>
      <c r="C54" s="5" t="s">
        <v>167</v>
      </c>
      <c r="D54" s="5" t="s">
        <v>364</v>
      </c>
      <c r="E54" s="25" t="s">
        <v>1148</v>
      </c>
    </row>
    <row r="55" spans="1:5">
      <c r="A55" s="21" t="s">
        <v>1147</v>
      </c>
      <c r="B55" s="5" t="s">
        <v>158</v>
      </c>
      <c r="C55" s="5" t="s">
        <v>101</v>
      </c>
      <c r="D55" s="5" t="s">
        <v>1146</v>
      </c>
      <c r="E55" s="25" t="s">
        <v>1145</v>
      </c>
    </row>
  </sheetData>
  <mergeCells count="16">
    <mergeCell ref="A1:M2"/>
    <mergeCell ref="G3:J3"/>
    <mergeCell ref="A3:A4"/>
    <mergeCell ref="B3:B4"/>
    <mergeCell ref="C3:C4"/>
    <mergeCell ref="M3:M4"/>
    <mergeCell ref="F3:F4"/>
    <mergeCell ref="E3:E4"/>
    <mergeCell ref="A24:L24"/>
    <mergeCell ref="A28:L28"/>
    <mergeCell ref="D3:D4"/>
    <mergeCell ref="K3:K4"/>
    <mergeCell ref="L3:L4"/>
    <mergeCell ref="A5:L5"/>
    <mergeCell ref="A10:L10"/>
    <mergeCell ref="A18:L18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79"/>
  <sheetViews>
    <sheetView tabSelected="1" topLeftCell="A51" workbookViewId="0">
      <selection activeCell="M34" sqref="M34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8.42578125" style="5" bestFit="1" customWidth="1"/>
    <col min="5" max="5" width="22.7109375" style="5" bestFit="1" customWidth="1"/>
    <col min="6" max="6" width="38.7109375" style="5" bestFit="1" customWidth="1"/>
    <col min="7" max="7" width="5.5703125" style="4" bestFit="1" customWidth="1"/>
    <col min="8" max="8" width="4.5703125" style="4" bestFit="1" customWidth="1"/>
    <col min="9" max="9" width="12.28515625" style="5" customWidth="1"/>
    <col min="10" max="10" width="9.5703125" style="4" bestFit="1" customWidth="1"/>
    <col min="11" max="11" width="17.85546875" style="5" bestFit="1" customWidth="1"/>
    <col min="12" max="16384" width="9.140625" style="4"/>
  </cols>
  <sheetData>
    <row r="1" spans="1:11" s="3" customFormat="1" ht="29.1" customHeight="1">
      <c r="A1" s="30" t="s">
        <v>1095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2" spans="1:11" s="3" customFormat="1" ht="62.1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5"/>
    </row>
    <row r="3" spans="1:11" s="1" customFormat="1" ht="12.75" customHeight="1">
      <c r="A3" s="36" t="s">
        <v>0</v>
      </c>
      <c r="B3" s="38" t="s">
        <v>6</v>
      </c>
      <c r="C3" s="38" t="s">
        <v>8</v>
      </c>
      <c r="D3" s="27" t="s">
        <v>976</v>
      </c>
      <c r="E3" s="27" t="s">
        <v>4</v>
      </c>
      <c r="F3" s="27" t="s">
        <v>7</v>
      </c>
      <c r="G3" s="27" t="s">
        <v>1</v>
      </c>
      <c r="H3" s="27"/>
      <c r="I3" s="27" t="s">
        <v>181</v>
      </c>
      <c r="J3" s="27" t="s">
        <v>3</v>
      </c>
      <c r="K3" s="39" t="s">
        <v>2</v>
      </c>
    </row>
    <row r="4" spans="1:11" s="1" customFormat="1" ht="21" customHeight="1" thickBot="1">
      <c r="A4" s="37"/>
      <c r="B4" s="28"/>
      <c r="C4" s="28"/>
      <c r="D4" s="28"/>
      <c r="E4" s="28"/>
      <c r="F4" s="28"/>
      <c r="G4" s="2">
        <v>1</v>
      </c>
      <c r="H4" s="2">
        <v>2</v>
      </c>
      <c r="I4" s="28"/>
      <c r="J4" s="28"/>
      <c r="K4" s="40"/>
    </row>
    <row r="5" spans="1:11" ht="15">
      <c r="A5" s="29" t="s">
        <v>10</v>
      </c>
      <c r="B5" s="29"/>
      <c r="C5" s="29"/>
      <c r="D5" s="29"/>
      <c r="E5" s="29"/>
      <c r="F5" s="29"/>
      <c r="G5" s="29"/>
      <c r="H5" s="29"/>
      <c r="I5" s="29"/>
      <c r="J5" s="29"/>
    </row>
    <row r="6" spans="1:11">
      <c r="A6" s="9" t="s">
        <v>1094</v>
      </c>
      <c r="B6" s="9" t="s">
        <v>449</v>
      </c>
      <c r="C6" s="9" t="s">
        <v>450</v>
      </c>
      <c r="D6" s="9" t="str">
        <f>"0,8612"</f>
        <v>0,8612</v>
      </c>
      <c r="E6" s="9" t="s">
        <v>24</v>
      </c>
      <c r="F6" s="9" t="s">
        <v>451</v>
      </c>
      <c r="G6" s="14" t="s">
        <v>164</v>
      </c>
      <c r="H6" s="14" t="s">
        <v>1005</v>
      </c>
      <c r="I6" s="9" t="str">
        <f>"1260,0"</f>
        <v>1260,0</v>
      </c>
      <c r="J6" s="14" t="str">
        <f>"1085,1120"</f>
        <v>1085,1120</v>
      </c>
      <c r="K6" s="9" t="s">
        <v>453</v>
      </c>
    </row>
    <row r="7" spans="1:11">
      <c r="A7" s="11" t="s">
        <v>1093</v>
      </c>
      <c r="B7" s="11" t="s">
        <v>1092</v>
      </c>
      <c r="C7" s="11" t="s">
        <v>1091</v>
      </c>
      <c r="D7" s="11" t="str">
        <f>"0,8369"</f>
        <v>0,8369</v>
      </c>
      <c r="E7" s="11" t="s">
        <v>14</v>
      </c>
      <c r="F7" s="11" t="s">
        <v>15</v>
      </c>
      <c r="G7" s="13" t="s">
        <v>164</v>
      </c>
      <c r="H7" s="13" t="s">
        <v>1090</v>
      </c>
      <c r="I7" s="11" t="str">
        <f>"960,0"</f>
        <v>960,0</v>
      </c>
      <c r="J7" s="13" t="str">
        <f>"803,4240"</f>
        <v>803,4240</v>
      </c>
      <c r="K7" s="11" t="s">
        <v>19</v>
      </c>
    </row>
    <row r="9" spans="1:11" ht="15">
      <c r="A9" s="26" t="s">
        <v>30</v>
      </c>
      <c r="B9" s="26"/>
      <c r="C9" s="26"/>
      <c r="D9" s="26"/>
      <c r="E9" s="26"/>
      <c r="F9" s="26"/>
      <c r="G9" s="26"/>
      <c r="H9" s="26"/>
      <c r="I9" s="26"/>
      <c r="J9" s="26"/>
    </row>
    <row r="10" spans="1:11">
      <c r="A10" s="6" t="s">
        <v>1089</v>
      </c>
      <c r="B10" s="6" t="s">
        <v>479</v>
      </c>
      <c r="C10" s="6" t="s">
        <v>480</v>
      </c>
      <c r="D10" s="6" t="str">
        <f>"0,7531"</f>
        <v>0,7531</v>
      </c>
      <c r="E10" s="6" t="s">
        <v>14</v>
      </c>
      <c r="F10" s="6" t="s">
        <v>15</v>
      </c>
      <c r="G10" s="7" t="s">
        <v>46</v>
      </c>
      <c r="H10" s="7"/>
      <c r="I10" s="6" t="str">
        <f>"0,0"</f>
        <v>0,0</v>
      </c>
      <c r="J10" s="8" t="str">
        <f>"0,0000"</f>
        <v>0,0000</v>
      </c>
      <c r="K10" s="6" t="s">
        <v>47</v>
      </c>
    </row>
    <row r="12" spans="1:11" ht="15">
      <c r="A12" s="26" t="s">
        <v>42</v>
      </c>
      <c r="B12" s="26"/>
      <c r="C12" s="26"/>
      <c r="D12" s="26"/>
      <c r="E12" s="26"/>
      <c r="F12" s="26"/>
      <c r="G12" s="26"/>
      <c r="H12" s="26"/>
      <c r="I12" s="26"/>
      <c r="J12" s="26"/>
    </row>
    <row r="13" spans="1:11">
      <c r="A13" s="9" t="s">
        <v>482</v>
      </c>
      <c r="B13" s="9" t="s">
        <v>1088</v>
      </c>
      <c r="C13" s="9" t="s">
        <v>203</v>
      </c>
      <c r="D13" s="9" t="str">
        <f>"0,6885"</f>
        <v>0,6885</v>
      </c>
      <c r="E13" s="9" t="s">
        <v>24</v>
      </c>
      <c r="F13" s="9" t="s">
        <v>115</v>
      </c>
      <c r="G13" s="14" t="s">
        <v>17</v>
      </c>
      <c r="H13" s="14" t="s">
        <v>720</v>
      </c>
      <c r="I13" s="9" t="str">
        <f>"2625,0"</f>
        <v>2625,0</v>
      </c>
      <c r="J13" s="14" t="str">
        <f>"1807,4437"</f>
        <v>1807,4437</v>
      </c>
      <c r="K13" s="9" t="s">
        <v>122</v>
      </c>
    </row>
    <row r="14" spans="1:11">
      <c r="A14" s="15" t="s">
        <v>1087</v>
      </c>
      <c r="B14" s="15" t="s">
        <v>1086</v>
      </c>
      <c r="C14" s="15" t="s">
        <v>778</v>
      </c>
      <c r="D14" s="15" t="str">
        <f>"0,7189"</f>
        <v>0,7189</v>
      </c>
      <c r="E14" s="15" t="s">
        <v>14</v>
      </c>
      <c r="F14" s="15" t="s">
        <v>15</v>
      </c>
      <c r="G14" s="17" t="s">
        <v>411</v>
      </c>
      <c r="H14" s="17" t="s">
        <v>1024</v>
      </c>
      <c r="I14" s="15" t="str">
        <f>"2030,0"</f>
        <v>2030,0</v>
      </c>
      <c r="J14" s="17" t="str">
        <f>"1459,2655"</f>
        <v>1459,2655</v>
      </c>
      <c r="K14" s="15" t="s">
        <v>779</v>
      </c>
    </row>
    <row r="15" spans="1:11">
      <c r="A15" s="15" t="s">
        <v>1085</v>
      </c>
      <c r="B15" s="15" t="s">
        <v>1084</v>
      </c>
      <c r="C15" s="15" t="s">
        <v>1083</v>
      </c>
      <c r="D15" s="15" t="str">
        <f>"0,7132"</f>
        <v>0,7132</v>
      </c>
      <c r="E15" s="15" t="s">
        <v>14</v>
      </c>
      <c r="F15" s="15" t="s">
        <v>15</v>
      </c>
      <c r="G15" s="17" t="s">
        <v>411</v>
      </c>
      <c r="H15" s="17" t="s">
        <v>1024</v>
      </c>
      <c r="I15" s="15" t="str">
        <f>"2030,0"</f>
        <v>2030,0</v>
      </c>
      <c r="J15" s="17" t="str">
        <f>"1447,8975"</f>
        <v>1447,8975</v>
      </c>
      <c r="K15" s="15" t="s">
        <v>1082</v>
      </c>
    </row>
    <row r="16" spans="1:11">
      <c r="A16" s="15" t="s">
        <v>1081</v>
      </c>
      <c r="B16" s="15" t="s">
        <v>1080</v>
      </c>
      <c r="C16" s="15" t="s">
        <v>521</v>
      </c>
      <c r="D16" s="15" t="str">
        <f>"0,7012"</f>
        <v>0,7012</v>
      </c>
      <c r="E16" s="15" t="s">
        <v>14</v>
      </c>
      <c r="F16" s="15" t="s">
        <v>15</v>
      </c>
      <c r="G16" s="17" t="s">
        <v>17</v>
      </c>
      <c r="H16" s="17" t="s">
        <v>1005</v>
      </c>
      <c r="I16" s="15" t="str">
        <f>"1575,0"</f>
        <v>1575,0</v>
      </c>
      <c r="J16" s="17" t="str">
        <f>"1104,3113"</f>
        <v>1104,3113</v>
      </c>
      <c r="K16" s="15" t="s">
        <v>19</v>
      </c>
    </row>
    <row r="17" spans="1:11">
      <c r="A17" s="15" t="s">
        <v>1079</v>
      </c>
      <c r="B17" s="15" t="s">
        <v>1078</v>
      </c>
      <c r="C17" s="15" t="s">
        <v>1077</v>
      </c>
      <c r="D17" s="15" t="str">
        <f>"0,7019"</f>
        <v>0,7019</v>
      </c>
      <c r="E17" s="15" t="s">
        <v>24</v>
      </c>
      <c r="F17" s="15" t="s">
        <v>226</v>
      </c>
      <c r="G17" s="17" t="s">
        <v>17</v>
      </c>
      <c r="H17" s="17" t="s">
        <v>1034</v>
      </c>
      <c r="I17" s="15" t="str">
        <f>"1425,0"</f>
        <v>1425,0</v>
      </c>
      <c r="J17" s="17" t="str">
        <f>"1000,2075"</f>
        <v>1000,2075</v>
      </c>
      <c r="K17" s="15" t="s">
        <v>19</v>
      </c>
    </row>
    <row r="18" spans="1:11">
      <c r="A18" s="11" t="s">
        <v>516</v>
      </c>
      <c r="B18" s="11" t="s">
        <v>1076</v>
      </c>
      <c r="C18" s="11" t="s">
        <v>203</v>
      </c>
      <c r="D18" s="11" t="str">
        <f>"0,6885"</f>
        <v>0,6885</v>
      </c>
      <c r="E18" s="11" t="s">
        <v>14</v>
      </c>
      <c r="F18" s="11" t="s">
        <v>15</v>
      </c>
      <c r="G18" s="13" t="s">
        <v>17</v>
      </c>
      <c r="H18" s="13" t="s">
        <v>1041</v>
      </c>
      <c r="I18" s="11" t="str">
        <f>"1950,0"</f>
        <v>1950,0</v>
      </c>
      <c r="J18" s="13" t="str">
        <f>"1946,8751"</f>
        <v>1946,8751</v>
      </c>
      <c r="K18" s="11" t="s">
        <v>19</v>
      </c>
    </row>
    <row r="20" spans="1:11" ht="15">
      <c r="A20" s="26" t="s">
        <v>49</v>
      </c>
      <c r="B20" s="26"/>
      <c r="C20" s="26"/>
      <c r="D20" s="26"/>
      <c r="E20" s="26"/>
      <c r="F20" s="26"/>
      <c r="G20" s="26"/>
      <c r="H20" s="26"/>
      <c r="I20" s="26"/>
      <c r="J20" s="26"/>
    </row>
    <row r="21" spans="1:11">
      <c r="A21" s="9" t="s">
        <v>1075</v>
      </c>
      <c r="B21" s="9" t="s">
        <v>1074</v>
      </c>
      <c r="C21" s="9" t="s">
        <v>1073</v>
      </c>
      <c r="D21" s="9" t="str">
        <f>"0,6670"</f>
        <v>0,6670</v>
      </c>
      <c r="E21" s="9" t="s">
        <v>1072</v>
      </c>
      <c r="F21" s="9" t="s">
        <v>1071</v>
      </c>
      <c r="G21" s="14" t="s">
        <v>227</v>
      </c>
      <c r="H21" s="14" t="s">
        <v>1070</v>
      </c>
      <c r="I21" s="9" t="str">
        <f>"3040,0"</f>
        <v>3040,0</v>
      </c>
      <c r="J21" s="14" t="str">
        <f>"2027,6800"</f>
        <v>2027,6800</v>
      </c>
      <c r="K21" s="9" t="s">
        <v>1050</v>
      </c>
    </row>
    <row r="22" spans="1:11">
      <c r="A22" s="15" t="s">
        <v>1069</v>
      </c>
      <c r="B22" s="15" t="s">
        <v>561</v>
      </c>
      <c r="C22" s="15" t="s">
        <v>554</v>
      </c>
      <c r="D22" s="15" t="str">
        <f>"0,6518"</f>
        <v>0,6518</v>
      </c>
      <c r="E22" s="15" t="s">
        <v>14</v>
      </c>
      <c r="F22" s="15" t="s">
        <v>15</v>
      </c>
      <c r="G22" s="17" t="s">
        <v>172</v>
      </c>
      <c r="H22" s="17" t="s">
        <v>972</v>
      </c>
      <c r="I22" s="15" t="str">
        <f>"2062,5"</f>
        <v>2062,5</v>
      </c>
      <c r="J22" s="17" t="str">
        <f>"1344,4406"</f>
        <v>1344,4406</v>
      </c>
      <c r="K22" s="15" t="s">
        <v>47</v>
      </c>
    </row>
    <row r="23" spans="1:11">
      <c r="A23" s="15" t="s">
        <v>1068</v>
      </c>
      <c r="B23" s="15" t="s">
        <v>1067</v>
      </c>
      <c r="C23" s="15" t="s">
        <v>1066</v>
      </c>
      <c r="D23" s="15" t="str">
        <f>"0,6737"</f>
        <v>0,6737</v>
      </c>
      <c r="E23" s="15" t="s">
        <v>14</v>
      </c>
      <c r="F23" s="15" t="s">
        <v>15</v>
      </c>
      <c r="G23" s="17" t="s">
        <v>18</v>
      </c>
      <c r="H23" s="17" t="s">
        <v>999</v>
      </c>
      <c r="I23" s="15" t="str">
        <f>"1860,0"</f>
        <v>1860,0</v>
      </c>
      <c r="J23" s="17" t="str">
        <f>"1252,9890"</f>
        <v>1252,9890</v>
      </c>
      <c r="K23" s="15" t="s">
        <v>47</v>
      </c>
    </row>
    <row r="24" spans="1:11">
      <c r="A24" s="15" t="s">
        <v>1065</v>
      </c>
      <c r="B24" s="15" t="s">
        <v>1064</v>
      </c>
      <c r="C24" s="15" t="s">
        <v>1063</v>
      </c>
      <c r="D24" s="15" t="str">
        <f>"0,6482"</f>
        <v>0,6482</v>
      </c>
      <c r="E24" s="15" t="s">
        <v>24</v>
      </c>
      <c r="F24" s="15" t="s">
        <v>1062</v>
      </c>
      <c r="G24" s="17" t="s">
        <v>172</v>
      </c>
      <c r="H24" s="17" t="s">
        <v>1061</v>
      </c>
      <c r="I24" s="15" t="str">
        <f>"2392,5"</f>
        <v>2392,5</v>
      </c>
      <c r="J24" s="17" t="str">
        <f>"1677,9856"</f>
        <v>1677,9856</v>
      </c>
      <c r="K24" s="15" t="s">
        <v>1060</v>
      </c>
    </row>
    <row r="25" spans="1:11">
      <c r="A25" s="11" t="s">
        <v>1059</v>
      </c>
      <c r="B25" s="11" t="s">
        <v>1058</v>
      </c>
      <c r="C25" s="11" t="s">
        <v>525</v>
      </c>
      <c r="D25" s="11" t="str">
        <f>"0,6508"</f>
        <v>0,6508</v>
      </c>
      <c r="E25" s="11" t="s">
        <v>14</v>
      </c>
      <c r="F25" s="11" t="s">
        <v>15</v>
      </c>
      <c r="G25" s="13" t="s">
        <v>172</v>
      </c>
      <c r="H25" s="13" t="s">
        <v>970</v>
      </c>
      <c r="I25" s="11" t="str">
        <f>"1897,5"</f>
        <v>1897,5</v>
      </c>
      <c r="J25" s="13" t="str">
        <f>"1273,1747"</f>
        <v>1273,1747</v>
      </c>
      <c r="K25" s="11" t="s">
        <v>1057</v>
      </c>
    </row>
    <row r="27" spans="1:11" ht="15">
      <c r="A27" s="26" t="s">
        <v>66</v>
      </c>
      <c r="B27" s="26"/>
      <c r="C27" s="26"/>
      <c r="D27" s="26"/>
      <c r="E27" s="26"/>
      <c r="F27" s="26"/>
      <c r="G27" s="26"/>
      <c r="H27" s="26"/>
      <c r="I27" s="26"/>
      <c r="J27" s="26"/>
    </row>
    <row r="28" spans="1:11">
      <c r="A28" s="9" t="s">
        <v>816</v>
      </c>
      <c r="B28" s="9" t="s">
        <v>817</v>
      </c>
      <c r="C28" s="9" t="s">
        <v>614</v>
      </c>
      <c r="D28" s="9" t="str">
        <f>"0,6217"</f>
        <v>0,6217</v>
      </c>
      <c r="E28" s="9" t="s">
        <v>14</v>
      </c>
      <c r="F28" s="9" t="s">
        <v>15</v>
      </c>
      <c r="G28" s="14" t="s">
        <v>1042</v>
      </c>
      <c r="H28" s="14" t="s">
        <v>718</v>
      </c>
      <c r="I28" s="9" t="str">
        <f>"2625,0"</f>
        <v>2625,0</v>
      </c>
      <c r="J28" s="14" t="str">
        <f>"1632,0937"</f>
        <v>1632,0937</v>
      </c>
      <c r="K28" s="9" t="s">
        <v>19</v>
      </c>
    </row>
    <row r="29" spans="1:11">
      <c r="A29" s="15" t="s">
        <v>1056</v>
      </c>
      <c r="B29" s="15" t="s">
        <v>1055</v>
      </c>
      <c r="C29" s="15" t="s">
        <v>1054</v>
      </c>
      <c r="D29" s="15" t="str">
        <f>"0,6230"</f>
        <v>0,6230</v>
      </c>
      <c r="E29" s="15" t="s">
        <v>14</v>
      </c>
      <c r="F29" s="15" t="s">
        <v>15</v>
      </c>
      <c r="G29" s="17" t="s">
        <v>1042</v>
      </c>
      <c r="H29" s="17" t="s">
        <v>1034</v>
      </c>
      <c r="I29" s="15" t="str">
        <f>"1662,5"</f>
        <v>1662,5</v>
      </c>
      <c r="J29" s="17" t="str">
        <f>"1035,7375"</f>
        <v>1035,7375</v>
      </c>
      <c r="K29" s="15" t="s">
        <v>522</v>
      </c>
    </row>
    <row r="30" spans="1:11">
      <c r="A30" s="15" t="s">
        <v>1053</v>
      </c>
      <c r="B30" s="15" t="s">
        <v>1052</v>
      </c>
      <c r="C30" s="15" t="s">
        <v>232</v>
      </c>
      <c r="D30" s="15" t="str">
        <f>"0,6133"</f>
        <v>0,6133</v>
      </c>
      <c r="E30" s="15" t="s">
        <v>24</v>
      </c>
      <c r="F30" s="15" t="s">
        <v>226</v>
      </c>
      <c r="G30" s="17" t="s">
        <v>170</v>
      </c>
      <c r="H30" s="17" t="s">
        <v>1051</v>
      </c>
      <c r="I30" s="15" t="str">
        <f>"2970,0"</f>
        <v>2970,0</v>
      </c>
      <c r="J30" s="17" t="str">
        <f>"1821,6494"</f>
        <v>1821,6494</v>
      </c>
      <c r="K30" s="15" t="s">
        <v>1050</v>
      </c>
    </row>
    <row r="31" spans="1:11">
      <c r="A31" s="15" t="s">
        <v>1049</v>
      </c>
      <c r="B31" s="15" t="s">
        <v>1048</v>
      </c>
      <c r="C31" s="15" t="s">
        <v>1047</v>
      </c>
      <c r="D31" s="15" t="str">
        <f>"0,6359"</f>
        <v>0,6359</v>
      </c>
      <c r="E31" s="15" t="s">
        <v>14</v>
      </c>
      <c r="F31" s="15" t="s">
        <v>15</v>
      </c>
      <c r="G31" s="17" t="s">
        <v>582</v>
      </c>
      <c r="H31" s="17" t="s">
        <v>718</v>
      </c>
      <c r="I31" s="15" t="str">
        <f>"2550,0"</f>
        <v>2550,0</v>
      </c>
      <c r="J31" s="17" t="str">
        <f>"1621,4175"</f>
        <v>1621,4175</v>
      </c>
      <c r="K31" s="15" t="s">
        <v>1046</v>
      </c>
    </row>
    <row r="32" spans="1:11">
      <c r="A32" s="15" t="s">
        <v>595</v>
      </c>
      <c r="B32" s="15" t="s">
        <v>596</v>
      </c>
      <c r="C32" s="15" t="s">
        <v>597</v>
      </c>
      <c r="D32" s="15" t="str">
        <f>"0,6169"</f>
        <v>0,6169</v>
      </c>
      <c r="E32" s="15" t="s">
        <v>14</v>
      </c>
      <c r="F32" s="15" t="s">
        <v>15</v>
      </c>
      <c r="G32" s="17" t="s">
        <v>170</v>
      </c>
      <c r="H32" s="17" t="s">
        <v>999</v>
      </c>
      <c r="I32" s="15" t="str">
        <f>"2160,0"</f>
        <v>2160,0</v>
      </c>
      <c r="J32" s="17" t="str">
        <f>"1332,3960"</f>
        <v>1332,3960</v>
      </c>
      <c r="K32" s="15" t="s">
        <v>19</v>
      </c>
    </row>
    <row r="33" spans="1:13">
      <c r="A33" s="15" t="s">
        <v>610</v>
      </c>
      <c r="B33" s="15" t="s">
        <v>1045</v>
      </c>
      <c r="C33" s="15" t="s">
        <v>70</v>
      </c>
      <c r="D33" s="15" t="str">
        <f>"0,6192"</f>
        <v>0,6192</v>
      </c>
      <c r="E33" s="15" t="s">
        <v>14</v>
      </c>
      <c r="F33" s="15" t="s">
        <v>15</v>
      </c>
      <c r="G33" s="17" t="s">
        <v>170</v>
      </c>
      <c r="H33" s="41" t="s">
        <v>972</v>
      </c>
      <c r="I33" s="42" t="s">
        <v>1248</v>
      </c>
      <c r="J33" s="41" t="s">
        <v>1249</v>
      </c>
      <c r="K33" s="15" t="s">
        <v>122</v>
      </c>
    </row>
    <row r="34" spans="1:13">
      <c r="A34" s="15" t="s">
        <v>1044</v>
      </c>
      <c r="B34" s="15" t="s">
        <v>1043</v>
      </c>
      <c r="C34" s="15" t="s">
        <v>249</v>
      </c>
      <c r="D34" s="15" t="str">
        <f>"0,6269"</f>
        <v>0,6269</v>
      </c>
      <c r="E34" s="15" t="s">
        <v>952</v>
      </c>
      <c r="F34" s="15" t="s">
        <v>1006</v>
      </c>
      <c r="G34" s="17" t="s">
        <v>1042</v>
      </c>
      <c r="H34" s="17" t="s">
        <v>1041</v>
      </c>
      <c r="I34" s="15" t="str">
        <f>"2275,0"</f>
        <v>2275,0</v>
      </c>
      <c r="J34" s="17" t="str">
        <f>"1746,9526"</f>
        <v>1746,9526</v>
      </c>
      <c r="K34" s="15" t="s">
        <v>47</v>
      </c>
      <c r="M34" s="43"/>
    </row>
    <row r="35" spans="1:13">
      <c r="A35" s="15" t="s">
        <v>1040</v>
      </c>
      <c r="B35" s="15" t="s">
        <v>1039</v>
      </c>
      <c r="C35" s="15" t="s">
        <v>829</v>
      </c>
      <c r="D35" s="15" t="str">
        <f>"0,6387"</f>
        <v>0,6387</v>
      </c>
      <c r="E35" s="15" t="s">
        <v>90</v>
      </c>
      <c r="F35" s="15" t="s">
        <v>15</v>
      </c>
      <c r="G35" s="17" t="s">
        <v>582</v>
      </c>
      <c r="H35" s="17" t="s">
        <v>1034</v>
      </c>
      <c r="I35" s="15" t="str">
        <f>"1615,0"</f>
        <v>1615,0</v>
      </c>
      <c r="J35" s="17" t="str">
        <f>"1201,6981"</f>
        <v>1201,6981</v>
      </c>
      <c r="K35" s="15" t="s">
        <v>47</v>
      </c>
    </row>
    <row r="36" spans="1:13">
      <c r="A36" s="15" t="s">
        <v>1038</v>
      </c>
      <c r="B36" s="15" t="s">
        <v>1037</v>
      </c>
      <c r="C36" s="15" t="s">
        <v>617</v>
      </c>
      <c r="D36" s="15" t="str">
        <f>"0,6165"</f>
        <v>0,6165</v>
      </c>
      <c r="E36" s="15" t="s">
        <v>14</v>
      </c>
      <c r="F36" s="15" t="s">
        <v>15</v>
      </c>
      <c r="G36" s="17" t="s">
        <v>170</v>
      </c>
      <c r="H36" s="17" t="s">
        <v>1036</v>
      </c>
      <c r="I36" s="15" t="str">
        <f>"1620,0"</f>
        <v>1620,0</v>
      </c>
      <c r="J36" s="17" t="str">
        <f>"1182,4004"</f>
        <v>1182,4004</v>
      </c>
      <c r="K36" s="15" t="s">
        <v>47</v>
      </c>
    </row>
    <row r="37" spans="1:13">
      <c r="A37" s="11" t="s">
        <v>623</v>
      </c>
      <c r="B37" s="11" t="s">
        <v>1035</v>
      </c>
      <c r="C37" s="11" t="s">
        <v>625</v>
      </c>
      <c r="D37" s="11" t="str">
        <f>"0,6354"</f>
        <v>0,6354</v>
      </c>
      <c r="E37" s="11" t="s">
        <v>14</v>
      </c>
      <c r="F37" s="11" t="s">
        <v>15</v>
      </c>
      <c r="G37" s="13" t="s">
        <v>582</v>
      </c>
      <c r="H37" s="13" t="s">
        <v>1034</v>
      </c>
      <c r="I37" s="11" t="str">
        <f>"1615,0"</f>
        <v>1615,0</v>
      </c>
      <c r="J37" s="13" t="str">
        <f>"1518,7331"</f>
        <v>1518,7331</v>
      </c>
      <c r="K37" s="11" t="s">
        <v>47</v>
      </c>
    </row>
    <row r="39" spans="1:13" ht="15">
      <c r="A39" s="26" t="s">
        <v>86</v>
      </c>
      <c r="B39" s="26"/>
      <c r="C39" s="26"/>
      <c r="D39" s="26"/>
      <c r="E39" s="26"/>
      <c r="F39" s="26"/>
      <c r="G39" s="26"/>
      <c r="H39" s="26"/>
      <c r="I39" s="26"/>
      <c r="J39" s="26"/>
    </row>
    <row r="40" spans="1:13">
      <c r="A40" s="9" t="s">
        <v>1033</v>
      </c>
      <c r="B40" s="9" t="s">
        <v>1032</v>
      </c>
      <c r="C40" s="9" t="s">
        <v>1025</v>
      </c>
      <c r="D40" s="9" t="str">
        <f>"0,6043"</f>
        <v>0,6043</v>
      </c>
      <c r="E40" s="9" t="s">
        <v>14</v>
      </c>
      <c r="F40" s="9" t="s">
        <v>15</v>
      </c>
      <c r="G40" s="14" t="s">
        <v>476</v>
      </c>
      <c r="H40" s="14" t="s">
        <v>1024</v>
      </c>
      <c r="I40" s="9" t="str">
        <f>"2590,0"</f>
        <v>2590,0</v>
      </c>
      <c r="J40" s="14" t="str">
        <f>"1565,1371"</f>
        <v>1565,1371</v>
      </c>
      <c r="K40" s="9" t="s">
        <v>1023</v>
      </c>
    </row>
    <row r="41" spans="1:13">
      <c r="A41" s="15" t="s">
        <v>1031</v>
      </c>
      <c r="B41" s="15" t="s">
        <v>1030</v>
      </c>
      <c r="C41" s="15" t="s">
        <v>1029</v>
      </c>
      <c r="D41" s="15" t="str">
        <f>"0,5823"</f>
        <v>0,5823</v>
      </c>
      <c r="E41" s="15" t="s">
        <v>14</v>
      </c>
      <c r="F41" s="15" t="s">
        <v>15</v>
      </c>
      <c r="G41" s="17" t="s">
        <v>167</v>
      </c>
      <c r="H41" s="17" t="s">
        <v>1028</v>
      </c>
      <c r="I41" s="15" t="str">
        <f>"4200,0"</f>
        <v>4200,0</v>
      </c>
      <c r="J41" s="17" t="str">
        <f>"2445,6600"</f>
        <v>2445,6600</v>
      </c>
      <c r="K41" s="15" t="s">
        <v>47</v>
      </c>
    </row>
    <row r="42" spans="1:13">
      <c r="A42" s="15" t="s">
        <v>1027</v>
      </c>
      <c r="B42" s="15" t="s">
        <v>1026</v>
      </c>
      <c r="C42" s="15" t="s">
        <v>1025</v>
      </c>
      <c r="D42" s="15" t="str">
        <f>"0,6043"</f>
        <v>0,6043</v>
      </c>
      <c r="E42" s="15" t="s">
        <v>14</v>
      </c>
      <c r="F42" s="15" t="s">
        <v>15</v>
      </c>
      <c r="G42" s="17" t="s">
        <v>476</v>
      </c>
      <c r="H42" s="17" t="s">
        <v>1024</v>
      </c>
      <c r="I42" s="15" t="str">
        <f>"2590,0"</f>
        <v>2590,0</v>
      </c>
      <c r="J42" s="17" t="str">
        <f>"1565,1371"</f>
        <v>1565,1371</v>
      </c>
      <c r="K42" s="15" t="s">
        <v>1023</v>
      </c>
    </row>
    <row r="43" spans="1:13">
      <c r="A43" s="15" t="s">
        <v>1022</v>
      </c>
      <c r="B43" s="15" t="s">
        <v>835</v>
      </c>
      <c r="C43" s="15" t="s">
        <v>646</v>
      </c>
      <c r="D43" s="15" t="str">
        <f>"0,5867"</f>
        <v>0,5867</v>
      </c>
      <c r="E43" s="15" t="s">
        <v>24</v>
      </c>
      <c r="F43" s="15" t="s">
        <v>25</v>
      </c>
      <c r="G43" s="17" t="s">
        <v>167</v>
      </c>
      <c r="H43" s="17" t="s">
        <v>1005</v>
      </c>
      <c r="I43" s="15" t="str">
        <f>"2100,0"</f>
        <v>2100,0</v>
      </c>
      <c r="J43" s="17" t="str">
        <f>"1231,9650"</f>
        <v>1231,9650</v>
      </c>
      <c r="K43" s="15" t="s">
        <v>19</v>
      </c>
    </row>
    <row r="44" spans="1:13">
      <c r="A44" s="15" t="s">
        <v>1021</v>
      </c>
      <c r="B44" s="15" t="s">
        <v>648</v>
      </c>
      <c r="C44" s="15" t="s">
        <v>649</v>
      </c>
      <c r="D44" s="15" t="str">
        <f>"0,5993"</f>
        <v>0,5993</v>
      </c>
      <c r="E44" s="15" t="s">
        <v>14</v>
      </c>
      <c r="F44" s="15" t="s">
        <v>15</v>
      </c>
      <c r="G44" s="17" t="s">
        <v>514</v>
      </c>
      <c r="H44" s="17" t="s">
        <v>1020</v>
      </c>
      <c r="I44" s="15" t="str">
        <f>"1615,0"</f>
        <v>1615,0</v>
      </c>
      <c r="J44" s="17" t="str">
        <f>"967,8695"</f>
        <v>967,8695</v>
      </c>
      <c r="K44" s="15" t="s">
        <v>47</v>
      </c>
    </row>
    <row r="45" spans="1:13">
      <c r="A45" s="15" t="s">
        <v>1019</v>
      </c>
      <c r="B45" s="15" t="s">
        <v>645</v>
      </c>
      <c r="C45" s="15" t="s">
        <v>646</v>
      </c>
      <c r="D45" s="15" t="str">
        <f>"0,5867"</f>
        <v>0,5867</v>
      </c>
      <c r="E45" s="15" t="s">
        <v>14</v>
      </c>
      <c r="F45" s="15" t="s">
        <v>15</v>
      </c>
      <c r="G45" s="16" t="s">
        <v>167</v>
      </c>
      <c r="H45" s="16"/>
      <c r="I45" s="15" t="str">
        <f>"0,0"</f>
        <v>0,0</v>
      </c>
      <c r="J45" s="17" t="str">
        <f>"0,0000"</f>
        <v>0,0000</v>
      </c>
      <c r="K45" s="15" t="s">
        <v>47</v>
      </c>
    </row>
    <row r="46" spans="1:13">
      <c r="A46" s="11" t="s">
        <v>1018</v>
      </c>
      <c r="B46" s="11" t="s">
        <v>1017</v>
      </c>
      <c r="C46" s="11" t="s">
        <v>844</v>
      </c>
      <c r="D46" s="11" t="str">
        <f>"0,5861"</f>
        <v>0,5861</v>
      </c>
      <c r="E46" s="11" t="s">
        <v>24</v>
      </c>
      <c r="F46" s="11" t="s">
        <v>489</v>
      </c>
      <c r="G46" s="13" t="s">
        <v>167</v>
      </c>
      <c r="H46" s="13" t="s">
        <v>1016</v>
      </c>
      <c r="I46" s="11" t="str">
        <f>"2200,0"</f>
        <v>2200,0</v>
      </c>
      <c r="J46" s="13" t="str">
        <f>"1344,9798"</f>
        <v>1344,9798</v>
      </c>
      <c r="K46" s="11" t="s">
        <v>47</v>
      </c>
    </row>
    <row r="48" spans="1:13" ht="15">
      <c r="A48" s="26" t="s">
        <v>103</v>
      </c>
      <c r="B48" s="26"/>
      <c r="C48" s="26"/>
      <c r="D48" s="26"/>
      <c r="E48" s="26"/>
      <c r="F48" s="26"/>
      <c r="G48" s="26"/>
      <c r="H48" s="26"/>
      <c r="I48" s="26"/>
      <c r="J48" s="26"/>
    </row>
    <row r="49" spans="1:11">
      <c r="A49" s="9" t="s">
        <v>1015</v>
      </c>
      <c r="B49" s="9" t="s">
        <v>1014</v>
      </c>
      <c r="C49" s="9" t="s">
        <v>1013</v>
      </c>
      <c r="D49" s="9" t="str">
        <f>"0,5803"</f>
        <v>0,5803</v>
      </c>
      <c r="E49" s="9" t="s">
        <v>14</v>
      </c>
      <c r="F49" s="9" t="s">
        <v>15</v>
      </c>
      <c r="G49" s="14" t="s">
        <v>194</v>
      </c>
      <c r="H49" s="14" t="s">
        <v>720</v>
      </c>
      <c r="I49" s="9" t="str">
        <f>"3587,5"</f>
        <v>3587,5</v>
      </c>
      <c r="J49" s="14" t="str">
        <f>"2082,0056"</f>
        <v>2082,0056</v>
      </c>
      <c r="K49" s="9" t="s">
        <v>1012</v>
      </c>
    </row>
    <row r="50" spans="1:11">
      <c r="A50" s="11" t="s">
        <v>1011</v>
      </c>
      <c r="B50" s="11" t="s">
        <v>1010</v>
      </c>
      <c r="C50" s="11" t="s">
        <v>894</v>
      </c>
      <c r="D50" s="11" t="str">
        <f>"0,5778"</f>
        <v>0,5778</v>
      </c>
      <c r="E50" s="11" t="s">
        <v>14</v>
      </c>
      <c r="F50" s="11" t="s">
        <v>15</v>
      </c>
      <c r="G50" s="13" t="s">
        <v>194</v>
      </c>
      <c r="H50" s="13" t="s">
        <v>970</v>
      </c>
      <c r="I50" s="11" t="str">
        <f>"2357,5"</f>
        <v>2357,5</v>
      </c>
      <c r="J50" s="13" t="str">
        <f>"1697,2557"</f>
        <v>1697,2557</v>
      </c>
      <c r="K50" s="11" t="s">
        <v>47</v>
      </c>
    </row>
    <row r="52" spans="1:11" ht="15">
      <c r="A52" s="26" t="s">
        <v>130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1">
      <c r="A53" s="9" t="s">
        <v>1009</v>
      </c>
      <c r="B53" s="9" t="s">
        <v>1008</v>
      </c>
      <c r="C53" s="9" t="s">
        <v>1007</v>
      </c>
      <c r="D53" s="9" t="str">
        <f>"0,5591"</f>
        <v>0,5591</v>
      </c>
      <c r="E53" s="9" t="s">
        <v>952</v>
      </c>
      <c r="F53" s="9" t="s">
        <v>1006</v>
      </c>
      <c r="G53" s="14" t="s">
        <v>204</v>
      </c>
      <c r="H53" s="14" t="s">
        <v>1005</v>
      </c>
      <c r="I53" s="9" t="str">
        <f>"2362,5"</f>
        <v>2362,5</v>
      </c>
      <c r="J53" s="14" t="str">
        <f>"1320,9918"</f>
        <v>1320,9918</v>
      </c>
      <c r="K53" s="9" t="s">
        <v>122</v>
      </c>
    </row>
    <row r="54" spans="1:11">
      <c r="A54" s="11" t="s">
        <v>1004</v>
      </c>
      <c r="B54" s="11" t="s">
        <v>907</v>
      </c>
      <c r="C54" s="11" t="s">
        <v>908</v>
      </c>
      <c r="D54" s="11" t="str">
        <f>"0,5500"</f>
        <v>0,5500</v>
      </c>
      <c r="E54" s="11" t="s">
        <v>909</v>
      </c>
      <c r="F54" s="11" t="s">
        <v>910</v>
      </c>
      <c r="G54" s="13" t="s">
        <v>518</v>
      </c>
      <c r="H54" s="13" t="s">
        <v>1003</v>
      </c>
      <c r="I54" s="11" t="str">
        <f>"1592,5"</f>
        <v>1592,5</v>
      </c>
      <c r="J54" s="13" t="str">
        <f>"875,8750"</f>
        <v>875,8750</v>
      </c>
      <c r="K54" s="11" t="s">
        <v>19</v>
      </c>
    </row>
    <row r="56" spans="1:11" ht="15">
      <c r="A56" s="26" t="s">
        <v>327</v>
      </c>
      <c r="B56" s="26"/>
      <c r="C56" s="26"/>
      <c r="D56" s="26"/>
      <c r="E56" s="26"/>
      <c r="F56" s="26"/>
      <c r="G56" s="26"/>
      <c r="H56" s="26"/>
      <c r="I56" s="26"/>
      <c r="J56" s="26"/>
    </row>
    <row r="57" spans="1:11">
      <c r="A57" s="6" t="s">
        <v>1002</v>
      </c>
      <c r="B57" s="6" t="s">
        <v>1001</v>
      </c>
      <c r="C57" s="6" t="s">
        <v>1000</v>
      </c>
      <c r="D57" s="6" t="str">
        <f>"0,5374"</f>
        <v>0,5374</v>
      </c>
      <c r="E57" s="6" t="s">
        <v>14</v>
      </c>
      <c r="F57" s="6" t="s">
        <v>15</v>
      </c>
      <c r="G57" s="8" t="s">
        <v>62</v>
      </c>
      <c r="H57" s="8" t="s">
        <v>999</v>
      </c>
      <c r="I57" s="6" t="str">
        <f>"3240,0"</f>
        <v>3240,0</v>
      </c>
      <c r="J57" s="8" t="str">
        <f>"1741,2407"</f>
        <v>1741,2407</v>
      </c>
      <c r="K57" s="6" t="s">
        <v>998</v>
      </c>
    </row>
    <row r="59" spans="1:11" ht="15">
      <c r="E59" s="18" t="s">
        <v>151</v>
      </c>
    </row>
    <row r="60" spans="1:11" ht="15">
      <c r="E60" s="18" t="s">
        <v>152</v>
      </c>
    </row>
    <row r="61" spans="1:11" ht="15">
      <c r="E61" s="18" t="s">
        <v>153</v>
      </c>
    </row>
    <row r="62" spans="1:11" ht="15">
      <c r="E62" s="18" t="s">
        <v>154</v>
      </c>
    </row>
    <row r="63" spans="1:11" ht="15">
      <c r="E63" s="18" t="s">
        <v>154</v>
      </c>
    </row>
    <row r="64" spans="1:11" ht="15">
      <c r="E64" s="18" t="s">
        <v>155</v>
      </c>
    </row>
    <row r="65" spans="1:5" ht="15">
      <c r="E65" s="18"/>
    </row>
    <row r="67" spans="1:5" ht="18">
      <c r="A67" s="19" t="s">
        <v>156</v>
      </c>
      <c r="B67" s="19"/>
    </row>
    <row r="68" spans="1:5" ht="15">
      <c r="A68" s="20" t="s">
        <v>165</v>
      </c>
      <c r="B68" s="20"/>
    </row>
    <row r="69" spans="1:5" ht="14.25">
      <c r="A69" s="22"/>
      <c r="B69" s="23" t="s">
        <v>158</v>
      </c>
    </row>
    <row r="70" spans="1:5" ht="15">
      <c r="A70" s="24" t="s">
        <v>159</v>
      </c>
      <c r="B70" s="24" t="s">
        <v>160</v>
      </c>
      <c r="C70" s="24" t="s">
        <v>161</v>
      </c>
      <c r="D70" s="24" t="s">
        <v>162</v>
      </c>
      <c r="E70" s="24" t="s">
        <v>987</v>
      </c>
    </row>
    <row r="71" spans="1:5">
      <c r="A71" s="21" t="s">
        <v>997</v>
      </c>
      <c r="B71" s="5" t="s">
        <v>158</v>
      </c>
      <c r="C71" s="5" t="s">
        <v>167</v>
      </c>
      <c r="D71" s="5" t="s">
        <v>996</v>
      </c>
      <c r="E71" s="25" t="s">
        <v>995</v>
      </c>
    </row>
    <row r="72" spans="1:5">
      <c r="A72" s="21" t="s">
        <v>994</v>
      </c>
      <c r="B72" s="5" t="s">
        <v>158</v>
      </c>
      <c r="C72" s="5" t="s">
        <v>101</v>
      </c>
      <c r="D72" s="5" t="s">
        <v>993</v>
      </c>
      <c r="E72" s="25" t="s">
        <v>992</v>
      </c>
    </row>
    <row r="73" spans="1:5">
      <c r="A73" s="21" t="s">
        <v>991</v>
      </c>
      <c r="B73" s="5" t="s">
        <v>158</v>
      </c>
      <c r="C73" s="5" t="s">
        <v>172</v>
      </c>
      <c r="D73" s="5" t="s">
        <v>990</v>
      </c>
      <c r="E73" s="25" t="s">
        <v>989</v>
      </c>
    </row>
    <row r="75" spans="1:5" ht="14.25">
      <c r="A75" s="22"/>
      <c r="B75" s="23" t="s">
        <v>988</v>
      </c>
    </row>
    <row r="76" spans="1:5" ht="15">
      <c r="A76" s="24" t="s">
        <v>159</v>
      </c>
      <c r="B76" s="24" t="s">
        <v>160</v>
      </c>
      <c r="C76" s="24" t="s">
        <v>161</v>
      </c>
      <c r="D76" s="24" t="s">
        <v>162</v>
      </c>
      <c r="E76" s="24" t="s">
        <v>987</v>
      </c>
    </row>
    <row r="77" spans="1:5">
      <c r="A77" s="21" t="s">
        <v>515</v>
      </c>
      <c r="B77" s="5" t="s">
        <v>986</v>
      </c>
      <c r="C77" s="5" t="s">
        <v>17</v>
      </c>
      <c r="D77" s="5" t="s">
        <v>985</v>
      </c>
      <c r="E77" s="25" t="s">
        <v>984</v>
      </c>
    </row>
    <row r="78" spans="1:5">
      <c r="A78" s="21" t="s">
        <v>983</v>
      </c>
      <c r="B78" s="5" t="s">
        <v>980</v>
      </c>
      <c r="C78" s="5" t="s">
        <v>170</v>
      </c>
      <c r="D78" s="5" t="s">
        <v>982</v>
      </c>
      <c r="E78" s="25" t="s">
        <v>981</v>
      </c>
    </row>
    <row r="79" spans="1:5">
      <c r="A79" s="21" t="s">
        <v>891</v>
      </c>
      <c r="B79" s="5" t="s">
        <v>980</v>
      </c>
      <c r="C79" s="5" t="s">
        <v>101</v>
      </c>
      <c r="D79" s="5" t="s">
        <v>979</v>
      </c>
      <c r="E79" s="25" t="s">
        <v>978</v>
      </c>
    </row>
  </sheetData>
  <mergeCells count="20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39:J39"/>
    <mergeCell ref="A48:J48"/>
    <mergeCell ref="A52:J52"/>
    <mergeCell ref="A56:J56"/>
    <mergeCell ref="A5:J5"/>
    <mergeCell ref="A9:J9"/>
    <mergeCell ref="A12:J12"/>
    <mergeCell ref="A20:J20"/>
    <mergeCell ref="A27:J27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1"/>
  <sheetViews>
    <sheetView workbookViewId="0">
      <selection activeCell="B60" sqref="B60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8.42578125" style="5" bestFit="1" customWidth="1"/>
    <col min="5" max="5" width="22.7109375" style="5" bestFit="1" customWidth="1"/>
    <col min="6" max="6" width="33.42578125" style="5" bestFit="1" customWidth="1"/>
    <col min="7" max="8" width="5.5703125" style="4" bestFit="1" customWidth="1"/>
    <col min="9" max="9" width="12" style="5" customWidth="1"/>
    <col min="10" max="10" width="9.5703125" style="4" bestFit="1" customWidth="1"/>
    <col min="11" max="11" width="15" style="5" bestFit="1" customWidth="1"/>
    <col min="12" max="16384" width="9.140625" style="4"/>
  </cols>
  <sheetData>
    <row r="1" spans="1:11" s="3" customFormat="1" ht="29.1" customHeight="1">
      <c r="A1" s="30" t="s">
        <v>1144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2" spans="1:11" s="3" customFormat="1" ht="62.1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5"/>
    </row>
    <row r="3" spans="1:11" s="1" customFormat="1" ht="12.75" customHeight="1">
      <c r="A3" s="36" t="s">
        <v>0</v>
      </c>
      <c r="B3" s="38" t="s">
        <v>6</v>
      </c>
      <c r="C3" s="38" t="s">
        <v>8</v>
      </c>
      <c r="D3" s="27" t="s">
        <v>976</v>
      </c>
      <c r="E3" s="27" t="s">
        <v>4</v>
      </c>
      <c r="F3" s="27" t="s">
        <v>7</v>
      </c>
      <c r="G3" s="27" t="s">
        <v>1</v>
      </c>
      <c r="H3" s="27"/>
      <c r="I3" s="27" t="s">
        <v>181</v>
      </c>
      <c r="J3" s="27" t="s">
        <v>3</v>
      </c>
      <c r="K3" s="39" t="s">
        <v>2</v>
      </c>
    </row>
    <row r="4" spans="1:11" s="1" customFormat="1" ht="21" customHeight="1" thickBot="1">
      <c r="A4" s="37"/>
      <c r="B4" s="28"/>
      <c r="C4" s="28"/>
      <c r="D4" s="28"/>
      <c r="E4" s="28"/>
      <c r="F4" s="28"/>
      <c r="G4" s="2">
        <v>1</v>
      </c>
      <c r="H4" s="2">
        <v>2</v>
      </c>
      <c r="I4" s="28"/>
      <c r="J4" s="28"/>
      <c r="K4" s="40"/>
    </row>
    <row r="5" spans="1:11" ht="15">
      <c r="A5" s="29" t="s">
        <v>42</v>
      </c>
      <c r="B5" s="29"/>
      <c r="C5" s="29"/>
      <c r="D5" s="29"/>
      <c r="E5" s="29"/>
      <c r="F5" s="29"/>
      <c r="G5" s="29"/>
      <c r="H5" s="29"/>
      <c r="I5" s="29"/>
      <c r="J5" s="29"/>
    </row>
    <row r="6" spans="1:11">
      <c r="A6" s="6" t="s">
        <v>1143</v>
      </c>
      <c r="B6" s="6" t="s">
        <v>1142</v>
      </c>
      <c r="C6" s="6" t="s">
        <v>1141</v>
      </c>
      <c r="D6" s="6" t="str">
        <f>"0,8653"</f>
        <v>0,8653</v>
      </c>
      <c r="E6" s="6" t="s">
        <v>14</v>
      </c>
      <c r="F6" s="6" t="s">
        <v>15</v>
      </c>
      <c r="G6" s="8" t="s">
        <v>411</v>
      </c>
      <c r="H6" s="8" t="s">
        <v>1090</v>
      </c>
      <c r="I6" s="6" t="str">
        <f>"1160,0"</f>
        <v>1160,0</v>
      </c>
      <c r="J6" s="8" t="str">
        <f>"1003,7480"</f>
        <v>1003,7480</v>
      </c>
      <c r="K6" s="6" t="s">
        <v>1140</v>
      </c>
    </row>
    <row r="8" spans="1:11" ht="15">
      <c r="A8" s="26" t="s">
        <v>30</v>
      </c>
      <c r="B8" s="26"/>
      <c r="C8" s="26"/>
      <c r="D8" s="26"/>
      <c r="E8" s="26"/>
      <c r="F8" s="26"/>
      <c r="G8" s="26"/>
      <c r="H8" s="26"/>
      <c r="I8" s="26"/>
      <c r="J8" s="26"/>
    </row>
    <row r="9" spans="1:11">
      <c r="A9" s="6" t="s">
        <v>1139</v>
      </c>
      <c r="B9" s="6" t="s">
        <v>1138</v>
      </c>
      <c r="C9" s="6" t="s">
        <v>1137</v>
      </c>
      <c r="D9" s="6" t="str">
        <f>"0,7851"</f>
        <v>0,7851</v>
      </c>
      <c r="E9" s="6" t="s">
        <v>24</v>
      </c>
      <c r="F9" s="6" t="s">
        <v>226</v>
      </c>
      <c r="G9" s="8" t="s">
        <v>34</v>
      </c>
      <c r="H9" s="8" t="s">
        <v>1136</v>
      </c>
      <c r="I9" s="6" t="str">
        <f>"6045,0"</f>
        <v>6045,0</v>
      </c>
      <c r="J9" s="8" t="str">
        <f>"4746,2317"</f>
        <v>4746,2317</v>
      </c>
      <c r="K9" s="6" t="s">
        <v>1135</v>
      </c>
    </row>
    <row r="11" spans="1:11" ht="15">
      <c r="A11" s="26" t="s">
        <v>42</v>
      </c>
      <c r="B11" s="26"/>
      <c r="C11" s="26"/>
      <c r="D11" s="26"/>
      <c r="E11" s="26"/>
      <c r="F11" s="26"/>
      <c r="G11" s="26"/>
      <c r="H11" s="26"/>
      <c r="I11" s="26"/>
      <c r="J11" s="26"/>
    </row>
    <row r="12" spans="1:11">
      <c r="A12" s="6" t="s">
        <v>1134</v>
      </c>
      <c r="B12" s="6" t="s">
        <v>1133</v>
      </c>
      <c r="C12" s="6" t="s">
        <v>1132</v>
      </c>
      <c r="D12" s="6" t="str">
        <f>"0,7071"</f>
        <v>0,7071</v>
      </c>
      <c r="E12" s="6" t="s">
        <v>24</v>
      </c>
      <c r="F12" s="6" t="s">
        <v>1131</v>
      </c>
      <c r="G12" s="8" t="s">
        <v>411</v>
      </c>
      <c r="H12" s="8" t="s">
        <v>1130</v>
      </c>
      <c r="I12" s="6" t="str">
        <f>"9570,0"</f>
        <v>9570,0</v>
      </c>
      <c r="J12" s="8" t="str">
        <f>"6766,9468"</f>
        <v>6766,9468</v>
      </c>
      <c r="K12" s="6" t="s">
        <v>47</v>
      </c>
    </row>
    <row r="14" spans="1:11" ht="15">
      <c r="A14" s="26" t="s">
        <v>49</v>
      </c>
      <c r="B14" s="26"/>
      <c r="C14" s="26"/>
      <c r="D14" s="26"/>
      <c r="E14" s="26"/>
      <c r="F14" s="26"/>
      <c r="G14" s="26"/>
      <c r="H14" s="26"/>
      <c r="I14" s="26"/>
      <c r="J14" s="26"/>
    </row>
    <row r="15" spans="1:11">
      <c r="A15" s="9" t="s">
        <v>1129</v>
      </c>
      <c r="B15" s="9" t="s">
        <v>1128</v>
      </c>
      <c r="C15" s="9" t="s">
        <v>1127</v>
      </c>
      <c r="D15" s="9" t="str">
        <f>"0,6687"</f>
        <v>0,6687</v>
      </c>
      <c r="E15" s="9" t="s">
        <v>1126</v>
      </c>
      <c r="F15" s="9" t="s">
        <v>1125</v>
      </c>
      <c r="G15" s="14" t="s">
        <v>227</v>
      </c>
      <c r="H15" s="14" t="s">
        <v>1024</v>
      </c>
      <c r="I15" s="9" t="str">
        <f>"2240,0"</f>
        <v>2240,0</v>
      </c>
      <c r="J15" s="14" t="str">
        <f>"1498,0000"</f>
        <v>1498,0000</v>
      </c>
      <c r="K15" s="9" t="s">
        <v>1124</v>
      </c>
    </row>
    <row r="16" spans="1:11">
      <c r="A16" s="11" t="s">
        <v>1123</v>
      </c>
      <c r="B16" s="11" t="s">
        <v>1122</v>
      </c>
      <c r="C16" s="11" t="s">
        <v>528</v>
      </c>
      <c r="D16" s="11" t="str">
        <f>"0,6513"</f>
        <v>0,6513</v>
      </c>
      <c r="E16" s="11" t="s">
        <v>14</v>
      </c>
      <c r="F16" s="11" t="s">
        <v>15</v>
      </c>
      <c r="G16" s="13" t="s">
        <v>172</v>
      </c>
      <c r="H16" s="13" t="s">
        <v>972</v>
      </c>
      <c r="I16" s="11" t="str">
        <f>"2062,5"</f>
        <v>2062,5</v>
      </c>
      <c r="J16" s="13" t="str">
        <f>"1343,3063"</f>
        <v>1343,3063</v>
      </c>
      <c r="K16" s="11" t="s">
        <v>1121</v>
      </c>
    </row>
    <row r="18" spans="1:11" ht="15">
      <c r="A18" s="26" t="s">
        <v>66</v>
      </c>
      <c r="B18" s="26"/>
      <c r="C18" s="26"/>
      <c r="D18" s="26"/>
      <c r="E18" s="26"/>
      <c r="F18" s="26"/>
      <c r="G18" s="26"/>
      <c r="H18" s="26"/>
      <c r="I18" s="26"/>
      <c r="J18" s="26"/>
    </row>
    <row r="19" spans="1:11">
      <c r="A19" s="9" t="s">
        <v>247</v>
      </c>
      <c r="B19" s="9" t="s">
        <v>1120</v>
      </c>
      <c r="C19" s="9" t="s">
        <v>249</v>
      </c>
      <c r="D19" s="9" t="str">
        <f>"0,6269"</f>
        <v>0,6269</v>
      </c>
      <c r="E19" s="9" t="s">
        <v>24</v>
      </c>
      <c r="F19" s="9" t="s">
        <v>250</v>
      </c>
      <c r="G19" s="14" t="s">
        <v>1042</v>
      </c>
      <c r="H19" s="14" t="s">
        <v>921</v>
      </c>
      <c r="I19" s="9" t="str">
        <f>"3850,0"</f>
        <v>3850,0</v>
      </c>
      <c r="J19" s="14" t="str">
        <f>"2413,3725"</f>
        <v>2413,3725</v>
      </c>
      <c r="K19" s="9" t="s">
        <v>47</v>
      </c>
    </row>
    <row r="20" spans="1:11">
      <c r="A20" s="15" t="s">
        <v>1119</v>
      </c>
      <c r="B20" s="15" t="s">
        <v>1118</v>
      </c>
      <c r="C20" s="15" t="s">
        <v>829</v>
      </c>
      <c r="D20" s="15" t="str">
        <f>"0,6387"</f>
        <v>0,6387</v>
      </c>
      <c r="E20" s="15" t="s">
        <v>24</v>
      </c>
      <c r="F20" s="15" t="s">
        <v>1062</v>
      </c>
      <c r="G20" s="17" t="s">
        <v>582</v>
      </c>
      <c r="H20" s="17" t="s">
        <v>1051</v>
      </c>
      <c r="I20" s="15" t="str">
        <f>"2805,0"</f>
        <v>2805,0</v>
      </c>
      <c r="J20" s="17" t="str">
        <f>"1809,4691"</f>
        <v>1809,4691</v>
      </c>
      <c r="K20" s="15" t="s">
        <v>122</v>
      </c>
    </row>
    <row r="21" spans="1:11">
      <c r="A21" s="11" t="s">
        <v>247</v>
      </c>
      <c r="B21" s="11" t="s">
        <v>1117</v>
      </c>
      <c r="C21" s="11" t="s">
        <v>249</v>
      </c>
      <c r="D21" s="11" t="str">
        <f>"0,6269"</f>
        <v>0,6269</v>
      </c>
      <c r="E21" s="11" t="s">
        <v>24</v>
      </c>
      <c r="F21" s="11" t="s">
        <v>250</v>
      </c>
      <c r="G21" s="13" t="s">
        <v>1042</v>
      </c>
      <c r="H21" s="13" t="s">
        <v>921</v>
      </c>
      <c r="I21" s="11" t="str">
        <f>"3850,0"</f>
        <v>3850,0</v>
      </c>
      <c r="J21" s="13" t="str">
        <f>"3115,6639"</f>
        <v>3115,6639</v>
      </c>
      <c r="K21" s="11" t="s">
        <v>47</v>
      </c>
    </row>
    <row r="23" spans="1:11" ht="15">
      <c r="A23" s="26" t="s">
        <v>86</v>
      </c>
      <c r="B23" s="26"/>
      <c r="C23" s="26"/>
      <c r="D23" s="26"/>
      <c r="E23" s="26"/>
      <c r="F23" s="26"/>
      <c r="G23" s="26"/>
      <c r="H23" s="26"/>
      <c r="I23" s="26"/>
      <c r="J23" s="26"/>
    </row>
    <row r="24" spans="1:11">
      <c r="A24" s="9" t="s">
        <v>1116</v>
      </c>
      <c r="B24" s="9" t="s">
        <v>1115</v>
      </c>
      <c r="C24" s="9" t="s">
        <v>1114</v>
      </c>
      <c r="D24" s="9" t="str">
        <f>"0,6007"</f>
        <v>0,6007</v>
      </c>
      <c r="E24" s="9" t="s">
        <v>24</v>
      </c>
      <c r="F24" s="9" t="s">
        <v>1113</v>
      </c>
      <c r="G24" s="14" t="s">
        <v>514</v>
      </c>
      <c r="H24" s="14" t="s">
        <v>1061</v>
      </c>
      <c r="I24" s="9" t="str">
        <f>"2755,0"</f>
        <v>2755,0</v>
      </c>
      <c r="J24" s="14" t="str">
        <f>"1654,7908"</f>
        <v>1654,7908</v>
      </c>
      <c r="K24" s="9" t="s">
        <v>19</v>
      </c>
    </row>
    <row r="25" spans="1:11">
      <c r="A25" s="11" t="s">
        <v>1112</v>
      </c>
      <c r="B25" s="11" t="s">
        <v>1111</v>
      </c>
      <c r="C25" s="11" t="s">
        <v>1110</v>
      </c>
      <c r="D25" s="11" t="str">
        <f>"0,5843"</f>
        <v>0,5843</v>
      </c>
      <c r="E25" s="11" t="s">
        <v>14</v>
      </c>
      <c r="F25" s="11" t="s">
        <v>15</v>
      </c>
      <c r="G25" s="13" t="s">
        <v>167</v>
      </c>
      <c r="H25" s="13" t="s">
        <v>718</v>
      </c>
      <c r="I25" s="11" t="str">
        <f>"3000,0"</f>
        <v>3000,0</v>
      </c>
      <c r="J25" s="13" t="str">
        <f>"1922,9312"</f>
        <v>1922,9312</v>
      </c>
      <c r="K25" s="11" t="s">
        <v>1109</v>
      </c>
    </row>
    <row r="27" spans="1:11" ht="15">
      <c r="A27" s="26" t="s">
        <v>103</v>
      </c>
      <c r="B27" s="26"/>
      <c r="C27" s="26"/>
      <c r="D27" s="26"/>
      <c r="E27" s="26"/>
      <c r="F27" s="26"/>
      <c r="G27" s="26"/>
      <c r="H27" s="26"/>
      <c r="I27" s="26"/>
      <c r="J27" s="26"/>
    </row>
    <row r="28" spans="1:11">
      <c r="A28" s="9" t="s">
        <v>118</v>
      </c>
      <c r="B28" s="9" t="s">
        <v>1108</v>
      </c>
      <c r="C28" s="9" t="s">
        <v>120</v>
      </c>
      <c r="D28" s="9" t="str">
        <f>"0,5666"</f>
        <v>0,5666</v>
      </c>
      <c r="E28" s="9" t="s">
        <v>14</v>
      </c>
      <c r="F28" s="9" t="s">
        <v>15</v>
      </c>
      <c r="G28" s="14" t="s">
        <v>215</v>
      </c>
      <c r="H28" s="14" t="s">
        <v>1107</v>
      </c>
      <c r="I28" s="9" t="str">
        <f>"2902,5"</f>
        <v>2902,5</v>
      </c>
      <c r="J28" s="14" t="str">
        <f>"1804,2376"</f>
        <v>1804,2376</v>
      </c>
      <c r="K28" s="9" t="s">
        <v>122</v>
      </c>
    </row>
    <row r="29" spans="1:11">
      <c r="A29" s="11" t="s">
        <v>123</v>
      </c>
      <c r="B29" s="11" t="s">
        <v>1106</v>
      </c>
      <c r="C29" s="11" t="s">
        <v>125</v>
      </c>
      <c r="D29" s="11" t="str">
        <f>"0,5671"</f>
        <v>0,5671</v>
      </c>
      <c r="E29" s="11" t="s">
        <v>14</v>
      </c>
      <c r="F29" s="11" t="s">
        <v>15</v>
      </c>
      <c r="G29" s="13" t="s">
        <v>215</v>
      </c>
      <c r="H29" s="13" t="s">
        <v>1105</v>
      </c>
      <c r="I29" s="11" t="str">
        <f>"1612,5"</f>
        <v>1612,5</v>
      </c>
      <c r="J29" s="13" t="str">
        <f>"1065,3328"</f>
        <v>1065,3328</v>
      </c>
      <c r="K29" s="11" t="s">
        <v>126</v>
      </c>
    </row>
    <row r="31" spans="1:11" ht="15">
      <c r="A31" s="26" t="s">
        <v>130</v>
      </c>
      <c r="B31" s="26"/>
      <c r="C31" s="26"/>
      <c r="D31" s="26"/>
      <c r="E31" s="26"/>
      <c r="F31" s="26"/>
      <c r="G31" s="26"/>
      <c r="H31" s="26"/>
      <c r="I31" s="26"/>
      <c r="J31" s="26"/>
    </row>
    <row r="32" spans="1:11">
      <c r="A32" s="9" t="s">
        <v>1104</v>
      </c>
      <c r="B32" s="9" t="s">
        <v>1103</v>
      </c>
      <c r="C32" s="9" t="s">
        <v>1102</v>
      </c>
      <c r="D32" s="9" t="str">
        <f>"0,5538"</f>
        <v>0,5538</v>
      </c>
      <c r="E32" s="9" t="s">
        <v>24</v>
      </c>
      <c r="F32" s="9" t="s">
        <v>250</v>
      </c>
      <c r="G32" s="14" t="s">
        <v>469</v>
      </c>
      <c r="H32" s="14" t="s">
        <v>1024</v>
      </c>
      <c r="I32" s="9" t="str">
        <f>"3290,0"</f>
        <v>3290,0</v>
      </c>
      <c r="J32" s="14" t="str">
        <f>"1822,1665"</f>
        <v>1822,1665</v>
      </c>
      <c r="K32" s="9" t="s">
        <v>47</v>
      </c>
    </row>
    <row r="33" spans="1:11">
      <c r="A33" s="11" t="s">
        <v>321</v>
      </c>
      <c r="B33" s="11" t="s">
        <v>1101</v>
      </c>
      <c r="C33" s="11" t="s">
        <v>323</v>
      </c>
      <c r="D33" s="11" t="str">
        <f>"0,5505"</f>
        <v>0,5505</v>
      </c>
      <c r="E33" s="11" t="s">
        <v>14</v>
      </c>
      <c r="F33" s="11" t="s">
        <v>15</v>
      </c>
      <c r="G33" s="13" t="s">
        <v>518</v>
      </c>
      <c r="H33" s="13" t="s">
        <v>1003</v>
      </c>
      <c r="I33" s="11" t="str">
        <f>"1592,5"</f>
        <v>1592,5</v>
      </c>
      <c r="J33" s="13" t="str">
        <f>"1074,0198"</f>
        <v>1074,0198</v>
      </c>
      <c r="K33" s="11" t="s">
        <v>122</v>
      </c>
    </row>
    <row r="35" spans="1:11" ht="15">
      <c r="E35" s="18" t="s">
        <v>151</v>
      </c>
    </row>
    <row r="36" spans="1:11" ht="15">
      <c r="E36" s="18" t="s">
        <v>152</v>
      </c>
    </row>
    <row r="37" spans="1:11" ht="15">
      <c r="E37" s="18" t="s">
        <v>153</v>
      </c>
    </row>
    <row r="38" spans="1:11" ht="15">
      <c r="E38" s="18" t="s">
        <v>154</v>
      </c>
    </row>
    <row r="39" spans="1:11" ht="15">
      <c r="E39" s="18" t="s">
        <v>154</v>
      </c>
    </row>
    <row r="40" spans="1:11" ht="15">
      <c r="E40" s="18" t="s">
        <v>155</v>
      </c>
    </row>
    <row r="41" spans="1:11" ht="15">
      <c r="E41" s="18"/>
    </row>
    <row r="43" spans="1:11" ht="18">
      <c r="A43" s="19" t="s">
        <v>156</v>
      </c>
      <c r="B43" s="19"/>
    </row>
    <row r="44" spans="1:11" ht="15">
      <c r="A44" s="20" t="s">
        <v>165</v>
      </c>
      <c r="B44" s="20"/>
    </row>
    <row r="45" spans="1:11" ht="14.25">
      <c r="A45" s="22"/>
      <c r="B45" s="23" t="s">
        <v>158</v>
      </c>
    </row>
    <row r="46" spans="1:11" ht="15">
      <c r="A46" s="24" t="s">
        <v>159</v>
      </c>
      <c r="B46" s="24" t="s">
        <v>160</v>
      </c>
      <c r="C46" s="24" t="s">
        <v>161</v>
      </c>
      <c r="D46" s="24" t="s">
        <v>162</v>
      </c>
      <c r="E46" s="24" t="s">
        <v>987</v>
      </c>
    </row>
    <row r="47" spans="1:11">
      <c r="A47" s="21" t="s">
        <v>1100</v>
      </c>
      <c r="B47" s="5" t="s">
        <v>158</v>
      </c>
      <c r="C47" s="5" t="s">
        <v>17</v>
      </c>
      <c r="D47" s="5" t="s">
        <v>1099</v>
      </c>
      <c r="E47" s="25" t="s">
        <v>1098</v>
      </c>
    </row>
    <row r="49" spans="1:5" ht="14.25">
      <c r="A49" s="22"/>
      <c r="B49" s="23" t="s">
        <v>988</v>
      </c>
    </row>
    <row r="50" spans="1:5" ht="15">
      <c r="A50" s="24" t="s">
        <v>159</v>
      </c>
      <c r="B50" s="24" t="s">
        <v>160</v>
      </c>
      <c r="C50" s="24" t="s">
        <v>161</v>
      </c>
      <c r="D50" s="24" t="s">
        <v>162</v>
      </c>
      <c r="E50" s="24" t="s">
        <v>987</v>
      </c>
    </row>
    <row r="51" spans="1:5">
      <c r="A51" s="21" t="s">
        <v>246</v>
      </c>
      <c r="B51" s="5" t="s">
        <v>980</v>
      </c>
      <c r="C51" s="5" t="s">
        <v>170</v>
      </c>
      <c r="D51" s="5" t="s">
        <v>1097</v>
      </c>
      <c r="E51" s="25" t="s">
        <v>1096</v>
      </c>
    </row>
  </sheetData>
  <mergeCells count="19">
    <mergeCell ref="A11:J11"/>
    <mergeCell ref="A1:K2"/>
    <mergeCell ref="G3:H3"/>
    <mergeCell ref="A3:A4"/>
    <mergeCell ref="B3:B4"/>
    <mergeCell ref="C3:C4"/>
    <mergeCell ref="K3:K4"/>
    <mergeCell ref="F3:F4"/>
    <mergeCell ref="E3:E4"/>
    <mergeCell ref="D3:D4"/>
    <mergeCell ref="I3:I4"/>
    <mergeCell ref="J3:J4"/>
    <mergeCell ref="A5:J5"/>
    <mergeCell ref="A8:J8"/>
    <mergeCell ref="A14:J14"/>
    <mergeCell ref="A18:J18"/>
    <mergeCell ref="A23:J23"/>
    <mergeCell ref="A27:J27"/>
    <mergeCell ref="A31:J31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6"/>
  <sheetViews>
    <sheetView workbookViewId="0">
      <selection activeCell="O8" sqref="O8"/>
    </sheetView>
  </sheetViews>
  <sheetFormatPr defaultRowHeight="12.75"/>
  <cols>
    <col min="1" max="1" width="26" style="5" bestFit="1" customWidth="1"/>
    <col min="2" max="2" width="29.7109375" style="5" bestFit="1" customWidth="1"/>
    <col min="3" max="3" width="10.5703125" style="5" bestFit="1" customWidth="1"/>
    <col min="4" max="4" width="8.42578125" style="5" bestFit="1" customWidth="1"/>
    <col min="5" max="5" width="22.7109375" style="5" bestFit="1" customWidth="1"/>
    <col min="6" max="6" width="28.5703125" style="5" bestFit="1" customWidth="1"/>
    <col min="7" max="9" width="5.5703125" style="4" bestFit="1" customWidth="1"/>
    <col min="10" max="10" width="4.85546875" style="4" bestFit="1" customWidth="1"/>
    <col min="11" max="11" width="11.7109375" style="5" customWidth="1"/>
    <col min="12" max="12" width="8.5703125" style="4" bestFit="1" customWidth="1"/>
    <col min="13" max="13" width="15.42578125" style="5" bestFit="1" customWidth="1"/>
    <col min="14" max="16384" width="9.140625" style="4"/>
  </cols>
  <sheetData>
    <row r="1" spans="1:13" s="3" customFormat="1" ht="29.1" customHeight="1">
      <c r="A1" s="30" t="s">
        <v>954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3" customFormat="1" ht="62.1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2.75" customHeight="1">
      <c r="A3" s="36" t="s">
        <v>0</v>
      </c>
      <c r="B3" s="38" t="s">
        <v>6</v>
      </c>
      <c r="C3" s="38" t="s">
        <v>8</v>
      </c>
      <c r="D3" s="27" t="s">
        <v>9</v>
      </c>
      <c r="E3" s="27" t="s">
        <v>4</v>
      </c>
      <c r="F3" s="27" t="s">
        <v>7</v>
      </c>
      <c r="G3" s="27" t="s">
        <v>1</v>
      </c>
      <c r="H3" s="27"/>
      <c r="I3" s="27"/>
      <c r="J3" s="27"/>
      <c r="K3" s="27" t="s">
        <v>181</v>
      </c>
      <c r="L3" s="27" t="s">
        <v>3</v>
      </c>
      <c r="M3" s="39" t="s">
        <v>2</v>
      </c>
    </row>
    <row r="4" spans="1:13" s="1" customFormat="1" ht="21" customHeight="1" thickBot="1">
      <c r="A4" s="37"/>
      <c r="B4" s="28"/>
      <c r="C4" s="28"/>
      <c r="D4" s="28"/>
      <c r="E4" s="28"/>
      <c r="F4" s="28"/>
      <c r="G4" s="2">
        <v>1</v>
      </c>
      <c r="H4" s="2">
        <v>2</v>
      </c>
      <c r="I4" s="2">
        <v>3</v>
      </c>
      <c r="J4" s="2" t="s">
        <v>5</v>
      </c>
      <c r="K4" s="28"/>
      <c r="L4" s="28"/>
      <c r="M4" s="40"/>
    </row>
    <row r="5" spans="1:13" ht="15">
      <c r="A5" s="29" t="s">
        <v>402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3">
      <c r="A6" s="6" t="s">
        <v>929</v>
      </c>
      <c r="B6" s="6" t="s">
        <v>735</v>
      </c>
      <c r="C6" s="6" t="s">
        <v>736</v>
      </c>
      <c r="D6" s="6" t="str">
        <f>"1,2485"</f>
        <v>1,2485</v>
      </c>
      <c r="E6" s="6" t="s">
        <v>14</v>
      </c>
      <c r="F6" s="6" t="s">
        <v>15</v>
      </c>
      <c r="G6" s="8" t="s">
        <v>16</v>
      </c>
      <c r="H6" s="7" t="s">
        <v>17</v>
      </c>
      <c r="I6" s="7" t="s">
        <v>17</v>
      </c>
      <c r="J6" s="7"/>
      <c r="K6" s="6" t="str">
        <f>"70,0"</f>
        <v>70,0</v>
      </c>
      <c r="L6" s="8" t="str">
        <f>"87,3950"</f>
        <v>87,3950</v>
      </c>
      <c r="M6" s="6" t="s">
        <v>737</v>
      </c>
    </row>
    <row r="8" spans="1:13" ht="15">
      <c r="A8" s="26" t="s">
        <v>20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3">
      <c r="A9" s="6" t="s">
        <v>930</v>
      </c>
      <c r="B9" s="6" t="s">
        <v>931</v>
      </c>
      <c r="C9" s="6" t="s">
        <v>415</v>
      </c>
      <c r="D9" s="6" t="str">
        <f>"1,1766"</f>
        <v>1,1766</v>
      </c>
      <c r="E9" s="6" t="s">
        <v>14</v>
      </c>
      <c r="F9" s="6" t="s">
        <v>15</v>
      </c>
      <c r="G9" s="8" t="s">
        <v>101</v>
      </c>
      <c r="H9" s="7" t="s">
        <v>469</v>
      </c>
      <c r="I9" s="7" t="s">
        <v>469</v>
      </c>
      <c r="J9" s="7"/>
      <c r="K9" s="6" t="str">
        <f>"110,0"</f>
        <v>110,0</v>
      </c>
      <c r="L9" s="8" t="str">
        <f>"129,4260"</f>
        <v>129,4260</v>
      </c>
      <c r="M9" s="6" t="s">
        <v>737</v>
      </c>
    </row>
    <row r="11" spans="1:13" ht="15">
      <c r="A11" s="26" t="s">
        <v>49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13">
      <c r="A12" s="6" t="s">
        <v>579</v>
      </c>
      <c r="B12" s="6" t="s">
        <v>580</v>
      </c>
      <c r="C12" s="6" t="s">
        <v>581</v>
      </c>
      <c r="D12" s="6" t="str">
        <f>"0,7005"</f>
        <v>0,7005</v>
      </c>
      <c r="E12" s="6" t="s">
        <v>24</v>
      </c>
      <c r="F12" s="6" t="s">
        <v>226</v>
      </c>
      <c r="G12" s="8" t="s">
        <v>582</v>
      </c>
      <c r="H12" s="8" t="s">
        <v>170</v>
      </c>
      <c r="I12" s="8" t="s">
        <v>476</v>
      </c>
      <c r="J12" s="7"/>
      <c r="K12" s="6" t="str">
        <f>"92,5"</f>
        <v>92,5</v>
      </c>
      <c r="L12" s="8" t="str">
        <f>"129,9165"</f>
        <v>129,9165</v>
      </c>
      <c r="M12" s="6" t="s">
        <v>47</v>
      </c>
    </row>
    <row r="14" spans="1:13" ht="15">
      <c r="A14" s="26" t="s">
        <v>66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spans="1:13">
      <c r="A15" s="6" t="s">
        <v>932</v>
      </c>
      <c r="B15" s="6" t="s">
        <v>933</v>
      </c>
      <c r="C15" s="6" t="s">
        <v>934</v>
      </c>
      <c r="D15" s="6" t="str">
        <f>"0,6424"</f>
        <v>0,6424</v>
      </c>
      <c r="E15" s="6" t="s">
        <v>14</v>
      </c>
      <c r="F15" s="6" t="s">
        <v>15</v>
      </c>
      <c r="G15" s="8" t="s">
        <v>72</v>
      </c>
      <c r="H15" s="8" t="s">
        <v>276</v>
      </c>
      <c r="I15" s="7" t="s">
        <v>277</v>
      </c>
      <c r="J15" s="7"/>
      <c r="K15" s="6" t="str">
        <f>"187,5"</f>
        <v>187,5</v>
      </c>
      <c r="L15" s="8" t="str">
        <f>"120,4500"</f>
        <v>120,4500</v>
      </c>
      <c r="M15" s="6" t="s">
        <v>19</v>
      </c>
    </row>
    <row r="17" spans="1:13" ht="15">
      <c r="A17" s="26" t="s">
        <v>86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spans="1:13">
      <c r="A18" s="9" t="s">
        <v>935</v>
      </c>
      <c r="B18" s="9" t="s">
        <v>936</v>
      </c>
      <c r="C18" s="9" t="s">
        <v>858</v>
      </c>
      <c r="D18" s="9" t="str">
        <f>"0,6126"</f>
        <v>0,6126</v>
      </c>
      <c r="E18" s="9" t="s">
        <v>14</v>
      </c>
      <c r="F18" s="9" t="s">
        <v>15</v>
      </c>
      <c r="G18" s="10" t="s">
        <v>145</v>
      </c>
      <c r="H18" s="14" t="s">
        <v>145</v>
      </c>
      <c r="I18" s="14" t="s">
        <v>298</v>
      </c>
      <c r="J18" s="10"/>
      <c r="K18" s="9" t="str">
        <f>"215,0"</f>
        <v>215,0</v>
      </c>
      <c r="L18" s="14" t="str">
        <f>"131,7090"</f>
        <v>131,7090</v>
      </c>
      <c r="M18" s="9" t="s">
        <v>122</v>
      </c>
    </row>
    <row r="19" spans="1:13">
      <c r="A19" s="15" t="s">
        <v>937</v>
      </c>
      <c r="B19" s="15" t="s">
        <v>938</v>
      </c>
      <c r="C19" s="15" t="s">
        <v>939</v>
      </c>
      <c r="D19" s="15" t="str">
        <f>"0,6220"</f>
        <v>0,6220</v>
      </c>
      <c r="E19" s="15" t="s">
        <v>14</v>
      </c>
      <c r="F19" s="15" t="s">
        <v>15</v>
      </c>
      <c r="G19" s="17" t="s">
        <v>72</v>
      </c>
      <c r="H19" s="16" t="s">
        <v>276</v>
      </c>
      <c r="I19" s="17" t="s">
        <v>276</v>
      </c>
      <c r="J19" s="16"/>
      <c r="K19" s="15" t="str">
        <f>"187,5"</f>
        <v>187,5</v>
      </c>
      <c r="L19" s="17" t="str">
        <f>"116,6250"</f>
        <v>116,6250</v>
      </c>
      <c r="M19" s="15" t="s">
        <v>369</v>
      </c>
    </row>
    <row r="20" spans="1:13">
      <c r="A20" s="11" t="s">
        <v>940</v>
      </c>
      <c r="B20" s="11" t="s">
        <v>941</v>
      </c>
      <c r="C20" s="11" t="s">
        <v>942</v>
      </c>
      <c r="D20" s="11" t="str">
        <f>"0,6161"</f>
        <v>0,6161</v>
      </c>
      <c r="E20" s="11" t="s">
        <v>24</v>
      </c>
      <c r="F20" s="11" t="s">
        <v>943</v>
      </c>
      <c r="G20" s="13" t="s">
        <v>56</v>
      </c>
      <c r="H20" s="13" t="s">
        <v>108</v>
      </c>
      <c r="I20" s="12" t="s">
        <v>144</v>
      </c>
      <c r="J20" s="12"/>
      <c r="K20" s="11" t="str">
        <f>"185,0"</f>
        <v>185,0</v>
      </c>
      <c r="L20" s="13" t="str">
        <f>"113,9785"</f>
        <v>113,9785</v>
      </c>
      <c r="M20" s="11" t="s">
        <v>944</v>
      </c>
    </row>
    <row r="22" spans="1:13" ht="15">
      <c r="A22" s="26" t="s">
        <v>103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3">
      <c r="A23" s="6" t="s">
        <v>945</v>
      </c>
      <c r="B23" s="6" t="s">
        <v>946</v>
      </c>
      <c r="C23" s="6" t="s">
        <v>947</v>
      </c>
      <c r="D23" s="6" t="str">
        <f>"0,5994"</f>
        <v>0,5994</v>
      </c>
      <c r="E23" s="6" t="s">
        <v>24</v>
      </c>
      <c r="F23" s="6" t="s">
        <v>652</v>
      </c>
      <c r="G23" s="8" t="s">
        <v>146</v>
      </c>
      <c r="H23" s="7" t="s">
        <v>269</v>
      </c>
      <c r="I23" s="7" t="s">
        <v>270</v>
      </c>
      <c r="J23" s="7"/>
      <c r="K23" s="6" t="str">
        <f>"210,0"</f>
        <v>210,0</v>
      </c>
      <c r="L23" s="8" t="str">
        <f>"129,7761"</f>
        <v>129,7761</v>
      </c>
      <c r="M23" s="6" t="s">
        <v>948</v>
      </c>
    </row>
    <row r="25" spans="1:13" ht="15">
      <c r="A25" s="26" t="s">
        <v>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1:13">
      <c r="A26" s="6" t="s">
        <v>949</v>
      </c>
      <c r="B26" s="6" t="s">
        <v>950</v>
      </c>
      <c r="C26" s="6" t="s">
        <v>951</v>
      </c>
      <c r="D26" s="6" t="str">
        <f>"0,5703"</f>
        <v>0,5703</v>
      </c>
      <c r="E26" s="6" t="s">
        <v>952</v>
      </c>
      <c r="F26" s="6" t="s">
        <v>953</v>
      </c>
      <c r="G26" s="8" t="s">
        <v>109</v>
      </c>
      <c r="H26" s="8" t="s">
        <v>144</v>
      </c>
      <c r="I26" s="8" t="s">
        <v>233</v>
      </c>
      <c r="J26" s="7"/>
      <c r="K26" s="6" t="str">
        <f>"207,5"</f>
        <v>207,5</v>
      </c>
      <c r="L26" s="8" t="str">
        <f>"164,8438"</f>
        <v>164,8438</v>
      </c>
      <c r="M26" s="6" t="s">
        <v>47</v>
      </c>
    </row>
    <row r="28" spans="1:13" ht="15">
      <c r="E28" s="18" t="s">
        <v>151</v>
      </c>
    </row>
    <row r="29" spans="1:13" ht="15">
      <c r="E29" s="18" t="s">
        <v>152</v>
      </c>
    </row>
    <row r="30" spans="1:13" ht="15">
      <c r="E30" s="18" t="s">
        <v>153</v>
      </c>
    </row>
    <row r="31" spans="1:13" ht="15">
      <c r="E31" s="18" t="s">
        <v>154</v>
      </c>
    </row>
    <row r="32" spans="1:13" ht="15">
      <c r="E32" s="18" t="s">
        <v>154</v>
      </c>
    </row>
    <row r="33" spans="1:5" ht="15">
      <c r="E33" s="18" t="s">
        <v>155</v>
      </c>
    </row>
    <row r="34" spans="1:5" ht="15">
      <c r="E34" s="18"/>
    </row>
    <row r="36" spans="1:5" ht="18">
      <c r="A36" s="19" t="s">
        <v>156</v>
      </c>
      <c r="B36" s="19"/>
    </row>
  </sheetData>
  <mergeCells count="18">
    <mergeCell ref="A14:L14"/>
    <mergeCell ref="A17:L17"/>
    <mergeCell ref="A22:L22"/>
    <mergeCell ref="A25:L25"/>
    <mergeCell ref="K3:K4"/>
    <mergeCell ref="L3:L4"/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30"/>
  <sheetViews>
    <sheetView workbookViewId="0">
      <selection activeCell="O7" sqref="O7"/>
    </sheetView>
  </sheetViews>
  <sheetFormatPr defaultRowHeight="12.75"/>
  <cols>
    <col min="1" max="1" width="26" style="5" bestFit="1" customWidth="1"/>
    <col min="2" max="2" width="29.7109375" style="5" bestFit="1" customWidth="1"/>
    <col min="3" max="3" width="10.5703125" style="5" bestFit="1" customWidth="1"/>
    <col min="4" max="4" width="8.42578125" style="5" bestFit="1" customWidth="1"/>
    <col min="5" max="5" width="22.7109375" style="5" bestFit="1" customWidth="1"/>
    <col min="6" max="6" width="38.7109375" style="5" bestFit="1" customWidth="1"/>
    <col min="7" max="9" width="5.5703125" style="4" bestFit="1" customWidth="1"/>
    <col min="10" max="10" width="4.85546875" style="4" bestFit="1" customWidth="1"/>
    <col min="11" max="11" width="11.28515625" style="5" customWidth="1"/>
    <col min="12" max="12" width="8.5703125" style="4" bestFit="1" customWidth="1"/>
    <col min="13" max="13" width="27.7109375" style="5" bestFit="1" customWidth="1"/>
    <col min="14" max="16384" width="9.140625" style="4"/>
  </cols>
  <sheetData>
    <row r="1" spans="1:13" s="3" customFormat="1" ht="29.1" customHeight="1">
      <c r="A1" s="30" t="s">
        <v>955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3" customFormat="1" ht="62.1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2.75" customHeight="1">
      <c r="A3" s="36" t="s">
        <v>0</v>
      </c>
      <c r="B3" s="38" t="s">
        <v>6</v>
      </c>
      <c r="C3" s="38" t="s">
        <v>8</v>
      </c>
      <c r="D3" s="27" t="s">
        <v>9</v>
      </c>
      <c r="E3" s="27" t="s">
        <v>4</v>
      </c>
      <c r="F3" s="27" t="s">
        <v>7</v>
      </c>
      <c r="G3" s="27" t="s">
        <v>1</v>
      </c>
      <c r="H3" s="27"/>
      <c r="I3" s="27"/>
      <c r="J3" s="27"/>
      <c r="K3" s="27" t="s">
        <v>181</v>
      </c>
      <c r="L3" s="27" t="s">
        <v>3</v>
      </c>
      <c r="M3" s="39" t="s">
        <v>2</v>
      </c>
    </row>
    <row r="4" spans="1:13" s="1" customFormat="1" ht="21" customHeight="1" thickBot="1">
      <c r="A4" s="37"/>
      <c r="B4" s="28"/>
      <c r="C4" s="28"/>
      <c r="D4" s="28"/>
      <c r="E4" s="28"/>
      <c r="F4" s="28"/>
      <c r="G4" s="2">
        <v>1</v>
      </c>
      <c r="H4" s="2">
        <v>2</v>
      </c>
      <c r="I4" s="2">
        <v>3</v>
      </c>
      <c r="J4" s="2" t="s">
        <v>5</v>
      </c>
      <c r="K4" s="28"/>
      <c r="L4" s="28"/>
      <c r="M4" s="40"/>
    </row>
    <row r="5" spans="1:13" ht="15">
      <c r="A5" s="29" t="s">
        <v>714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3">
      <c r="A6" s="6" t="s">
        <v>715</v>
      </c>
      <c r="B6" s="6" t="s">
        <v>716</v>
      </c>
      <c r="C6" s="6" t="s">
        <v>717</v>
      </c>
      <c r="D6" s="6" t="str">
        <f>"1,4936"</f>
        <v>1,4936</v>
      </c>
      <c r="E6" s="6" t="s">
        <v>14</v>
      </c>
      <c r="F6" s="6" t="s">
        <v>15</v>
      </c>
      <c r="G6" s="8" t="s">
        <v>718</v>
      </c>
      <c r="H6" s="8" t="s">
        <v>719</v>
      </c>
      <c r="I6" s="8" t="s">
        <v>720</v>
      </c>
      <c r="J6" s="7"/>
      <c r="K6" s="6" t="str">
        <f>"35,0"</f>
        <v>35,0</v>
      </c>
      <c r="L6" s="8" t="str">
        <f>"52,2760"</f>
        <v>52,2760</v>
      </c>
      <c r="M6" s="6" t="s">
        <v>721</v>
      </c>
    </row>
    <row r="8" spans="1:13" ht="15">
      <c r="A8" s="26" t="s">
        <v>395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3">
      <c r="A9" s="6" t="s">
        <v>722</v>
      </c>
      <c r="B9" s="6" t="s">
        <v>723</v>
      </c>
      <c r="C9" s="6" t="s">
        <v>724</v>
      </c>
      <c r="D9" s="6" t="str">
        <f>"1,3244"</f>
        <v>1,3244</v>
      </c>
      <c r="E9" s="6" t="s">
        <v>14</v>
      </c>
      <c r="F9" s="6" t="s">
        <v>15</v>
      </c>
      <c r="G9" s="8" t="s">
        <v>26</v>
      </c>
      <c r="H9" s="7" t="s">
        <v>27</v>
      </c>
      <c r="I9" s="7" t="s">
        <v>28</v>
      </c>
      <c r="J9" s="7"/>
      <c r="K9" s="6" t="str">
        <f>"45,0"</f>
        <v>45,0</v>
      </c>
      <c r="L9" s="8" t="str">
        <f>"59,5980"</f>
        <v>59,5980</v>
      </c>
      <c r="M9" s="6" t="s">
        <v>725</v>
      </c>
    </row>
    <row r="11" spans="1:13" ht="15">
      <c r="A11" s="26" t="s">
        <v>402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13">
      <c r="A12" s="9" t="s">
        <v>726</v>
      </c>
      <c r="B12" s="9" t="s">
        <v>727</v>
      </c>
      <c r="C12" s="9" t="s">
        <v>728</v>
      </c>
      <c r="D12" s="9" t="str">
        <f>"1,2616"</f>
        <v>1,2616</v>
      </c>
      <c r="E12" s="9" t="s">
        <v>14</v>
      </c>
      <c r="F12" s="9" t="s">
        <v>15</v>
      </c>
      <c r="G12" s="14" t="s">
        <v>164</v>
      </c>
      <c r="H12" s="14" t="s">
        <v>407</v>
      </c>
      <c r="I12" s="10" t="s">
        <v>34</v>
      </c>
      <c r="J12" s="10"/>
      <c r="K12" s="9" t="str">
        <f>"62,5"</f>
        <v>62,5</v>
      </c>
      <c r="L12" s="14" t="str">
        <f>"78,8500"</f>
        <v>78,8500</v>
      </c>
      <c r="M12" s="9" t="s">
        <v>729</v>
      </c>
    </row>
    <row r="13" spans="1:13">
      <c r="A13" s="15" t="s">
        <v>730</v>
      </c>
      <c r="B13" s="15" t="s">
        <v>731</v>
      </c>
      <c r="C13" s="15" t="s">
        <v>732</v>
      </c>
      <c r="D13" s="15" t="str">
        <f>"1,2541"</f>
        <v>1,2541</v>
      </c>
      <c r="E13" s="15" t="s">
        <v>14</v>
      </c>
      <c r="F13" s="15" t="s">
        <v>15</v>
      </c>
      <c r="G13" s="17" t="s">
        <v>27</v>
      </c>
      <c r="H13" s="17" t="s">
        <v>28</v>
      </c>
      <c r="I13" s="16" t="s">
        <v>457</v>
      </c>
      <c r="J13" s="16"/>
      <c r="K13" s="15" t="str">
        <f>"52,5"</f>
        <v>52,5</v>
      </c>
      <c r="L13" s="17" t="str">
        <f>"65,8402"</f>
        <v>65,8402</v>
      </c>
      <c r="M13" s="15" t="s">
        <v>733</v>
      </c>
    </row>
    <row r="14" spans="1:13">
      <c r="A14" s="11" t="s">
        <v>734</v>
      </c>
      <c r="B14" s="11" t="s">
        <v>735</v>
      </c>
      <c r="C14" s="11" t="s">
        <v>736</v>
      </c>
      <c r="D14" s="11" t="str">
        <f>"1,2485"</f>
        <v>1,2485</v>
      </c>
      <c r="E14" s="11" t="s">
        <v>14</v>
      </c>
      <c r="F14" s="11" t="s">
        <v>15</v>
      </c>
      <c r="G14" s="13" t="s">
        <v>26</v>
      </c>
      <c r="H14" s="13" t="s">
        <v>27</v>
      </c>
      <c r="I14" s="12" t="s">
        <v>406</v>
      </c>
      <c r="J14" s="12"/>
      <c r="K14" s="11" t="str">
        <f>"50,0"</f>
        <v>50,0</v>
      </c>
      <c r="L14" s="13" t="str">
        <f>"62,4250"</f>
        <v>62,4250</v>
      </c>
      <c r="M14" s="11" t="s">
        <v>737</v>
      </c>
    </row>
    <row r="16" spans="1:13" ht="15">
      <c r="A16" s="26" t="s">
        <v>20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1:13">
      <c r="A17" s="9" t="s">
        <v>738</v>
      </c>
      <c r="B17" s="9" t="s">
        <v>739</v>
      </c>
      <c r="C17" s="9" t="s">
        <v>740</v>
      </c>
      <c r="D17" s="9" t="str">
        <f>"1,2212"</f>
        <v>1,2212</v>
      </c>
      <c r="E17" s="9" t="s">
        <v>14</v>
      </c>
      <c r="F17" s="9" t="s">
        <v>15</v>
      </c>
      <c r="G17" s="14" t="s">
        <v>34</v>
      </c>
      <c r="H17" s="10" t="s">
        <v>16</v>
      </c>
      <c r="I17" s="10" t="s">
        <v>16</v>
      </c>
      <c r="J17" s="10"/>
      <c r="K17" s="9" t="str">
        <f>"65,0"</f>
        <v>65,0</v>
      </c>
      <c r="L17" s="14" t="str">
        <f>"79,3780"</f>
        <v>79,3780</v>
      </c>
      <c r="M17" s="9" t="s">
        <v>741</v>
      </c>
    </row>
    <row r="18" spans="1:13">
      <c r="A18" s="15" t="s">
        <v>742</v>
      </c>
      <c r="B18" s="15" t="s">
        <v>743</v>
      </c>
      <c r="C18" s="15" t="s">
        <v>744</v>
      </c>
      <c r="D18" s="15" t="str">
        <f>"1,2002"</f>
        <v>1,2002</v>
      </c>
      <c r="E18" s="15" t="s">
        <v>14</v>
      </c>
      <c r="F18" s="15" t="s">
        <v>15</v>
      </c>
      <c r="G18" s="17" t="s">
        <v>40</v>
      </c>
      <c r="H18" s="17" t="s">
        <v>441</v>
      </c>
      <c r="I18" s="17" t="s">
        <v>26</v>
      </c>
      <c r="J18" s="16"/>
      <c r="K18" s="15" t="str">
        <f>"45,0"</f>
        <v>45,0</v>
      </c>
      <c r="L18" s="17" t="str">
        <f>"54,0090"</f>
        <v>54,0090</v>
      </c>
      <c r="M18" s="15" t="s">
        <v>477</v>
      </c>
    </row>
    <row r="19" spans="1:13">
      <c r="A19" s="11" t="s">
        <v>745</v>
      </c>
      <c r="B19" s="11" t="s">
        <v>414</v>
      </c>
      <c r="C19" s="11" t="s">
        <v>415</v>
      </c>
      <c r="D19" s="11" t="str">
        <f>"1,1766"</f>
        <v>1,1766</v>
      </c>
      <c r="E19" s="11" t="s">
        <v>90</v>
      </c>
      <c r="F19" s="11" t="s">
        <v>15</v>
      </c>
      <c r="G19" s="13" t="s">
        <v>416</v>
      </c>
      <c r="H19" s="12" t="s">
        <v>27</v>
      </c>
      <c r="I19" s="12" t="s">
        <v>27</v>
      </c>
      <c r="J19" s="12"/>
      <c r="K19" s="11" t="str">
        <f>"47,5"</f>
        <v>47,5</v>
      </c>
      <c r="L19" s="13" t="str">
        <f>"55,8885"</f>
        <v>55,8885</v>
      </c>
      <c r="M19" s="11" t="s">
        <v>47</v>
      </c>
    </row>
    <row r="21" spans="1:13" ht="15">
      <c r="A21" s="26" t="s">
        <v>10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1:13">
      <c r="A22" s="9" t="s">
        <v>746</v>
      </c>
      <c r="B22" s="9" t="s">
        <v>747</v>
      </c>
      <c r="C22" s="9" t="s">
        <v>748</v>
      </c>
      <c r="D22" s="9" t="str">
        <f>"1,1325"</f>
        <v>1,1325</v>
      </c>
      <c r="E22" s="9" t="s">
        <v>14</v>
      </c>
      <c r="F22" s="9" t="s">
        <v>15</v>
      </c>
      <c r="G22" s="14" t="s">
        <v>40</v>
      </c>
      <c r="H22" s="14" t="s">
        <v>441</v>
      </c>
      <c r="I22" s="14" t="s">
        <v>26</v>
      </c>
      <c r="J22" s="10"/>
      <c r="K22" s="9" t="str">
        <f>"45,0"</f>
        <v>45,0</v>
      </c>
      <c r="L22" s="14" t="str">
        <f>"50,9625"</f>
        <v>50,9625</v>
      </c>
      <c r="M22" s="9" t="s">
        <v>477</v>
      </c>
    </row>
    <row r="23" spans="1:13">
      <c r="A23" s="11" t="s">
        <v>750</v>
      </c>
      <c r="B23" s="11" t="s">
        <v>751</v>
      </c>
      <c r="C23" s="11" t="s">
        <v>419</v>
      </c>
      <c r="D23" s="11" t="str">
        <f>"1,1251"</f>
        <v>1,1251</v>
      </c>
      <c r="E23" s="11" t="s">
        <v>14</v>
      </c>
      <c r="F23" s="11" t="s">
        <v>15</v>
      </c>
      <c r="G23" s="13" t="s">
        <v>18</v>
      </c>
      <c r="H23" s="13" t="s">
        <v>227</v>
      </c>
      <c r="I23" s="12" t="s">
        <v>172</v>
      </c>
      <c r="J23" s="12"/>
      <c r="K23" s="11" t="str">
        <f>"80,0"</f>
        <v>80,0</v>
      </c>
      <c r="L23" s="13" t="str">
        <f>"90,0080"</f>
        <v>90,0080</v>
      </c>
      <c r="M23" s="11" t="s">
        <v>752</v>
      </c>
    </row>
    <row r="25" spans="1:13" ht="15">
      <c r="A25" s="26" t="s">
        <v>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1:13">
      <c r="A26" s="9" t="s">
        <v>753</v>
      </c>
      <c r="B26" s="9" t="s">
        <v>754</v>
      </c>
      <c r="C26" s="9" t="s">
        <v>468</v>
      </c>
      <c r="D26" s="9" t="str">
        <f>"1,0455"</f>
        <v>1,0455</v>
      </c>
      <c r="E26" s="9" t="s">
        <v>14</v>
      </c>
      <c r="F26" s="9" t="s">
        <v>15</v>
      </c>
      <c r="G26" s="14" t="s">
        <v>416</v>
      </c>
      <c r="H26" s="14" t="s">
        <v>27</v>
      </c>
      <c r="I26" s="10" t="s">
        <v>28</v>
      </c>
      <c r="J26" s="10"/>
      <c r="K26" s="9" t="str">
        <f>"50,0"</f>
        <v>50,0</v>
      </c>
      <c r="L26" s="14" t="str">
        <f>"52,2750"</f>
        <v>52,2750</v>
      </c>
      <c r="M26" s="9" t="s">
        <v>477</v>
      </c>
    </row>
    <row r="27" spans="1:13">
      <c r="A27" s="11" t="s">
        <v>755</v>
      </c>
      <c r="B27" s="11" t="s">
        <v>756</v>
      </c>
      <c r="C27" s="11" t="s">
        <v>757</v>
      </c>
      <c r="D27" s="11" t="str">
        <f>"1,0479"</f>
        <v>1,0479</v>
      </c>
      <c r="E27" s="11" t="s">
        <v>14</v>
      </c>
      <c r="F27" s="11" t="s">
        <v>15</v>
      </c>
      <c r="G27" s="13" t="s">
        <v>164</v>
      </c>
      <c r="H27" s="13" t="s">
        <v>407</v>
      </c>
      <c r="I27" s="12" t="s">
        <v>34</v>
      </c>
      <c r="J27" s="12"/>
      <c r="K27" s="11" t="str">
        <f>"62,5"</f>
        <v>62,5</v>
      </c>
      <c r="L27" s="13" t="str">
        <f>"65,4937"</f>
        <v>65,4937</v>
      </c>
      <c r="M27" s="11" t="s">
        <v>477</v>
      </c>
    </row>
    <row r="29" spans="1:13" ht="15">
      <c r="A29" s="26" t="s">
        <v>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1:13">
      <c r="A30" s="9" t="s">
        <v>758</v>
      </c>
      <c r="B30" s="9" t="s">
        <v>759</v>
      </c>
      <c r="C30" s="9" t="s">
        <v>760</v>
      </c>
      <c r="D30" s="9" t="str">
        <f>"0,9681"</f>
        <v>0,9681</v>
      </c>
      <c r="E30" s="9" t="s">
        <v>14</v>
      </c>
      <c r="F30" s="9" t="s">
        <v>15</v>
      </c>
      <c r="G30" s="14" t="s">
        <v>416</v>
      </c>
      <c r="H30" s="14" t="s">
        <v>27</v>
      </c>
      <c r="I30" s="14" t="s">
        <v>28</v>
      </c>
      <c r="J30" s="10"/>
      <c r="K30" s="9" t="str">
        <f>"52,5"</f>
        <v>52,5</v>
      </c>
      <c r="L30" s="14" t="str">
        <f>"50,8253"</f>
        <v>50,8253</v>
      </c>
      <c r="M30" s="9" t="s">
        <v>477</v>
      </c>
    </row>
    <row r="31" spans="1:13">
      <c r="A31" s="11" t="s">
        <v>761</v>
      </c>
      <c r="B31" s="11" t="s">
        <v>439</v>
      </c>
      <c r="C31" s="11" t="s">
        <v>440</v>
      </c>
      <c r="D31" s="11" t="str">
        <f>"0,9538"</f>
        <v>0,9538</v>
      </c>
      <c r="E31" s="11" t="s">
        <v>14</v>
      </c>
      <c r="F31" s="11" t="s">
        <v>15</v>
      </c>
      <c r="G31" s="13" t="s">
        <v>762</v>
      </c>
      <c r="H31" s="13" t="s">
        <v>40</v>
      </c>
      <c r="I31" s="12" t="s">
        <v>441</v>
      </c>
      <c r="J31" s="12"/>
      <c r="K31" s="11" t="str">
        <f>"40,0"</f>
        <v>40,0</v>
      </c>
      <c r="L31" s="13" t="str">
        <f>"38,1520"</f>
        <v>38,1520</v>
      </c>
      <c r="M31" s="11" t="s">
        <v>73</v>
      </c>
    </row>
    <row r="33" spans="1:13" ht="15">
      <c r="A33" s="26" t="s">
        <v>20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</row>
    <row r="34" spans="1:13">
      <c r="A34" s="6" t="s">
        <v>763</v>
      </c>
      <c r="B34" s="6" t="s">
        <v>764</v>
      </c>
      <c r="C34" s="6" t="s">
        <v>765</v>
      </c>
      <c r="D34" s="6" t="str">
        <f>"0,9639"</f>
        <v>0,9639</v>
      </c>
      <c r="E34" s="6" t="s">
        <v>14</v>
      </c>
      <c r="F34" s="6" t="s">
        <v>15</v>
      </c>
      <c r="G34" s="8" t="s">
        <v>27</v>
      </c>
      <c r="H34" s="8" t="s">
        <v>28</v>
      </c>
      <c r="I34" s="7" t="s">
        <v>457</v>
      </c>
      <c r="J34" s="7"/>
      <c r="K34" s="6" t="str">
        <f>"52,5"</f>
        <v>52,5</v>
      </c>
      <c r="L34" s="8" t="str">
        <f>"50,6048"</f>
        <v>50,6048</v>
      </c>
      <c r="M34" s="6" t="s">
        <v>47</v>
      </c>
    </row>
    <row r="36" spans="1:13" ht="15">
      <c r="A36" s="26" t="s">
        <v>30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37" spans="1:13">
      <c r="A37" s="9" t="s">
        <v>766</v>
      </c>
      <c r="B37" s="9" t="s">
        <v>767</v>
      </c>
      <c r="C37" s="9" t="s">
        <v>768</v>
      </c>
      <c r="D37" s="9" t="str">
        <f>"0,8057"</f>
        <v>0,8057</v>
      </c>
      <c r="E37" s="9" t="s">
        <v>769</v>
      </c>
      <c r="F37" s="9" t="s">
        <v>770</v>
      </c>
      <c r="G37" s="14" t="s">
        <v>137</v>
      </c>
      <c r="H37" s="10" t="s">
        <v>541</v>
      </c>
      <c r="I37" s="14" t="s">
        <v>541</v>
      </c>
      <c r="J37" s="10"/>
      <c r="K37" s="9" t="str">
        <f>"127,5"</f>
        <v>127,5</v>
      </c>
      <c r="L37" s="14" t="str">
        <f>"102,7268"</f>
        <v>102,7268</v>
      </c>
      <c r="M37" s="9" t="s">
        <v>19</v>
      </c>
    </row>
    <row r="38" spans="1:13">
      <c r="A38" s="15" t="s">
        <v>771</v>
      </c>
      <c r="B38" s="15" t="s">
        <v>772</v>
      </c>
      <c r="C38" s="15" t="s">
        <v>468</v>
      </c>
      <c r="D38" s="15" t="str">
        <f>"0,7922"</f>
        <v>0,7922</v>
      </c>
      <c r="E38" s="15" t="s">
        <v>14</v>
      </c>
      <c r="F38" s="15" t="s">
        <v>15</v>
      </c>
      <c r="G38" s="17" t="s">
        <v>210</v>
      </c>
      <c r="H38" s="17" t="s">
        <v>101</v>
      </c>
      <c r="I38" s="16" t="s">
        <v>102</v>
      </c>
      <c r="J38" s="16"/>
      <c r="K38" s="15" t="str">
        <f>"110,0"</f>
        <v>110,0</v>
      </c>
      <c r="L38" s="17" t="str">
        <f>"87,1420"</f>
        <v>87,1420</v>
      </c>
      <c r="M38" s="15" t="s">
        <v>752</v>
      </c>
    </row>
    <row r="39" spans="1:13">
      <c r="A39" s="11" t="s">
        <v>773</v>
      </c>
      <c r="B39" s="11" t="s">
        <v>774</v>
      </c>
      <c r="C39" s="11" t="s">
        <v>775</v>
      </c>
      <c r="D39" s="11" t="str">
        <f>"0,7832"</f>
        <v>0,7832</v>
      </c>
      <c r="E39" s="11" t="s">
        <v>14</v>
      </c>
      <c r="F39" s="11" t="s">
        <v>15</v>
      </c>
      <c r="G39" s="13" t="s">
        <v>102</v>
      </c>
      <c r="H39" s="12" t="s">
        <v>469</v>
      </c>
      <c r="I39" s="12" t="s">
        <v>469</v>
      </c>
      <c r="J39" s="12"/>
      <c r="K39" s="11" t="str">
        <f>"115,0"</f>
        <v>115,0</v>
      </c>
      <c r="L39" s="13" t="str">
        <f>"96,1926"</f>
        <v>96,1926</v>
      </c>
      <c r="M39" s="11" t="s">
        <v>19</v>
      </c>
    </row>
    <row r="41" spans="1:13" ht="15">
      <c r="A41" s="26" t="s">
        <v>42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  <row r="42" spans="1:13">
      <c r="A42" s="9" t="s">
        <v>776</v>
      </c>
      <c r="B42" s="9" t="s">
        <v>777</v>
      </c>
      <c r="C42" s="9" t="s">
        <v>778</v>
      </c>
      <c r="D42" s="9" t="str">
        <f>"0,7422"</f>
        <v>0,7422</v>
      </c>
      <c r="E42" s="9" t="s">
        <v>14</v>
      </c>
      <c r="F42" s="9" t="s">
        <v>15</v>
      </c>
      <c r="G42" s="14" t="s">
        <v>469</v>
      </c>
      <c r="H42" s="10" t="s">
        <v>205</v>
      </c>
      <c r="I42" s="10" t="s">
        <v>205</v>
      </c>
      <c r="J42" s="10"/>
      <c r="K42" s="9" t="str">
        <f>"117,5"</f>
        <v>117,5</v>
      </c>
      <c r="L42" s="14" t="str">
        <f>"87,2085"</f>
        <v>87,2085</v>
      </c>
      <c r="M42" s="9" t="s">
        <v>779</v>
      </c>
    </row>
    <row r="43" spans="1:13">
      <c r="A43" s="15" t="s">
        <v>780</v>
      </c>
      <c r="B43" s="15" t="s">
        <v>781</v>
      </c>
      <c r="C43" s="15" t="s">
        <v>782</v>
      </c>
      <c r="D43" s="15" t="str">
        <f>"0,7166"</f>
        <v>0,7166</v>
      </c>
      <c r="E43" s="15" t="s">
        <v>14</v>
      </c>
      <c r="F43" s="15" t="s">
        <v>15</v>
      </c>
      <c r="G43" s="17" t="s">
        <v>54</v>
      </c>
      <c r="H43" s="16" t="s">
        <v>200</v>
      </c>
      <c r="I43" s="16" t="s">
        <v>200</v>
      </c>
      <c r="J43" s="16"/>
      <c r="K43" s="15" t="str">
        <f>"150,0"</f>
        <v>150,0</v>
      </c>
      <c r="L43" s="17" t="str">
        <f>"107,4900"</f>
        <v>107,4900</v>
      </c>
      <c r="M43" s="15" t="s">
        <v>19</v>
      </c>
    </row>
    <row r="44" spans="1:13">
      <c r="A44" s="15" t="s">
        <v>783</v>
      </c>
      <c r="B44" s="15" t="s">
        <v>784</v>
      </c>
      <c r="C44" s="15" t="s">
        <v>785</v>
      </c>
      <c r="D44" s="15" t="str">
        <f>"0,7173"</f>
        <v>0,7173</v>
      </c>
      <c r="E44" s="15" t="s">
        <v>24</v>
      </c>
      <c r="F44" s="15" t="s">
        <v>95</v>
      </c>
      <c r="G44" s="17" t="s">
        <v>64</v>
      </c>
      <c r="H44" s="17" t="s">
        <v>241</v>
      </c>
      <c r="I44" s="16"/>
      <c r="J44" s="16"/>
      <c r="K44" s="15" t="str">
        <f>"147,5"</f>
        <v>147,5</v>
      </c>
      <c r="L44" s="17" t="str">
        <f>"105,8017"</f>
        <v>105,8017</v>
      </c>
      <c r="M44" s="15" t="s">
        <v>19</v>
      </c>
    </row>
    <row r="45" spans="1:13">
      <c r="A45" s="15" t="s">
        <v>786</v>
      </c>
      <c r="B45" s="15" t="s">
        <v>787</v>
      </c>
      <c r="C45" s="15" t="s">
        <v>440</v>
      </c>
      <c r="D45" s="15" t="str">
        <f>"0,7152"</f>
        <v>0,7152</v>
      </c>
      <c r="E45" s="15" t="s">
        <v>24</v>
      </c>
      <c r="F45" s="15" t="s">
        <v>436</v>
      </c>
      <c r="G45" s="17" t="s">
        <v>62</v>
      </c>
      <c r="H45" s="16" t="s">
        <v>63</v>
      </c>
      <c r="I45" s="16" t="s">
        <v>63</v>
      </c>
      <c r="J45" s="16"/>
      <c r="K45" s="15" t="str">
        <f>"135,0"</f>
        <v>135,0</v>
      </c>
      <c r="L45" s="17" t="str">
        <f>"96,5520"</f>
        <v>96,5520</v>
      </c>
      <c r="M45" s="15" t="s">
        <v>97</v>
      </c>
    </row>
    <row r="46" spans="1:13">
      <c r="A46" s="15" t="s">
        <v>788</v>
      </c>
      <c r="B46" s="15" t="s">
        <v>789</v>
      </c>
      <c r="C46" s="15" t="s">
        <v>790</v>
      </c>
      <c r="D46" s="15" t="str">
        <f>"0,7242"</f>
        <v>0,7242</v>
      </c>
      <c r="E46" s="15" t="s">
        <v>24</v>
      </c>
      <c r="F46" s="15" t="s">
        <v>605</v>
      </c>
      <c r="G46" s="16" t="s">
        <v>102</v>
      </c>
      <c r="H46" s="17" t="s">
        <v>102</v>
      </c>
      <c r="I46" s="16" t="s">
        <v>205</v>
      </c>
      <c r="J46" s="16"/>
      <c r="K46" s="15" t="str">
        <f>"115,0"</f>
        <v>115,0</v>
      </c>
      <c r="L46" s="17" t="str">
        <f>"83,2830"</f>
        <v>83,2830</v>
      </c>
      <c r="M46" s="15" t="s">
        <v>111</v>
      </c>
    </row>
    <row r="47" spans="1:13">
      <c r="A47" s="11" t="s">
        <v>791</v>
      </c>
      <c r="B47" s="11" t="s">
        <v>792</v>
      </c>
      <c r="C47" s="11" t="s">
        <v>782</v>
      </c>
      <c r="D47" s="11" t="str">
        <f>"0,7166"</f>
        <v>0,7166</v>
      </c>
      <c r="E47" s="11" t="s">
        <v>14</v>
      </c>
      <c r="F47" s="11" t="s">
        <v>15</v>
      </c>
      <c r="G47" s="12" t="s">
        <v>205</v>
      </c>
      <c r="H47" s="12" t="s">
        <v>205</v>
      </c>
      <c r="I47" s="12" t="s">
        <v>205</v>
      </c>
      <c r="J47" s="12"/>
      <c r="K47" s="11" t="str">
        <f>"0,0"</f>
        <v>0,0</v>
      </c>
      <c r="L47" s="13" t="str">
        <f>"0,0000"</f>
        <v>0,0000</v>
      </c>
      <c r="M47" s="11" t="s">
        <v>47</v>
      </c>
    </row>
    <row r="49" spans="1:13" ht="15">
      <c r="A49" s="26" t="s">
        <v>49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0" spans="1:13">
      <c r="A50" s="9" t="s">
        <v>793</v>
      </c>
      <c r="B50" s="9" t="s">
        <v>794</v>
      </c>
      <c r="C50" s="9" t="s">
        <v>795</v>
      </c>
      <c r="D50" s="9" t="str">
        <f>"0,6739"</f>
        <v>0,6739</v>
      </c>
      <c r="E50" s="9" t="s">
        <v>14</v>
      </c>
      <c r="F50" s="9" t="s">
        <v>15</v>
      </c>
      <c r="G50" s="14" t="s">
        <v>138</v>
      </c>
      <c r="H50" s="10"/>
      <c r="I50" s="10"/>
      <c r="J50" s="10"/>
      <c r="K50" s="9" t="str">
        <f>"130,0"</f>
        <v>130,0</v>
      </c>
      <c r="L50" s="14" t="str">
        <f>"87,6070"</f>
        <v>87,6070</v>
      </c>
      <c r="M50" s="9" t="s">
        <v>796</v>
      </c>
    </row>
    <row r="51" spans="1:13">
      <c r="A51" s="15" t="s">
        <v>797</v>
      </c>
      <c r="B51" s="15" t="s">
        <v>798</v>
      </c>
      <c r="C51" s="15" t="s">
        <v>799</v>
      </c>
      <c r="D51" s="15" t="str">
        <f>"0,6822"</f>
        <v>0,6822</v>
      </c>
      <c r="E51" s="15" t="s">
        <v>769</v>
      </c>
      <c r="F51" s="15" t="s">
        <v>770</v>
      </c>
      <c r="G51" s="17" t="s">
        <v>62</v>
      </c>
      <c r="H51" s="17" t="s">
        <v>63</v>
      </c>
      <c r="I51" s="16" t="s">
        <v>241</v>
      </c>
      <c r="J51" s="16"/>
      <c r="K51" s="15" t="str">
        <f>"140,0"</f>
        <v>140,0</v>
      </c>
      <c r="L51" s="17" t="str">
        <f>"95,5080"</f>
        <v>95,5080</v>
      </c>
      <c r="M51" s="15" t="s">
        <v>19</v>
      </c>
    </row>
    <row r="52" spans="1:13">
      <c r="A52" s="15" t="s">
        <v>800</v>
      </c>
      <c r="B52" s="15" t="s">
        <v>801</v>
      </c>
      <c r="C52" s="15" t="s">
        <v>61</v>
      </c>
      <c r="D52" s="15" t="str">
        <f>"0,6699"</f>
        <v>0,6699</v>
      </c>
      <c r="E52" s="15" t="s">
        <v>24</v>
      </c>
      <c r="F52" s="15" t="s">
        <v>226</v>
      </c>
      <c r="G52" s="17" t="s">
        <v>137</v>
      </c>
      <c r="H52" s="17" t="s">
        <v>138</v>
      </c>
      <c r="I52" s="17" t="s">
        <v>62</v>
      </c>
      <c r="J52" s="16"/>
      <c r="K52" s="15" t="str">
        <f>"135,0"</f>
        <v>135,0</v>
      </c>
      <c r="L52" s="17" t="str">
        <f>"90,4365"</f>
        <v>90,4365</v>
      </c>
      <c r="M52" s="15" t="s">
        <v>47</v>
      </c>
    </row>
    <row r="53" spans="1:13">
      <c r="A53" s="15" t="s">
        <v>802</v>
      </c>
      <c r="B53" s="15" t="s">
        <v>803</v>
      </c>
      <c r="C53" s="15" t="s">
        <v>52</v>
      </c>
      <c r="D53" s="15" t="str">
        <f>"0,6749"</f>
        <v>0,6749</v>
      </c>
      <c r="E53" s="15" t="s">
        <v>14</v>
      </c>
      <c r="F53" s="15" t="s">
        <v>15</v>
      </c>
      <c r="G53" s="17" t="s">
        <v>137</v>
      </c>
      <c r="H53" s="17" t="s">
        <v>138</v>
      </c>
      <c r="I53" s="16" t="s">
        <v>63</v>
      </c>
      <c r="J53" s="16"/>
      <c r="K53" s="15" t="str">
        <f>"130,0"</f>
        <v>130,0</v>
      </c>
      <c r="L53" s="17" t="str">
        <f>"87,7370"</f>
        <v>87,7370</v>
      </c>
      <c r="M53" s="15" t="s">
        <v>19</v>
      </c>
    </row>
    <row r="54" spans="1:13">
      <c r="A54" s="15" t="s">
        <v>804</v>
      </c>
      <c r="B54" s="15" t="s">
        <v>805</v>
      </c>
      <c r="C54" s="15" t="s">
        <v>806</v>
      </c>
      <c r="D54" s="15" t="str">
        <f>"0,6899"</f>
        <v>0,6899</v>
      </c>
      <c r="E54" s="15" t="s">
        <v>24</v>
      </c>
      <c r="F54" s="15" t="s">
        <v>807</v>
      </c>
      <c r="G54" s="17" t="s">
        <v>210</v>
      </c>
      <c r="H54" s="17" t="s">
        <v>101</v>
      </c>
      <c r="I54" s="17" t="s">
        <v>204</v>
      </c>
      <c r="J54" s="16"/>
      <c r="K54" s="15" t="str">
        <f>"112,5"</f>
        <v>112,5</v>
      </c>
      <c r="L54" s="17" t="str">
        <f>"85,1423"</f>
        <v>85,1423</v>
      </c>
      <c r="M54" s="15" t="s">
        <v>47</v>
      </c>
    </row>
    <row r="55" spans="1:13">
      <c r="A55" s="15" t="s">
        <v>809</v>
      </c>
      <c r="B55" s="15" t="s">
        <v>810</v>
      </c>
      <c r="C55" s="15" t="s">
        <v>811</v>
      </c>
      <c r="D55" s="15" t="str">
        <f>"0,6905"</f>
        <v>0,6905</v>
      </c>
      <c r="E55" s="15" t="s">
        <v>24</v>
      </c>
      <c r="F55" s="15" t="s">
        <v>267</v>
      </c>
      <c r="G55" s="17" t="s">
        <v>205</v>
      </c>
      <c r="H55" s="17" t="s">
        <v>137</v>
      </c>
      <c r="I55" s="17" t="s">
        <v>138</v>
      </c>
      <c r="J55" s="16"/>
      <c r="K55" s="15" t="str">
        <f>"130,0"</f>
        <v>130,0</v>
      </c>
      <c r="L55" s="17" t="str">
        <f>"122,6190"</f>
        <v>122,6190</v>
      </c>
      <c r="M55" s="15" t="s">
        <v>812</v>
      </c>
    </row>
    <row r="56" spans="1:13">
      <c r="A56" s="11" t="s">
        <v>813</v>
      </c>
      <c r="B56" s="11" t="s">
        <v>814</v>
      </c>
      <c r="C56" s="11" t="s">
        <v>815</v>
      </c>
      <c r="D56" s="11" t="str">
        <f>"0,7074"</f>
        <v>0,7074</v>
      </c>
      <c r="E56" s="11" t="s">
        <v>24</v>
      </c>
      <c r="F56" s="11" t="s">
        <v>226</v>
      </c>
      <c r="G56" s="13" t="s">
        <v>18</v>
      </c>
      <c r="H56" s="13" t="s">
        <v>227</v>
      </c>
      <c r="I56" s="12"/>
      <c r="J56" s="12"/>
      <c r="K56" s="11" t="str">
        <f>"80,0"</f>
        <v>80,0</v>
      </c>
      <c r="L56" s="13" t="str">
        <f>"97,2251"</f>
        <v>97,2251</v>
      </c>
      <c r="M56" s="11" t="s">
        <v>228</v>
      </c>
    </row>
    <row r="58" spans="1:13" ht="15">
      <c r="A58" s="26" t="s">
        <v>66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</row>
    <row r="59" spans="1:13">
      <c r="A59" s="9" t="s">
        <v>816</v>
      </c>
      <c r="B59" s="9" t="s">
        <v>817</v>
      </c>
      <c r="C59" s="9" t="s">
        <v>614</v>
      </c>
      <c r="D59" s="9" t="str">
        <f>"0,6479"</f>
        <v>0,6479</v>
      </c>
      <c r="E59" s="9" t="s">
        <v>14</v>
      </c>
      <c r="F59" s="9" t="s">
        <v>15</v>
      </c>
      <c r="G59" s="10" t="s">
        <v>56</v>
      </c>
      <c r="H59" s="14" t="s">
        <v>56</v>
      </c>
      <c r="I59" s="10" t="s">
        <v>590</v>
      </c>
      <c r="J59" s="10"/>
      <c r="K59" s="9" t="str">
        <f>"170,0"</f>
        <v>170,0</v>
      </c>
      <c r="L59" s="14" t="str">
        <f>"110,1430"</f>
        <v>110,1430</v>
      </c>
      <c r="M59" s="9" t="s">
        <v>19</v>
      </c>
    </row>
    <row r="60" spans="1:13">
      <c r="A60" s="15" t="s">
        <v>818</v>
      </c>
      <c r="B60" s="15" t="s">
        <v>819</v>
      </c>
      <c r="C60" s="15" t="s">
        <v>70</v>
      </c>
      <c r="D60" s="15" t="str">
        <f>"0,6455"</f>
        <v>0,6455</v>
      </c>
      <c r="E60" s="15" t="s">
        <v>14</v>
      </c>
      <c r="F60" s="15" t="s">
        <v>15</v>
      </c>
      <c r="G60" s="16" t="s">
        <v>64</v>
      </c>
      <c r="H60" s="16" t="s">
        <v>64</v>
      </c>
      <c r="I60" s="16" t="s">
        <v>64</v>
      </c>
      <c r="J60" s="16"/>
      <c r="K60" s="15" t="str">
        <f>"0,0"</f>
        <v>0,0</v>
      </c>
      <c r="L60" s="17" t="str">
        <f>"0,0000"</f>
        <v>0,0000</v>
      </c>
      <c r="M60" s="15" t="s">
        <v>19</v>
      </c>
    </row>
    <row r="61" spans="1:13">
      <c r="A61" s="15" t="s">
        <v>820</v>
      </c>
      <c r="B61" s="15" t="s">
        <v>821</v>
      </c>
      <c r="C61" s="15" t="s">
        <v>822</v>
      </c>
      <c r="D61" s="15" t="str">
        <f>"0,6436"</f>
        <v>0,6436</v>
      </c>
      <c r="E61" s="15" t="s">
        <v>24</v>
      </c>
      <c r="F61" s="15" t="s">
        <v>267</v>
      </c>
      <c r="G61" s="17" t="s">
        <v>484</v>
      </c>
      <c r="H61" s="17" t="s">
        <v>63</v>
      </c>
      <c r="I61" s="16" t="s">
        <v>64</v>
      </c>
      <c r="J61" s="16"/>
      <c r="K61" s="15" t="str">
        <f>"140,0"</f>
        <v>140,0</v>
      </c>
      <c r="L61" s="17" t="str">
        <f>"90,1040"</f>
        <v>90,1040</v>
      </c>
      <c r="M61" s="15" t="s">
        <v>812</v>
      </c>
    </row>
    <row r="62" spans="1:13">
      <c r="A62" s="15" t="s">
        <v>823</v>
      </c>
      <c r="B62" s="15" t="s">
        <v>824</v>
      </c>
      <c r="C62" s="15" t="s">
        <v>825</v>
      </c>
      <c r="D62" s="15" t="str">
        <f>"0,6459"</f>
        <v>0,6459</v>
      </c>
      <c r="E62" s="15" t="s">
        <v>14</v>
      </c>
      <c r="F62" s="15" t="s">
        <v>15</v>
      </c>
      <c r="G62" s="16" t="s">
        <v>137</v>
      </c>
      <c r="H62" s="16" t="s">
        <v>138</v>
      </c>
      <c r="I62" s="16" t="s">
        <v>138</v>
      </c>
      <c r="J62" s="16"/>
      <c r="K62" s="15" t="str">
        <f>"0,0"</f>
        <v>0,0</v>
      </c>
      <c r="L62" s="17" t="str">
        <f>"0,0000"</f>
        <v>0,0000</v>
      </c>
      <c r="M62" s="15" t="s">
        <v>19</v>
      </c>
    </row>
    <row r="63" spans="1:13">
      <c r="A63" s="15" t="s">
        <v>826</v>
      </c>
      <c r="B63" s="15" t="s">
        <v>593</v>
      </c>
      <c r="C63" s="15" t="s">
        <v>594</v>
      </c>
      <c r="D63" s="15" t="str">
        <f>"0,6421"</f>
        <v>0,6421</v>
      </c>
      <c r="E63" s="15" t="s">
        <v>14</v>
      </c>
      <c r="F63" s="15" t="s">
        <v>15</v>
      </c>
      <c r="G63" s="16" t="s">
        <v>64</v>
      </c>
      <c r="H63" s="16" t="s">
        <v>64</v>
      </c>
      <c r="I63" s="16" t="s">
        <v>64</v>
      </c>
      <c r="J63" s="16"/>
      <c r="K63" s="15" t="str">
        <f>"0,0"</f>
        <v>0,0</v>
      </c>
      <c r="L63" s="17" t="str">
        <f>"0,0000"</f>
        <v>0,0000</v>
      </c>
      <c r="M63" s="15" t="s">
        <v>19</v>
      </c>
    </row>
    <row r="64" spans="1:13">
      <c r="A64" s="15" t="s">
        <v>827</v>
      </c>
      <c r="B64" s="15" t="s">
        <v>828</v>
      </c>
      <c r="C64" s="15" t="s">
        <v>829</v>
      </c>
      <c r="D64" s="15" t="str">
        <f>"0,6642"</f>
        <v>0,6642</v>
      </c>
      <c r="E64" s="15" t="s">
        <v>14</v>
      </c>
      <c r="F64" s="15" t="s">
        <v>15</v>
      </c>
      <c r="G64" s="17" t="s">
        <v>205</v>
      </c>
      <c r="H64" s="16" t="s">
        <v>518</v>
      </c>
      <c r="I64" s="16" t="s">
        <v>518</v>
      </c>
      <c r="J64" s="16"/>
      <c r="K64" s="15" t="str">
        <f>"120,0"</f>
        <v>120,0</v>
      </c>
      <c r="L64" s="17" t="str">
        <f>"92,8552"</f>
        <v>92,8552</v>
      </c>
      <c r="M64" s="15" t="s">
        <v>47</v>
      </c>
    </row>
    <row r="65" spans="1:13">
      <c r="A65" s="11" t="s">
        <v>831</v>
      </c>
      <c r="B65" s="11" t="s">
        <v>832</v>
      </c>
      <c r="C65" s="11" t="s">
        <v>617</v>
      </c>
      <c r="D65" s="11" t="str">
        <f>"0,6428"</f>
        <v>0,6428</v>
      </c>
      <c r="E65" s="11" t="s">
        <v>24</v>
      </c>
      <c r="F65" s="11" t="s">
        <v>833</v>
      </c>
      <c r="G65" s="13" t="s">
        <v>64</v>
      </c>
      <c r="H65" s="13" t="s">
        <v>311</v>
      </c>
      <c r="I65" s="12" t="s">
        <v>96</v>
      </c>
      <c r="J65" s="12"/>
      <c r="K65" s="11" t="str">
        <f>"152,5"</f>
        <v>152,5</v>
      </c>
      <c r="L65" s="13" t="str">
        <f>"126,5529"</f>
        <v>126,5529</v>
      </c>
      <c r="M65" s="11" t="s">
        <v>19</v>
      </c>
    </row>
    <row r="67" spans="1:13" ht="15">
      <c r="A67" s="26" t="s">
        <v>86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</row>
    <row r="68" spans="1:13">
      <c r="A68" s="9" t="s">
        <v>834</v>
      </c>
      <c r="B68" s="9" t="s">
        <v>835</v>
      </c>
      <c r="C68" s="9" t="s">
        <v>646</v>
      </c>
      <c r="D68" s="9" t="str">
        <f>"0,6139"</f>
        <v>0,6139</v>
      </c>
      <c r="E68" s="9" t="s">
        <v>24</v>
      </c>
      <c r="F68" s="9" t="s">
        <v>25</v>
      </c>
      <c r="G68" s="14" t="s">
        <v>63</v>
      </c>
      <c r="H68" s="14" t="s">
        <v>54</v>
      </c>
      <c r="I68" s="14" t="s">
        <v>121</v>
      </c>
      <c r="J68" s="10"/>
      <c r="K68" s="9" t="str">
        <f>"160,0"</f>
        <v>160,0</v>
      </c>
      <c r="L68" s="14" t="str">
        <f>"98,2240"</f>
        <v>98,2240</v>
      </c>
      <c r="M68" s="9" t="s">
        <v>19</v>
      </c>
    </row>
    <row r="69" spans="1:13">
      <c r="A69" s="15" t="s">
        <v>836</v>
      </c>
      <c r="B69" s="15" t="s">
        <v>837</v>
      </c>
      <c r="C69" s="15" t="s">
        <v>838</v>
      </c>
      <c r="D69" s="15" t="str">
        <f>"0,6147"</f>
        <v>0,6147</v>
      </c>
      <c r="E69" s="15" t="s">
        <v>14</v>
      </c>
      <c r="F69" s="15" t="s">
        <v>15</v>
      </c>
      <c r="G69" s="17" t="s">
        <v>64</v>
      </c>
      <c r="H69" s="17" t="s">
        <v>54</v>
      </c>
      <c r="I69" s="16" t="s">
        <v>200</v>
      </c>
      <c r="J69" s="16"/>
      <c r="K69" s="15" t="str">
        <f>"150,0"</f>
        <v>150,0</v>
      </c>
      <c r="L69" s="17" t="str">
        <f>"92,2050"</f>
        <v>92,2050</v>
      </c>
      <c r="M69" s="15" t="s">
        <v>47</v>
      </c>
    </row>
    <row r="70" spans="1:13">
      <c r="A70" s="15" t="s">
        <v>839</v>
      </c>
      <c r="B70" s="15" t="s">
        <v>840</v>
      </c>
      <c r="C70" s="15" t="s">
        <v>841</v>
      </c>
      <c r="D70" s="15" t="str">
        <f>"0,6158"</f>
        <v>0,6158</v>
      </c>
      <c r="E70" s="15" t="s">
        <v>14</v>
      </c>
      <c r="F70" s="15" t="s">
        <v>15</v>
      </c>
      <c r="G70" s="17" t="s">
        <v>137</v>
      </c>
      <c r="H70" s="16" t="s">
        <v>138</v>
      </c>
      <c r="I70" s="16" t="s">
        <v>138</v>
      </c>
      <c r="J70" s="16"/>
      <c r="K70" s="15" t="str">
        <f>"125,0"</f>
        <v>125,0</v>
      </c>
      <c r="L70" s="17" t="str">
        <f>"76,9750"</f>
        <v>76,9750</v>
      </c>
      <c r="M70" s="15" t="s">
        <v>47</v>
      </c>
    </row>
    <row r="71" spans="1:13">
      <c r="A71" s="15" t="s">
        <v>842</v>
      </c>
      <c r="B71" s="15" t="s">
        <v>843</v>
      </c>
      <c r="C71" s="15" t="s">
        <v>844</v>
      </c>
      <c r="D71" s="15" t="str">
        <f>"0,6134"</f>
        <v>0,6134</v>
      </c>
      <c r="E71" s="15" t="s">
        <v>24</v>
      </c>
      <c r="F71" s="15" t="s">
        <v>267</v>
      </c>
      <c r="G71" s="17" t="s">
        <v>121</v>
      </c>
      <c r="H71" s="17" t="s">
        <v>79</v>
      </c>
      <c r="I71" s="17" t="s">
        <v>80</v>
      </c>
      <c r="J71" s="16"/>
      <c r="K71" s="15" t="str">
        <f>"172,5"</f>
        <v>172,5</v>
      </c>
      <c r="L71" s="17" t="str">
        <f>"107,9277"</f>
        <v>107,9277</v>
      </c>
      <c r="M71" s="15" t="s">
        <v>812</v>
      </c>
    </row>
    <row r="72" spans="1:13">
      <c r="A72" s="15" t="s">
        <v>845</v>
      </c>
      <c r="B72" s="15" t="s">
        <v>846</v>
      </c>
      <c r="C72" s="15" t="s">
        <v>847</v>
      </c>
      <c r="D72" s="15" t="str">
        <f>"0,6150"</f>
        <v>0,6150</v>
      </c>
      <c r="E72" s="15" t="s">
        <v>24</v>
      </c>
      <c r="F72" s="15" t="s">
        <v>848</v>
      </c>
      <c r="G72" s="17" t="s">
        <v>54</v>
      </c>
      <c r="H72" s="17" t="s">
        <v>121</v>
      </c>
      <c r="I72" s="17" t="s">
        <v>251</v>
      </c>
      <c r="J72" s="16"/>
      <c r="K72" s="15" t="str">
        <f>"165,0"</f>
        <v>165,0</v>
      </c>
      <c r="L72" s="17" t="str">
        <f>"105,8384"</f>
        <v>105,8384</v>
      </c>
      <c r="M72" s="15" t="s">
        <v>47</v>
      </c>
    </row>
    <row r="73" spans="1:13">
      <c r="A73" s="15" t="s">
        <v>849</v>
      </c>
      <c r="B73" s="15" t="s">
        <v>850</v>
      </c>
      <c r="C73" s="15" t="s">
        <v>851</v>
      </c>
      <c r="D73" s="15" t="str">
        <f>"0,6298"</f>
        <v>0,6298</v>
      </c>
      <c r="E73" s="15" t="s">
        <v>24</v>
      </c>
      <c r="F73" s="15" t="s">
        <v>852</v>
      </c>
      <c r="G73" s="17" t="s">
        <v>54</v>
      </c>
      <c r="H73" s="16" t="s">
        <v>121</v>
      </c>
      <c r="I73" s="16" t="s">
        <v>121</v>
      </c>
      <c r="J73" s="16"/>
      <c r="K73" s="15" t="str">
        <f>"150,0"</f>
        <v>150,0</v>
      </c>
      <c r="L73" s="17" t="str">
        <f>"103,6336"</f>
        <v>103,6336</v>
      </c>
      <c r="M73" s="15" t="s">
        <v>47</v>
      </c>
    </row>
    <row r="74" spans="1:13">
      <c r="A74" s="15" t="s">
        <v>853</v>
      </c>
      <c r="B74" s="15" t="s">
        <v>854</v>
      </c>
      <c r="C74" s="15" t="s">
        <v>628</v>
      </c>
      <c r="D74" s="15" t="str">
        <f>"0,6174"</f>
        <v>0,6174</v>
      </c>
      <c r="E74" s="15" t="s">
        <v>24</v>
      </c>
      <c r="F74" s="15" t="s">
        <v>95</v>
      </c>
      <c r="G74" s="17" t="s">
        <v>62</v>
      </c>
      <c r="H74" s="16" t="s">
        <v>64</v>
      </c>
      <c r="I74" s="17" t="s">
        <v>64</v>
      </c>
      <c r="J74" s="16"/>
      <c r="K74" s="15" t="str">
        <f>"145,0"</f>
        <v>145,0</v>
      </c>
      <c r="L74" s="17" t="str">
        <f>"95,6106"</f>
        <v>95,6106</v>
      </c>
      <c r="M74" s="15" t="s">
        <v>855</v>
      </c>
    </row>
    <row r="75" spans="1:13">
      <c r="A75" s="11" t="s">
        <v>856</v>
      </c>
      <c r="B75" s="11" t="s">
        <v>857</v>
      </c>
      <c r="C75" s="11" t="s">
        <v>858</v>
      </c>
      <c r="D75" s="11" t="str">
        <f>"0,6126"</f>
        <v>0,6126</v>
      </c>
      <c r="E75" s="11" t="s">
        <v>24</v>
      </c>
      <c r="F75" s="11" t="s">
        <v>859</v>
      </c>
      <c r="G75" s="13" t="s">
        <v>138</v>
      </c>
      <c r="H75" s="12" t="s">
        <v>62</v>
      </c>
      <c r="I75" s="13" t="s">
        <v>62</v>
      </c>
      <c r="J75" s="12"/>
      <c r="K75" s="11" t="str">
        <f>"135,0"</f>
        <v>135,0</v>
      </c>
      <c r="L75" s="13" t="str">
        <f>"93,4521"</f>
        <v>93,4521</v>
      </c>
      <c r="M75" s="11" t="s">
        <v>19</v>
      </c>
    </row>
    <row r="77" spans="1:13" ht="15">
      <c r="A77" s="26" t="s">
        <v>103</v>
      </c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</row>
    <row r="78" spans="1:13">
      <c r="A78" s="9" t="s">
        <v>860</v>
      </c>
      <c r="B78" s="9" t="s">
        <v>861</v>
      </c>
      <c r="C78" s="9" t="s">
        <v>106</v>
      </c>
      <c r="D78" s="9" t="str">
        <f>"0,5923"</f>
        <v>0,5923</v>
      </c>
      <c r="E78" s="9" t="s">
        <v>14</v>
      </c>
      <c r="F78" s="9" t="s">
        <v>15</v>
      </c>
      <c r="G78" s="14" t="s">
        <v>311</v>
      </c>
      <c r="H78" s="14" t="s">
        <v>55</v>
      </c>
      <c r="I78" s="14" t="s">
        <v>251</v>
      </c>
      <c r="J78" s="10"/>
      <c r="K78" s="9" t="str">
        <f>"165,0"</f>
        <v>165,0</v>
      </c>
      <c r="L78" s="14" t="str">
        <f>"97,7295"</f>
        <v>97,7295</v>
      </c>
      <c r="M78" s="9" t="s">
        <v>862</v>
      </c>
    </row>
    <row r="79" spans="1:13">
      <c r="A79" s="15" t="s">
        <v>864</v>
      </c>
      <c r="B79" s="15" t="s">
        <v>865</v>
      </c>
      <c r="C79" s="15" t="s">
        <v>310</v>
      </c>
      <c r="D79" s="15" t="str">
        <f>"0,5917"</f>
        <v>0,5917</v>
      </c>
      <c r="E79" s="15" t="s">
        <v>24</v>
      </c>
      <c r="F79" s="15" t="s">
        <v>866</v>
      </c>
      <c r="G79" s="17" t="s">
        <v>298</v>
      </c>
      <c r="H79" s="17" t="s">
        <v>268</v>
      </c>
      <c r="I79" s="16" t="s">
        <v>269</v>
      </c>
      <c r="J79" s="16"/>
      <c r="K79" s="15" t="str">
        <f>"220,0"</f>
        <v>220,0</v>
      </c>
      <c r="L79" s="17" t="str">
        <f>"130,1740"</f>
        <v>130,1740</v>
      </c>
      <c r="M79" s="15" t="s">
        <v>867</v>
      </c>
    </row>
    <row r="80" spans="1:13">
      <c r="A80" s="15" t="s">
        <v>868</v>
      </c>
      <c r="B80" s="15" t="s">
        <v>869</v>
      </c>
      <c r="C80" s="15" t="s">
        <v>870</v>
      </c>
      <c r="D80" s="15" t="str">
        <f>"0,5935"</f>
        <v>0,5935</v>
      </c>
      <c r="E80" s="15" t="s">
        <v>14</v>
      </c>
      <c r="F80" s="15" t="s">
        <v>15</v>
      </c>
      <c r="G80" s="17" t="s">
        <v>110</v>
      </c>
      <c r="H80" s="16" t="s">
        <v>688</v>
      </c>
      <c r="I80" s="16" t="s">
        <v>688</v>
      </c>
      <c r="J80" s="16"/>
      <c r="K80" s="15" t="str">
        <f>"195,0"</f>
        <v>195,0</v>
      </c>
      <c r="L80" s="17" t="str">
        <f>"115,7325"</f>
        <v>115,7325</v>
      </c>
      <c r="M80" s="15" t="s">
        <v>19</v>
      </c>
    </row>
    <row r="81" spans="1:13">
      <c r="A81" s="15" t="s">
        <v>871</v>
      </c>
      <c r="B81" s="15" t="s">
        <v>872</v>
      </c>
      <c r="C81" s="15" t="s">
        <v>873</v>
      </c>
      <c r="D81" s="15" t="str">
        <f>"0,5916"</f>
        <v>0,5916</v>
      </c>
      <c r="E81" s="15" t="s">
        <v>24</v>
      </c>
      <c r="F81" s="15" t="s">
        <v>489</v>
      </c>
      <c r="G81" s="17" t="s">
        <v>56</v>
      </c>
      <c r="H81" s="16" t="s">
        <v>71</v>
      </c>
      <c r="I81" s="17" t="s">
        <v>71</v>
      </c>
      <c r="J81" s="16"/>
      <c r="K81" s="15" t="str">
        <f>"175,0"</f>
        <v>175,0</v>
      </c>
      <c r="L81" s="17" t="str">
        <f>"103,5300"</f>
        <v>103,5300</v>
      </c>
      <c r="M81" s="15" t="s">
        <v>874</v>
      </c>
    </row>
    <row r="82" spans="1:13">
      <c r="A82" s="15" t="s">
        <v>875</v>
      </c>
      <c r="B82" s="15" t="s">
        <v>876</v>
      </c>
      <c r="C82" s="15" t="s">
        <v>877</v>
      </c>
      <c r="D82" s="15" t="str">
        <f>"0,6013"</f>
        <v>0,6013</v>
      </c>
      <c r="E82" s="15" t="s">
        <v>14</v>
      </c>
      <c r="F82" s="15" t="s">
        <v>15</v>
      </c>
      <c r="G82" s="16" t="s">
        <v>137</v>
      </c>
      <c r="H82" s="17" t="s">
        <v>138</v>
      </c>
      <c r="I82" s="16" t="s">
        <v>62</v>
      </c>
      <c r="J82" s="16"/>
      <c r="K82" s="15" t="str">
        <f>"130,0"</f>
        <v>130,0</v>
      </c>
      <c r="L82" s="17" t="str">
        <f>"78,1690"</f>
        <v>78,1690</v>
      </c>
      <c r="M82" s="15" t="s">
        <v>47</v>
      </c>
    </row>
    <row r="83" spans="1:13">
      <c r="A83" s="15" t="s">
        <v>878</v>
      </c>
      <c r="B83" s="15" t="s">
        <v>879</v>
      </c>
      <c r="C83" s="15" t="s">
        <v>880</v>
      </c>
      <c r="D83" s="15" t="str">
        <f>"0,5992"</f>
        <v>0,5992</v>
      </c>
      <c r="E83" s="15" t="s">
        <v>24</v>
      </c>
      <c r="F83" s="15" t="s">
        <v>267</v>
      </c>
      <c r="G83" s="17" t="s">
        <v>71</v>
      </c>
      <c r="H83" s="17" t="s">
        <v>72</v>
      </c>
      <c r="I83" s="16" t="s">
        <v>109</v>
      </c>
      <c r="J83" s="16"/>
      <c r="K83" s="15" t="str">
        <f>"180,0"</f>
        <v>180,0</v>
      </c>
      <c r="L83" s="17" t="str">
        <f>"110,0131"</f>
        <v>110,0131</v>
      </c>
      <c r="M83" s="15" t="s">
        <v>47</v>
      </c>
    </row>
    <row r="84" spans="1:13">
      <c r="A84" s="15" t="s">
        <v>881</v>
      </c>
      <c r="B84" s="15" t="s">
        <v>882</v>
      </c>
      <c r="C84" s="15" t="s">
        <v>883</v>
      </c>
      <c r="D84" s="15" t="str">
        <f>"0,5895"</f>
        <v>0,5895</v>
      </c>
      <c r="E84" s="15" t="s">
        <v>14</v>
      </c>
      <c r="F84" s="15" t="s">
        <v>15</v>
      </c>
      <c r="G84" s="17" t="s">
        <v>56</v>
      </c>
      <c r="H84" s="17" t="s">
        <v>71</v>
      </c>
      <c r="I84" s="16" t="s">
        <v>590</v>
      </c>
      <c r="J84" s="16"/>
      <c r="K84" s="15" t="str">
        <f>"175,0"</f>
        <v>175,0</v>
      </c>
      <c r="L84" s="17" t="str">
        <f>"103,1625"</f>
        <v>103,1625</v>
      </c>
      <c r="M84" s="15" t="s">
        <v>19</v>
      </c>
    </row>
    <row r="85" spans="1:13">
      <c r="A85" s="15" t="s">
        <v>884</v>
      </c>
      <c r="B85" s="15" t="s">
        <v>885</v>
      </c>
      <c r="C85" s="15" t="s">
        <v>886</v>
      </c>
      <c r="D85" s="15" t="str">
        <f>"0,6044"</f>
        <v>0,6044</v>
      </c>
      <c r="E85" s="15" t="s">
        <v>14</v>
      </c>
      <c r="F85" s="15" t="s">
        <v>15</v>
      </c>
      <c r="G85" s="17" t="s">
        <v>54</v>
      </c>
      <c r="H85" s="17" t="s">
        <v>96</v>
      </c>
      <c r="I85" s="17" t="s">
        <v>121</v>
      </c>
      <c r="J85" s="16"/>
      <c r="K85" s="15" t="str">
        <f>"160,0"</f>
        <v>160,0</v>
      </c>
      <c r="L85" s="17" t="str">
        <f>"102,0227"</f>
        <v>102,0227</v>
      </c>
      <c r="M85" s="15" t="s">
        <v>862</v>
      </c>
    </row>
    <row r="86" spans="1:13">
      <c r="A86" s="15" t="s">
        <v>888</v>
      </c>
      <c r="B86" s="15" t="s">
        <v>889</v>
      </c>
      <c r="C86" s="15" t="s">
        <v>890</v>
      </c>
      <c r="D86" s="15" t="str">
        <f>"0,6002"</f>
        <v>0,6002</v>
      </c>
      <c r="E86" s="15" t="s">
        <v>24</v>
      </c>
      <c r="F86" s="15" t="s">
        <v>297</v>
      </c>
      <c r="G86" s="17" t="s">
        <v>121</v>
      </c>
      <c r="H86" s="17" t="s">
        <v>251</v>
      </c>
      <c r="I86" s="17" t="s">
        <v>56</v>
      </c>
      <c r="J86" s="16"/>
      <c r="K86" s="15" t="str">
        <f>"170,0"</f>
        <v>170,0</v>
      </c>
      <c r="L86" s="17" t="str">
        <f>"129,3791"</f>
        <v>129,3791</v>
      </c>
      <c r="M86" s="15" t="s">
        <v>19</v>
      </c>
    </row>
    <row r="87" spans="1:13">
      <c r="A87" s="11" t="s">
        <v>892</v>
      </c>
      <c r="B87" s="11" t="s">
        <v>893</v>
      </c>
      <c r="C87" s="11" t="s">
        <v>894</v>
      </c>
      <c r="D87" s="11" t="str">
        <f>"0,6050"</f>
        <v>0,6050</v>
      </c>
      <c r="E87" s="11" t="s">
        <v>14</v>
      </c>
      <c r="F87" s="11" t="s">
        <v>15</v>
      </c>
      <c r="G87" s="13" t="s">
        <v>63</v>
      </c>
      <c r="H87" s="13" t="s">
        <v>64</v>
      </c>
      <c r="I87" s="13" t="s">
        <v>54</v>
      </c>
      <c r="J87" s="12"/>
      <c r="K87" s="11" t="str">
        <f>"150,0"</f>
        <v>150,0</v>
      </c>
      <c r="L87" s="13" t="str">
        <f>"113,0745"</f>
        <v>113,0745</v>
      </c>
      <c r="M87" s="11" t="s">
        <v>47</v>
      </c>
    </row>
    <row r="89" spans="1:13" ht="15">
      <c r="A89" s="26" t="s">
        <v>130</v>
      </c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</row>
    <row r="90" spans="1:13">
      <c r="A90" s="9" t="s">
        <v>896</v>
      </c>
      <c r="B90" s="9" t="s">
        <v>897</v>
      </c>
      <c r="C90" s="9" t="s">
        <v>898</v>
      </c>
      <c r="D90" s="9" t="str">
        <f>"0,5800"</f>
        <v>0,5800</v>
      </c>
      <c r="E90" s="9" t="s">
        <v>24</v>
      </c>
      <c r="F90" s="9" t="s">
        <v>267</v>
      </c>
      <c r="G90" s="14" t="s">
        <v>108</v>
      </c>
      <c r="H90" s="14" t="s">
        <v>277</v>
      </c>
      <c r="I90" s="14" t="s">
        <v>144</v>
      </c>
      <c r="J90" s="10"/>
      <c r="K90" s="9" t="str">
        <f>"200,0"</f>
        <v>200,0</v>
      </c>
      <c r="L90" s="14" t="str">
        <f>"116,0000"</f>
        <v>116,0000</v>
      </c>
      <c r="M90" s="9" t="s">
        <v>271</v>
      </c>
    </row>
    <row r="91" spans="1:13">
      <c r="A91" s="15" t="s">
        <v>899</v>
      </c>
      <c r="B91" s="15" t="s">
        <v>900</v>
      </c>
      <c r="C91" s="15" t="s">
        <v>901</v>
      </c>
      <c r="D91" s="15" t="str">
        <f>"0,5704"</f>
        <v>0,5704</v>
      </c>
      <c r="E91" s="15" t="s">
        <v>24</v>
      </c>
      <c r="F91" s="15" t="s">
        <v>902</v>
      </c>
      <c r="G91" s="17" t="s">
        <v>275</v>
      </c>
      <c r="H91" s="16" t="s">
        <v>109</v>
      </c>
      <c r="I91" s="16" t="s">
        <v>109</v>
      </c>
      <c r="J91" s="16"/>
      <c r="K91" s="15" t="str">
        <f>"182,5"</f>
        <v>182,5</v>
      </c>
      <c r="L91" s="17" t="str">
        <f>"104,0980"</f>
        <v>104,0980</v>
      </c>
      <c r="M91" s="15" t="s">
        <v>47</v>
      </c>
    </row>
    <row r="92" spans="1:13">
      <c r="A92" s="15" t="s">
        <v>903</v>
      </c>
      <c r="B92" s="15" t="s">
        <v>904</v>
      </c>
      <c r="C92" s="15" t="s">
        <v>905</v>
      </c>
      <c r="D92" s="15" t="str">
        <f>"0,5724"</f>
        <v>0,5724</v>
      </c>
      <c r="E92" s="15" t="s">
        <v>14</v>
      </c>
      <c r="F92" s="15" t="s">
        <v>15</v>
      </c>
      <c r="G92" s="17" t="s">
        <v>71</v>
      </c>
      <c r="H92" s="17" t="s">
        <v>72</v>
      </c>
      <c r="I92" s="16" t="s">
        <v>275</v>
      </c>
      <c r="J92" s="16"/>
      <c r="K92" s="15" t="str">
        <f>"180,0"</f>
        <v>180,0</v>
      </c>
      <c r="L92" s="17" t="str">
        <f>"103,0320"</f>
        <v>103,0320</v>
      </c>
      <c r="M92" s="15" t="s">
        <v>19</v>
      </c>
    </row>
    <row r="93" spans="1:13">
      <c r="A93" s="15" t="s">
        <v>906</v>
      </c>
      <c r="B93" s="15" t="s">
        <v>907</v>
      </c>
      <c r="C93" s="15" t="s">
        <v>908</v>
      </c>
      <c r="D93" s="15" t="str">
        <f>"0,5739"</f>
        <v>0,5739</v>
      </c>
      <c r="E93" s="15" t="s">
        <v>909</v>
      </c>
      <c r="F93" s="15" t="s">
        <v>910</v>
      </c>
      <c r="G93" s="17" t="s">
        <v>121</v>
      </c>
      <c r="H93" s="17" t="s">
        <v>56</v>
      </c>
      <c r="I93" s="16" t="s">
        <v>71</v>
      </c>
      <c r="J93" s="16"/>
      <c r="K93" s="15" t="str">
        <f>"170,0"</f>
        <v>170,0</v>
      </c>
      <c r="L93" s="17" t="str">
        <f>"97,5630"</f>
        <v>97,5630</v>
      </c>
      <c r="M93" s="15" t="s">
        <v>19</v>
      </c>
    </row>
    <row r="94" spans="1:13">
      <c r="A94" s="15" t="s">
        <v>911</v>
      </c>
      <c r="B94" s="15" t="s">
        <v>912</v>
      </c>
      <c r="C94" s="15" t="s">
        <v>913</v>
      </c>
      <c r="D94" s="15" t="str">
        <f>"0,5730"</f>
        <v>0,5730</v>
      </c>
      <c r="E94" s="15" t="s">
        <v>24</v>
      </c>
      <c r="F94" s="15" t="s">
        <v>267</v>
      </c>
      <c r="G94" s="17" t="s">
        <v>108</v>
      </c>
      <c r="H94" s="17" t="s">
        <v>110</v>
      </c>
      <c r="I94" s="16" t="s">
        <v>688</v>
      </c>
      <c r="J94" s="16"/>
      <c r="K94" s="15" t="str">
        <f>"195,0"</f>
        <v>195,0</v>
      </c>
      <c r="L94" s="17" t="str">
        <f>"115,1988"</f>
        <v>115,1988</v>
      </c>
      <c r="M94" s="15" t="s">
        <v>271</v>
      </c>
    </row>
    <row r="95" spans="1:13">
      <c r="A95" s="11" t="s">
        <v>899</v>
      </c>
      <c r="B95" s="11" t="s">
        <v>132</v>
      </c>
      <c r="C95" s="11" t="s">
        <v>901</v>
      </c>
      <c r="D95" s="11" t="str">
        <f>"0,5704"</f>
        <v>0,5704</v>
      </c>
      <c r="E95" s="11" t="s">
        <v>24</v>
      </c>
      <c r="F95" s="11" t="s">
        <v>902</v>
      </c>
      <c r="G95" s="13" t="s">
        <v>275</v>
      </c>
      <c r="H95" s="12" t="s">
        <v>109</v>
      </c>
      <c r="I95" s="12" t="s">
        <v>109</v>
      </c>
      <c r="J95" s="12"/>
      <c r="K95" s="11" t="str">
        <f>"182,5"</f>
        <v>182,5</v>
      </c>
      <c r="L95" s="13" t="str">
        <f>"104,0980"</f>
        <v>104,0980</v>
      </c>
      <c r="M95" s="11" t="s">
        <v>47</v>
      </c>
    </row>
    <row r="97" spans="1:13" ht="15">
      <c r="A97" s="26" t="s">
        <v>327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</row>
    <row r="98" spans="1:13">
      <c r="A98" s="9" t="s">
        <v>700</v>
      </c>
      <c r="B98" s="9" t="s">
        <v>701</v>
      </c>
      <c r="C98" s="9" t="s">
        <v>702</v>
      </c>
      <c r="D98" s="9" t="str">
        <f>"0,5589"</f>
        <v>0,5589</v>
      </c>
      <c r="E98" s="9" t="s">
        <v>14</v>
      </c>
      <c r="F98" s="9" t="s">
        <v>15</v>
      </c>
      <c r="G98" s="14" t="s">
        <v>146</v>
      </c>
      <c r="H98" s="14" t="s">
        <v>268</v>
      </c>
      <c r="I98" s="14" t="s">
        <v>269</v>
      </c>
      <c r="J98" s="10"/>
      <c r="K98" s="9" t="str">
        <f>"225,0"</f>
        <v>225,0</v>
      </c>
      <c r="L98" s="14" t="str">
        <f>"125,7525"</f>
        <v>125,7525</v>
      </c>
      <c r="M98" s="9" t="s">
        <v>47</v>
      </c>
    </row>
    <row r="99" spans="1:13">
      <c r="A99" s="11" t="s">
        <v>914</v>
      </c>
      <c r="B99" s="11" t="s">
        <v>915</v>
      </c>
      <c r="C99" s="11" t="s">
        <v>916</v>
      </c>
      <c r="D99" s="11" t="str">
        <f>"0,5594"</f>
        <v>0,5594</v>
      </c>
      <c r="E99" s="11" t="s">
        <v>14</v>
      </c>
      <c r="F99" s="11" t="s">
        <v>15</v>
      </c>
      <c r="G99" s="13" t="s">
        <v>56</v>
      </c>
      <c r="H99" s="13" t="s">
        <v>590</v>
      </c>
      <c r="I99" s="12" t="s">
        <v>275</v>
      </c>
      <c r="J99" s="12"/>
      <c r="K99" s="11" t="str">
        <f>"177,5"</f>
        <v>177,5</v>
      </c>
      <c r="L99" s="13" t="str">
        <f>"101,2794"</f>
        <v>101,2794</v>
      </c>
      <c r="M99" s="11" t="s">
        <v>917</v>
      </c>
    </row>
    <row r="101" spans="1:13" ht="15">
      <c r="A101" s="26" t="s">
        <v>139</v>
      </c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</row>
    <row r="102" spans="1:13">
      <c r="A102" s="6" t="s">
        <v>918</v>
      </c>
      <c r="B102" s="6" t="s">
        <v>919</v>
      </c>
      <c r="C102" s="6" t="s">
        <v>920</v>
      </c>
      <c r="D102" s="6" t="str">
        <f>"0,5495"</f>
        <v>0,5495</v>
      </c>
      <c r="E102" s="6" t="s">
        <v>24</v>
      </c>
      <c r="F102" s="6" t="s">
        <v>267</v>
      </c>
      <c r="G102" s="8" t="s">
        <v>121</v>
      </c>
      <c r="H102" s="8" t="s">
        <v>79</v>
      </c>
      <c r="I102" s="8" t="s">
        <v>80</v>
      </c>
      <c r="J102" s="7"/>
      <c r="K102" s="6" t="str">
        <f>"172,5"</f>
        <v>172,5</v>
      </c>
      <c r="L102" s="8" t="str">
        <f>"94,7887"</f>
        <v>94,7887</v>
      </c>
      <c r="M102" s="6" t="s">
        <v>271</v>
      </c>
    </row>
    <row r="104" spans="1:13" ht="15">
      <c r="E104" s="18" t="s">
        <v>151</v>
      </c>
    </row>
    <row r="105" spans="1:13" ht="15">
      <c r="E105" s="18" t="s">
        <v>152</v>
      </c>
    </row>
    <row r="106" spans="1:13" ht="15">
      <c r="E106" s="18" t="s">
        <v>153</v>
      </c>
    </row>
    <row r="107" spans="1:13" ht="15">
      <c r="E107" s="18" t="s">
        <v>154</v>
      </c>
    </row>
    <row r="108" spans="1:13" ht="15">
      <c r="E108" s="18" t="s">
        <v>154</v>
      </c>
    </row>
    <row r="109" spans="1:13" ht="15">
      <c r="E109" s="18" t="s">
        <v>155</v>
      </c>
    </row>
    <row r="110" spans="1:13" ht="15">
      <c r="E110" s="18"/>
    </row>
    <row r="112" spans="1:13" ht="18">
      <c r="A112" s="19" t="s">
        <v>156</v>
      </c>
      <c r="B112" s="19"/>
    </row>
    <row r="113" spans="1:5" ht="15">
      <c r="A113" s="20" t="s">
        <v>157</v>
      </c>
      <c r="B113" s="20"/>
    </row>
    <row r="114" spans="1:5" ht="14.25">
      <c r="A114" s="22"/>
      <c r="B114" s="23" t="s">
        <v>158</v>
      </c>
    </row>
    <row r="115" spans="1:5" ht="15">
      <c r="A115" s="24" t="s">
        <v>159</v>
      </c>
      <c r="B115" s="24" t="s">
        <v>160</v>
      </c>
      <c r="C115" s="24" t="s">
        <v>161</v>
      </c>
      <c r="D115" s="24" t="s">
        <v>162</v>
      </c>
      <c r="E115" s="24" t="s">
        <v>163</v>
      </c>
    </row>
    <row r="116" spans="1:5">
      <c r="A116" s="21" t="s">
        <v>749</v>
      </c>
      <c r="B116" s="5" t="s">
        <v>158</v>
      </c>
      <c r="C116" s="5" t="s">
        <v>164</v>
      </c>
      <c r="D116" s="5" t="s">
        <v>227</v>
      </c>
      <c r="E116" s="25" t="s">
        <v>922</v>
      </c>
    </row>
    <row r="119" spans="1:5" ht="15">
      <c r="A119" s="20" t="s">
        <v>165</v>
      </c>
      <c r="B119" s="20"/>
    </row>
    <row r="120" spans="1:5" ht="14.25">
      <c r="A120" s="22"/>
      <c r="B120" s="23" t="s">
        <v>158</v>
      </c>
    </row>
    <row r="121" spans="1:5" ht="15">
      <c r="A121" s="24" t="s">
        <v>159</v>
      </c>
      <c r="B121" s="24" t="s">
        <v>160</v>
      </c>
      <c r="C121" s="24" t="s">
        <v>161</v>
      </c>
      <c r="D121" s="24" t="s">
        <v>162</v>
      </c>
      <c r="E121" s="24" t="s">
        <v>163</v>
      </c>
    </row>
    <row r="122" spans="1:5">
      <c r="A122" s="21" t="s">
        <v>863</v>
      </c>
      <c r="B122" s="5" t="s">
        <v>158</v>
      </c>
      <c r="C122" s="5" t="s">
        <v>101</v>
      </c>
      <c r="D122" s="5" t="s">
        <v>268</v>
      </c>
      <c r="E122" s="25" t="s">
        <v>923</v>
      </c>
    </row>
    <row r="123" spans="1:5">
      <c r="A123" s="21" t="s">
        <v>699</v>
      </c>
      <c r="B123" s="5" t="s">
        <v>158</v>
      </c>
      <c r="C123" s="5" t="s">
        <v>63</v>
      </c>
      <c r="D123" s="5" t="s">
        <v>269</v>
      </c>
      <c r="E123" s="25" t="s">
        <v>924</v>
      </c>
    </row>
    <row r="124" spans="1:5">
      <c r="A124" s="21" t="s">
        <v>895</v>
      </c>
      <c r="B124" s="5" t="s">
        <v>158</v>
      </c>
      <c r="C124" s="5" t="s">
        <v>137</v>
      </c>
      <c r="D124" s="5" t="s">
        <v>144</v>
      </c>
      <c r="E124" s="25" t="s">
        <v>925</v>
      </c>
    </row>
    <row r="126" spans="1:5" ht="14.25">
      <c r="A126" s="22"/>
      <c r="B126" s="23" t="s">
        <v>173</v>
      </c>
    </row>
    <row r="127" spans="1:5" ht="15">
      <c r="A127" s="24" t="s">
        <v>159</v>
      </c>
      <c r="B127" s="24" t="s">
        <v>160</v>
      </c>
      <c r="C127" s="24" t="s">
        <v>161</v>
      </c>
      <c r="D127" s="24" t="s">
        <v>162</v>
      </c>
      <c r="E127" s="24" t="s">
        <v>163</v>
      </c>
    </row>
    <row r="128" spans="1:5">
      <c r="A128" s="21" t="s">
        <v>887</v>
      </c>
      <c r="B128" s="5" t="s">
        <v>174</v>
      </c>
      <c r="C128" s="5" t="s">
        <v>101</v>
      </c>
      <c r="D128" s="5" t="s">
        <v>56</v>
      </c>
      <c r="E128" s="25" t="s">
        <v>926</v>
      </c>
    </row>
    <row r="129" spans="1:5">
      <c r="A129" s="21" t="s">
        <v>830</v>
      </c>
      <c r="B129" s="5" t="s">
        <v>174</v>
      </c>
      <c r="C129" s="5" t="s">
        <v>170</v>
      </c>
      <c r="D129" s="5" t="s">
        <v>311</v>
      </c>
      <c r="E129" s="25" t="s">
        <v>927</v>
      </c>
    </row>
    <row r="130" spans="1:5">
      <c r="A130" s="21" t="s">
        <v>808</v>
      </c>
      <c r="B130" s="5" t="s">
        <v>176</v>
      </c>
      <c r="C130" s="5" t="s">
        <v>172</v>
      </c>
      <c r="D130" s="5" t="s">
        <v>138</v>
      </c>
      <c r="E130" s="25" t="s">
        <v>928</v>
      </c>
    </row>
  </sheetData>
  <mergeCells count="28">
    <mergeCell ref="A97:L97"/>
    <mergeCell ref="A101:L101"/>
    <mergeCell ref="A41:L41"/>
    <mergeCell ref="A49:L49"/>
    <mergeCell ref="A58:L58"/>
    <mergeCell ref="A67:L67"/>
    <mergeCell ref="A77:L77"/>
    <mergeCell ref="A89:L89"/>
    <mergeCell ref="A36:L36"/>
    <mergeCell ref="K3:K4"/>
    <mergeCell ref="L3:L4"/>
    <mergeCell ref="M3:M4"/>
    <mergeCell ref="A5:L5"/>
    <mergeCell ref="A8:L8"/>
    <mergeCell ref="A11:L11"/>
    <mergeCell ref="A16:L16"/>
    <mergeCell ref="A21:L21"/>
    <mergeCell ref="A25:L25"/>
    <mergeCell ref="A29:L29"/>
    <mergeCell ref="A33:L33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7"/>
  <sheetViews>
    <sheetView topLeftCell="A49" workbookViewId="0">
      <selection activeCell="A85" sqref="A85"/>
    </sheetView>
  </sheetViews>
  <sheetFormatPr defaultRowHeight="12.75"/>
  <cols>
    <col min="1" max="1" width="26" style="5" bestFit="1" customWidth="1"/>
    <col min="2" max="2" width="29.7109375" style="5" bestFit="1" customWidth="1"/>
    <col min="3" max="3" width="10.5703125" style="5" bestFit="1" customWidth="1"/>
    <col min="4" max="4" width="8.42578125" style="5" bestFit="1" customWidth="1"/>
    <col min="5" max="5" width="22.7109375" style="5" bestFit="1" customWidth="1"/>
    <col min="6" max="6" width="37.28515625" style="5" bestFit="1" customWidth="1"/>
    <col min="7" max="9" width="5.5703125" style="4" bestFit="1" customWidth="1"/>
    <col min="10" max="10" width="4.85546875" style="4" bestFit="1" customWidth="1"/>
    <col min="11" max="11" width="11.5703125" style="5" customWidth="1"/>
    <col min="12" max="12" width="8.5703125" style="4" bestFit="1" customWidth="1"/>
    <col min="13" max="13" width="26.85546875" style="5" bestFit="1" customWidth="1"/>
    <col min="14" max="16384" width="9.140625" style="4"/>
  </cols>
  <sheetData>
    <row r="1" spans="1:13" s="3" customFormat="1" ht="29.1" customHeight="1">
      <c r="A1" s="30" t="s">
        <v>956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3" customFormat="1" ht="62.1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2.75" customHeight="1">
      <c r="A3" s="36" t="s">
        <v>0</v>
      </c>
      <c r="B3" s="38" t="s">
        <v>6</v>
      </c>
      <c r="C3" s="38" t="s">
        <v>8</v>
      </c>
      <c r="D3" s="27" t="s">
        <v>9</v>
      </c>
      <c r="E3" s="27" t="s">
        <v>4</v>
      </c>
      <c r="F3" s="27" t="s">
        <v>7</v>
      </c>
      <c r="G3" s="27" t="s">
        <v>1</v>
      </c>
      <c r="H3" s="27"/>
      <c r="I3" s="27"/>
      <c r="J3" s="27"/>
      <c r="K3" s="27" t="s">
        <v>181</v>
      </c>
      <c r="L3" s="27" t="s">
        <v>3</v>
      </c>
      <c r="M3" s="39" t="s">
        <v>2</v>
      </c>
    </row>
    <row r="4" spans="1:13" s="1" customFormat="1" ht="21" customHeight="1" thickBot="1">
      <c r="A4" s="37"/>
      <c r="B4" s="28"/>
      <c r="C4" s="28"/>
      <c r="D4" s="28"/>
      <c r="E4" s="28"/>
      <c r="F4" s="28"/>
      <c r="G4" s="2">
        <v>1</v>
      </c>
      <c r="H4" s="2">
        <v>2</v>
      </c>
      <c r="I4" s="2">
        <v>3</v>
      </c>
      <c r="J4" s="2" t="s">
        <v>5</v>
      </c>
      <c r="K4" s="28"/>
      <c r="L4" s="28"/>
      <c r="M4" s="40"/>
    </row>
    <row r="5" spans="1:13" ht="15">
      <c r="A5" s="29" t="s">
        <v>395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3">
      <c r="A6" s="6" t="s">
        <v>396</v>
      </c>
      <c r="B6" s="6" t="s">
        <v>397</v>
      </c>
      <c r="C6" s="6" t="s">
        <v>398</v>
      </c>
      <c r="D6" s="6" t="str">
        <f>"1,3511"</f>
        <v>1,3511</v>
      </c>
      <c r="E6" s="6" t="s">
        <v>399</v>
      </c>
      <c r="F6" s="6" t="s">
        <v>400</v>
      </c>
      <c r="G6" s="8" t="s">
        <v>40</v>
      </c>
      <c r="H6" s="7" t="s">
        <v>26</v>
      </c>
      <c r="I6" s="7" t="s">
        <v>26</v>
      </c>
      <c r="J6" s="7"/>
      <c r="K6" s="6" t="str">
        <f>"40,0"</f>
        <v>40,0</v>
      </c>
      <c r="L6" s="8" t="str">
        <f>"54,0440"</f>
        <v>54,0440</v>
      </c>
      <c r="M6" s="6" t="s">
        <v>401</v>
      </c>
    </row>
    <row r="8" spans="1:13" ht="15">
      <c r="A8" s="26" t="s">
        <v>402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3">
      <c r="A9" s="6" t="s">
        <v>403</v>
      </c>
      <c r="B9" s="6" t="s">
        <v>404</v>
      </c>
      <c r="C9" s="6" t="s">
        <v>405</v>
      </c>
      <c r="D9" s="6" t="str">
        <f>"1,2560"</f>
        <v>1,2560</v>
      </c>
      <c r="E9" s="6" t="s">
        <v>399</v>
      </c>
      <c r="F9" s="6" t="s">
        <v>400</v>
      </c>
      <c r="G9" s="8" t="s">
        <v>28</v>
      </c>
      <c r="H9" s="8" t="s">
        <v>406</v>
      </c>
      <c r="I9" s="7" t="s">
        <v>407</v>
      </c>
      <c r="J9" s="7"/>
      <c r="K9" s="6" t="str">
        <f>"57,5"</f>
        <v>57,5</v>
      </c>
      <c r="L9" s="8" t="str">
        <f>"72,2200"</f>
        <v>72,2200</v>
      </c>
      <c r="M9" s="6" t="s">
        <v>401</v>
      </c>
    </row>
    <row r="11" spans="1:13" ht="15">
      <c r="A11" s="26" t="s">
        <v>20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13">
      <c r="A12" s="9" t="s">
        <v>408</v>
      </c>
      <c r="B12" s="9" t="s">
        <v>409</v>
      </c>
      <c r="C12" s="9" t="s">
        <v>410</v>
      </c>
      <c r="D12" s="9" t="str">
        <f>"1,1866"</f>
        <v>1,1866</v>
      </c>
      <c r="E12" s="9" t="s">
        <v>14</v>
      </c>
      <c r="F12" s="9" t="s">
        <v>15</v>
      </c>
      <c r="G12" s="14" t="s">
        <v>407</v>
      </c>
      <c r="H12" s="14" t="s">
        <v>34</v>
      </c>
      <c r="I12" s="10" t="s">
        <v>411</v>
      </c>
      <c r="J12" s="10"/>
      <c r="K12" s="9" t="str">
        <f>"65,0"</f>
        <v>65,0</v>
      </c>
      <c r="L12" s="14" t="str">
        <f>"77,1290"</f>
        <v>77,1290</v>
      </c>
      <c r="M12" s="9" t="s">
        <v>412</v>
      </c>
    </row>
    <row r="13" spans="1:13">
      <c r="A13" s="11" t="s">
        <v>413</v>
      </c>
      <c r="B13" s="11" t="s">
        <v>414</v>
      </c>
      <c r="C13" s="11" t="s">
        <v>415</v>
      </c>
      <c r="D13" s="11" t="str">
        <f>"1,1766"</f>
        <v>1,1766</v>
      </c>
      <c r="E13" s="11" t="s">
        <v>14</v>
      </c>
      <c r="F13" s="11" t="s">
        <v>15</v>
      </c>
      <c r="G13" s="12" t="s">
        <v>26</v>
      </c>
      <c r="H13" s="13" t="s">
        <v>416</v>
      </c>
      <c r="I13" s="12" t="s">
        <v>27</v>
      </c>
      <c r="J13" s="12"/>
      <c r="K13" s="11" t="str">
        <f>"47,5"</f>
        <v>47,5</v>
      </c>
      <c r="L13" s="13" t="str">
        <f>"55,8885"</f>
        <v>55,8885</v>
      </c>
      <c r="M13" s="11" t="s">
        <v>47</v>
      </c>
    </row>
    <row r="15" spans="1:13" ht="15">
      <c r="A15" s="26" t="s">
        <v>10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1:13">
      <c r="A16" s="9" t="s">
        <v>417</v>
      </c>
      <c r="B16" s="9" t="s">
        <v>418</v>
      </c>
      <c r="C16" s="9" t="s">
        <v>419</v>
      </c>
      <c r="D16" s="9" t="str">
        <f>"1,1251"</f>
        <v>1,1251</v>
      </c>
      <c r="E16" s="9" t="s">
        <v>399</v>
      </c>
      <c r="F16" s="9" t="s">
        <v>400</v>
      </c>
      <c r="G16" s="14" t="s">
        <v>16</v>
      </c>
      <c r="H16" s="10" t="s">
        <v>17</v>
      </c>
      <c r="I16" s="10" t="s">
        <v>17</v>
      </c>
      <c r="J16" s="10"/>
      <c r="K16" s="9" t="str">
        <f>"70,0"</f>
        <v>70,0</v>
      </c>
      <c r="L16" s="14" t="str">
        <f>"78,7570"</f>
        <v>78,7570</v>
      </c>
      <c r="M16" s="9" t="s">
        <v>401</v>
      </c>
    </row>
    <row r="17" spans="1:13">
      <c r="A17" s="15" t="s">
        <v>421</v>
      </c>
      <c r="B17" s="15" t="s">
        <v>422</v>
      </c>
      <c r="C17" s="15" t="s">
        <v>423</v>
      </c>
      <c r="D17" s="15" t="str">
        <f>"1,1236"</f>
        <v>1,1236</v>
      </c>
      <c r="E17" s="15" t="s">
        <v>14</v>
      </c>
      <c r="F17" s="15" t="s">
        <v>15</v>
      </c>
      <c r="G17" s="17" t="s">
        <v>411</v>
      </c>
      <c r="H17" s="16" t="s">
        <v>18</v>
      </c>
      <c r="I17" s="16" t="s">
        <v>18</v>
      </c>
      <c r="J17" s="16"/>
      <c r="K17" s="15" t="str">
        <f>"72,5"</f>
        <v>72,5</v>
      </c>
      <c r="L17" s="17" t="str">
        <f>"81,4610"</f>
        <v>81,4610</v>
      </c>
      <c r="M17" s="15" t="s">
        <v>424</v>
      </c>
    </row>
    <row r="18" spans="1:13">
      <c r="A18" s="15" t="s">
        <v>425</v>
      </c>
      <c r="B18" s="15" t="s">
        <v>426</v>
      </c>
      <c r="C18" s="15" t="s">
        <v>427</v>
      </c>
      <c r="D18" s="15" t="str">
        <f>"1,1386"</f>
        <v>1,1386</v>
      </c>
      <c r="E18" s="15" t="s">
        <v>14</v>
      </c>
      <c r="F18" s="15" t="s">
        <v>15</v>
      </c>
      <c r="G18" s="17" t="s">
        <v>164</v>
      </c>
      <c r="H18" s="16" t="s">
        <v>46</v>
      </c>
      <c r="I18" s="16" t="s">
        <v>46</v>
      </c>
      <c r="J18" s="16"/>
      <c r="K18" s="15" t="str">
        <f>"60,0"</f>
        <v>60,0</v>
      </c>
      <c r="L18" s="17" t="str">
        <f>"68,3160"</f>
        <v>68,3160</v>
      </c>
      <c r="M18" s="15" t="s">
        <v>428</v>
      </c>
    </row>
    <row r="19" spans="1:13">
      <c r="A19" s="11" t="s">
        <v>429</v>
      </c>
      <c r="B19" s="11" t="s">
        <v>430</v>
      </c>
      <c r="C19" s="11" t="s">
        <v>431</v>
      </c>
      <c r="D19" s="11" t="str">
        <f>"1,1266"</f>
        <v>1,1266</v>
      </c>
      <c r="E19" s="11" t="s">
        <v>14</v>
      </c>
      <c r="F19" s="11" t="s">
        <v>15</v>
      </c>
      <c r="G19" s="13" t="s">
        <v>164</v>
      </c>
      <c r="H19" s="12" t="s">
        <v>407</v>
      </c>
      <c r="I19" s="12" t="s">
        <v>407</v>
      </c>
      <c r="J19" s="12"/>
      <c r="K19" s="11" t="str">
        <f>"60,0"</f>
        <v>60,0</v>
      </c>
      <c r="L19" s="13" t="str">
        <f>"78,7493"</f>
        <v>78,7493</v>
      </c>
      <c r="M19" s="11" t="s">
        <v>432</v>
      </c>
    </row>
    <row r="21" spans="1:13" ht="15">
      <c r="A21" s="26" t="s">
        <v>30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1:13">
      <c r="A22" s="6" t="s">
        <v>433</v>
      </c>
      <c r="B22" s="6" t="s">
        <v>434</v>
      </c>
      <c r="C22" s="6" t="s">
        <v>435</v>
      </c>
      <c r="D22" s="6" t="str">
        <f>"1,0228"</f>
        <v>1,0228</v>
      </c>
      <c r="E22" s="6" t="s">
        <v>24</v>
      </c>
      <c r="F22" s="6" t="s">
        <v>436</v>
      </c>
      <c r="G22" s="7" t="s">
        <v>407</v>
      </c>
      <c r="H22" s="7" t="s">
        <v>407</v>
      </c>
      <c r="I22" s="7" t="s">
        <v>407</v>
      </c>
      <c r="J22" s="7"/>
      <c r="K22" s="6" t="str">
        <f>"0,0"</f>
        <v>0,0</v>
      </c>
      <c r="L22" s="8" t="str">
        <f>"0,0000"</f>
        <v>0,0000</v>
      </c>
      <c r="M22" s="6" t="s">
        <v>437</v>
      </c>
    </row>
    <row r="24" spans="1:13" ht="15">
      <c r="A24" s="26" t="s">
        <v>42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13">
      <c r="A25" s="6" t="s">
        <v>438</v>
      </c>
      <c r="B25" s="6" t="s">
        <v>439</v>
      </c>
      <c r="C25" s="6" t="s">
        <v>440</v>
      </c>
      <c r="D25" s="6" t="str">
        <f>"0,9538"</f>
        <v>0,9538</v>
      </c>
      <c r="E25" s="6" t="s">
        <v>14</v>
      </c>
      <c r="F25" s="6" t="s">
        <v>15</v>
      </c>
      <c r="G25" s="7" t="s">
        <v>441</v>
      </c>
      <c r="H25" s="7" t="s">
        <v>441</v>
      </c>
      <c r="I25" s="7" t="s">
        <v>441</v>
      </c>
      <c r="J25" s="7"/>
      <c r="K25" s="6" t="str">
        <f>"0,0"</f>
        <v>0,0</v>
      </c>
      <c r="L25" s="8" t="str">
        <f>"0,0000"</f>
        <v>0,0000</v>
      </c>
      <c r="M25" s="6" t="s">
        <v>122</v>
      </c>
    </row>
    <row r="27" spans="1:13" ht="15">
      <c r="A27" s="26" t="s">
        <v>49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  <row r="28" spans="1:13">
      <c r="A28" s="6" t="s">
        <v>442</v>
      </c>
      <c r="B28" s="6" t="s">
        <v>443</v>
      </c>
      <c r="C28" s="6" t="s">
        <v>192</v>
      </c>
      <c r="D28" s="6" t="str">
        <f>"0,9106"</f>
        <v>0,9106</v>
      </c>
      <c r="E28" s="6" t="s">
        <v>24</v>
      </c>
      <c r="F28" s="6" t="s">
        <v>444</v>
      </c>
      <c r="G28" s="7" t="s">
        <v>164</v>
      </c>
      <c r="H28" s="8" t="s">
        <v>164</v>
      </c>
      <c r="I28" s="7" t="s">
        <v>34</v>
      </c>
      <c r="J28" s="7"/>
      <c r="K28" s="6" t="str">
        <f>"60,0"</f>
        <v>60,0</v>
      </c>
      <c r="L28" s="8" t="str">
        <f>"64,6890"</f>
        <v>64,6890</v>
      </c>
      <c r="M28" s="6" t="s">
        <v>437</v>
      </c>
    </row>
    <row r="30" spans="1:13" ht="15">
      <c r="A30" s="26" t="s">
        <v>10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1:13">
      <c r="A31" s="9" t="s">
        <v>445</v>
      </c>
      <c r="B31" s="9" t="s">
        <v>446</v>
      </c>
      <c r="C31" s="9" t="s">
        <v>447</v>
      </c>
      <c r="D31" s="9" t="str">
        <f>"0,8904"</f>
        <v>0,8904</v>
      </c>
      <c r="E31" s="9" t="s">
        <v>14</v>
      </c>
      <c r="F31" s="9" t="s">
        <v>15</v>
      </c>
      <c r="G31" s="14" t="s">
        <v>167</v>
      </c>
      <c r="H31" s="10" t="s">
        <v>194</v>
      </c>
      <c r="I31" s="10"/>
      <c r="J31" s="10"/>
      <c r="K31" s="9" t="str">
        <f>"100,0"</f>
        <v>100,0</v>
      </c>
      <c r="L31" s="14" t="str">
        <f>"89,0400"</f>
        <v>89,0400</v>
      </c>
      <c r="M31" s="9" t="s">
        <v>19</v>
      </c>
    </row>
    <row r="32" spans="1:13">
      <c r="A32" s="11" t="s">
        <v>448</v>
      </c>
      <c r="B32" s="11" t="s">
        <v>449</v>
      </c>
      <c r="C32" s="11" t="s">
        <v>450</v>
      </c>
      <c r="D32" s="11" t="str">
        <f>"0,8802"</f>
        <v>0,8802</v>
      </c>
      <c r="E32" s="11" t="s">
        <v>24</v>
      </c>
      <c r="F32" s="11" t="s">
        <v>451</v>
      </c>
      <c r="G32" s="13" t="s">
        <v>170</v>
      </c>
      <c r="H32" s="13" t="s">
        <v>452</v>
      </c>
      <c r="I32" s="12" t="s">
        <v>194</v>
      </c>
      <c r="J32" s="12"/>
      <c r="K32" s="11" t="str">
        <f>"97,5"</f>
        <v>97,5</v>
      </c>
      <c r="L32" s="13" t="str">
        <f>"85,8195"</f>
        <v>85,8195</v>
      </c>
      <c r="M32" s="11" t="s">
        <v>453</v>
      </c>
    </row>
    <row r="34" spans="1:13" ht="15">
      <c r="A34" s="26" t="s">
        <v>30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</row>
    <row r="35" spans="1:13">
      <c r="A35" s="9" t="s">
        <v>454</v>
      </c>
      <c r="B35" s="9" t="s">
        <v>455</v>
      </c>
      <c r="C35" s="9" t="s">
        <v>456</v>
      </c>
      <c r="D35" s="9" t="str">
        <f>"0,8014"</f>
        <v>0,8014</v>
      </c>
      <c r="E35" s="9" t="s">
        <v>14</v>
      </c>
      <c r="F35" s="9" t="s">
        <v>15</v>
      </c>
      <c r="G35" s="14" t="s">
        <v>26</v>
      </c>
      <c r="H35" s="14" t="s">
        <v>416</v>
      </c>
      <c r="I35" s="14" t="s">
        <v>457</v>
      </c>
      <c r="J35" s="10"/>
      <c r="K35" s="9" t="str">
        <f>"55,0"</f>
        <v>55,0</v>
      </c>
      <c r="L35" s="14" t="str">
        <f>"44,0770"</f>
        <v>44,0770</v>
      </c>
      <c r="M35" s="9" t="s">
        <v>57</v>
      </c>
    </row>
    <row r="36" spans="1:13">
      <c r="A36" s="15" t="s">
        <v>458</v>
      </c>
      <c r="B36" s="15" t="s">
        <v>459</v>
      </c>
      <c r="C36" s="15" t="s">
        <v>460</v>
      </c>
      <c r="D36" s="15" t="str">
        <f>"0,7993"</f>
        <v>0,7993</v>
      </c>
      <c r="E36" s="15" t="s">
        <v>24</v>
      </c>
      <c r="F36" s="15" t="s">
        <v>461</v>
      </c>
      <c r="G36" s="17" t="s">
        <v>167</v>
      </c>
      <c r="H36" s="17" t="s">
        <v>215</v>
      </c>
      <c r="I36" s="16" t="s">
        <v>101</v>
      </c>
      <c r="J36" s="16"/>
      <c r="K36" s="15" t="str">
        <f>"107,5"</f>
        <v>107,5</v>
      </c>
      <c r="L36" s="17" t="str">
        <f>"85,9248"</f>
        <v>85,9248</v>
      </c>
      <c r="M36" s="15" t="s">
        <v>462</v>
      </c>
    </row>
    <row r="37" spans="1:13">
      <c r="A37" s="15" t="s">
        <v>463</v>
      </c>
      <c r="B37" s="15" t="s">
        <v>464</v>
      </c>
      <c r="C37" s="15" t="s">
        <v>465</v>
      </c>
      <c r="D37" s="15" t="str">
        <f>"0,7785"</f>
        <v>0,7785</v>
      </c>
      <c r="E37" s="15" t="s">
        <v>14</v>
      </c>
      <c r="F37" s="15" t="s">
        <v>15</v>
      </c>
      <c r="G37" s="17" t="s">
        <v>167</v>
      </c>
      <c r="H37" s="16" t="s">
        <v>194</v>
      </c>
      <c r="I37" s="16"/>
      <c r="J37" s="16"/>
      <c r="K37" s="15" t="str">
        <f>"100,0"</f>
        <v>100,0</v>
      </c>
      <c r="L37" s="17" t="str">
        <f>"77,8500"</f>
        <v>77,8500</v>
      </c>
      <c r="M37" s="15" t="s">
        <v>19</v>
      </c>
    </row>
    <row r="38" spans="1:13">
      <c r="A38" s="15" t="s">
        <v>466</v>
      </c>
      <c r="B38" s="15" t="s">
        <v>467</v>
      </c>
      <c r="C38" s="15" t="s">
        <v>468</v>
      </c>
      <c r="D38" s="15" t="str">
        <f>"0,7922"</f>
        <v>0,7922</v>
      </c>
      <c r="E38" s="15" t="s">
        <v>14</v>
      </c>
      <c r="F38" s="15" t="s">
        <v>15</v>
      </c>
      <c r="G38" s="17" t="s">
        <v>469</v>
      </c>
      <c r="H38" s="16" t="s">
        <v>137</v>
      </c>
      <c r="I38" s="16" t="s">
        <v>137</v>
      </c>
      <c r="J38" s="16"/>
      <c r="K38" s="15" t="str">
        <f>"117,5"</f>
        <v>117,5</v>
      </c>
      <c r="L38" s="17" t="str">
        <f>"93,0835"</f>
        <v>93,0835</v>
      </c>
      <c r="M38" s="15" t="s">
        <v>47</v>
      </c>
    </row>
    <row r="39" spans="1:13">
      <c r="A39" s="15" t="s">
        <v>470</v>
      </c>
      <c r="B39" s="15" t="s">
        <v>471</v>
      </c>
      <c r="C39" s="15" t="s">
        <v>472</v>
      </c>
      <c r="D39" s="15" t="str">
        <f>"0,7862"</f>
        <v>0,7862</v>
      </c>
      <c r="E39" s="15" t="s">
        <v>14</v>
      </c>
      <c r="F39" s="15" t="s">
        <v>15</v>
      </c>
      <c r="G39" s="17" t="s">
        <v>210</v>
      </c>
      <c r="H39" s="17" t="s">
        <v>215</v>
      </c>
      <c r="I39" s="17" t="s">
        <v>101</v>
      </c>
      <c r="J39" s="16"/>
      <c r="K39" s="15" t="str">
        <f>"110,0"</f>
        <v>110,0</v>
      </c>
      <c r="L39" s="17" t="str">
        <f>"86,4820"</f>
        <v>86,4820</v>
      </c>
      <c r="M39" s="15" t="s">
        <v>47</v>
      </c>
    </row>
    <row r="40" spans="1:13">
      <c r="A40" s="15" t="s">
        <v>473</v>
      </c>
      <c r="B40" s="15" t="s">
        <v>474</v>
      </c>
      <c r="C40" s="15" t="s">
        <v>475</v>
      </c>
      <c r="D40" s="15" t="str">
        <f>"0,7813"</f>
        <v>0,7813</v>
      </c>
      <c r="E40" s="15" t="s">
        <v>14</v>
      </c>
      <c r="F40" s="15" t="s">
        <v>15</v>
      </c>
      <c r="G40" s="17" t="s">
        <v>476</v>
      </c>
      <c r="H40" s="16" t="s">
        <v>452</v>
      </c>
      <c r="I40" s="17" t="s">
        <v>452</v>
      </c>
      <c r="J40" s="16"/>
      <c r="K40" s="15" t="str">
        <f>"97,5"</f>
        <v>97,5</v>
      </c>
      <c r="L40" s="17" t="str">
        <f>"76,1768"</f>
        <v>76,1768</v>
      </c>
      <c r="M40" s="15" t="s">
        <v>477</v>
      </c>
    </row>
    <row r="41" spans="1:13">
      <c r="A41" s="11" t="s">
        <v>478</v>
      </c>
      <c r="B41" s="11" t="s">
        <v>479</v>
      </c>
      <c r="C41" s="11" t="s">
        <v>480</v>
      </c>
      <c r="D41" s="11" t="str">
        <f>"0,7756"</f>
        <v>0,7756</v>
      </c>
      <c r="E41" s="11" t="s">
        <v>14</v>
      </c>
      <c r="F41" s="11" t="s">
        <v>15</v>
      </c>
      <c r="G41" s="12" t="s">
        <v>411</v>
      </c>
      <c r="H41" s="12" t="s">
        <v>411</v>
      </c>
      <c r="I41" s="13" t="s">
        <v>411</v>
      </c>
      <c r="J41" s="12"/>
      <c r="K41" s="11" t="str">
        <f>"72,5"</f>
        <v>72,5</v>
      </c>
      <c r="L41" s="13" t="str">
        <f>"56,2310"</f>
        <v>56,2310</v>
      </c>
      <c r="M41" s="11" t="s">
        <v>47</v>
      </c>
    </row>
    <row r="43" spans="1:13" ht="15">
      <c r="A43" s="26" t="s">
        <v>42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</row>
    <row r="44" spans="1:13">
      <c r="A44" s="9" t="s">
        <v>482</v>
      </c>
      <c r="B44" s="9" t="s">
        <v>483</v>
      </c>
      <c r="C44" s="9" t="s">
        <v>203</v>
      </c>
      <c r="D44" s="9" t="str">
        <f>"0,7126"</f>
        <v>0,7126</v>
      </c>
      <c r="E44" s="9" t="s">
        <v>24</v>
      </c>
      <c r="F44" s="9" t="s">
        <v>115</v>
      </c>
      <c r="G44" s="14" t="s">
        <v>205</v>
      </c>
      <c r="H44" s="14" t="s">
        <v>484</v>
      </c>
      <c r="I44" s="10" t="s">
        <v>485</v>
      </c>
      <c r="J44" s="10"/>
      <c r="K44" s="9" t="str">
        <f>"132,5"</f>
        <v>132,5</v>
      </c>
      <c r="L44" s="14" t="str">
        <f>"94,4195"</f>
        <v>94,4195</v>
      </c>
      <c r="M44" s="9" t="s">
        <v>122</v>
      </c>
    </row>
    <row r="45" spans="1:13">
      <c r="A45" s="15" t="s">
        <v>486</v>
      </c>
      <c r="B45" s="15" t="s">
        <v>487</v>
      </c>
      <c r="C45" s="15" t="s">
        <v>488</v>
      </c>
      <c r="D45" s="15" t="str">
        <f>"0,7159"</f>
        <v>0,7159</v>
      </c>
      <c r="E45" s="15" t="s">
        <v>24</v>
      </c>
      <c r="F45" s="15" t="s">
        <v>489</v>
      </c>
      <c r="G45" s="17" t="s">
        <v>170</v>
      </c>
      <c r="H45" s="17" t="s">
        <v>167</v>
      </c>
      <c r="I45" s="16" t="s">
        <v>210</v>
      </c>
      <c r="J45" s="16"/>
      <c r="K45" s="15" t="str">
        <f>"100,0"</f>
        <v>100,0</v>
      </c>
      <c r="L45" s="17" t="str">
        <f>"71,5900"</f>
        <v>71,5900</v>
      </c>
      <c r="M45" s="15" t="s">
        <v>490</v>
      </c>
    </row>
    <row r="46" spans="1:13">
      <c r="A46" s="15" t="s">
        <v>491</v>
      </c>
      <c r="B46" s="15" t="s">
        <v>492</v>
      </c>
      <c r="C46" s="15" t="s">
        <v>493</v>
      </c>
      <c r="D46" s="15" t="str">
        <f>"0,7300"</f>
        <v>0,7300</v>
      </c>
      <c r="E46" s="15" t="s">
        <v>14</v>
      </c>
      <c r="F46" s="15" t="s">
        <v>15</v>
      </c>
      <c r="G46" s="17" t="s">
        <v>16</v>
      </c>
      <c r="H46" s="16" t="s">
        <v>17</v>
      </c>
      <c r="I46" s="16" t="s">
        <v>17</v>
      </c>
      <c r="J46" s="16"/>
      <c r="K46" s="15" t="str">
        <f>"70,0"</f>
        <v>70,0</v>
      </c>
      <c r="L46" s="17" t="str">
        <f>"51,1000"</f>
        <v>51,1000</v>
      </c>
      <c r="M46" s="15" t="s">
        <v>494</v>
      </c>
    </row>
    <row r="47" spans="1:13">
      <c r="A47" s="15" t="s">
        <v>495</v>
      </c>
      <c r="B47" s="15" t="s">
        <v>496</v>
      </c>
      <c r="C47" s="15" t="s">
        <v>497</v>
      </c>
      <c r="D47" s="15" t="str">
        <f>"0,7278"</f>
        <v>0,7278</v>
      </c>
      <c r="E47" s="15" t="s">
        <v>399</v>
      </c>
      <c r="F47" s="15" t="s">
        <v>400</v>
      </c>
      <c r="G47" s="17" t="s">
        <v>204</v>
      </c>
      <c r="H47" s="17" t="s">
        <v>469</v>
      </c>
      <c r="I47" s="17" t="s">
        <v>205</v>
      </c>
      <c r="J47" s="16"/>
      <c r="K47" s="15" t="str">
        <f>"120,0"</f>
        <v>120,0</v>
      </c>
      <c r="L47" s="17" t="str">
        <f>"87,3360"</f>
        <v>87,3360</v>
      </c>
      <c r="M47" s="15" t="s">
        <v>401</v>
      </c>
    </row>
    <row r="48" spans="1:13">
      <c r="A48" s="15" t="s">
        <v>498</v>
      </c>
      <c r="B48" s="15" t="s">
        <v>499</v>
      </c>
      <c r="C48" s="15" t="s">
        <v>500</v>
      </c>
      <c r="D48" s="15" t="str">
        <f>"0,7214"</f>
        <v>0,7214</v>
      </c>
      <c r="E48" s="15" t="s">
        <v>14</v>
      </c>
      <c r="F48" s="15" t="s">
        <v>15</v>
      </c>
      <c r="G48" s="17" t="s">
        <v>167</v>
      </c>
      <c r="H48" s="17" t="s">
        <v>101</v>
      </c>
      <c r="I48" s="17" t="s">
        <v>469</v>
      </c>
      <c r="J48" s="16"/>
      <c r="K48" s="15" t="str">
        <f>"117,5"</f>
        <v>117,5</v>
      </c>
      <c r="L48" s="17" t="str">
        <f>"84,7645"</f>
        <v>84,7645</v>
      </c>
      <c r="M48" s="15" t="s">
        <v>19</v>
      </c>
    </row>
    <row r="49" spans="1:13">
      <c r="A49" s="15" t="s">
        <v>501</v>
      </c>
      <c r="B49" s="15" t="s">
        <v>502</v>
      </c>
      <c r="C49" s="15" t="s">
        <v>503</v>
      </c>
      <c r="D49" s="15" t="str">
        <f>"0,7207"</f>
        <v>0,7207</v>
      </c>
      <c r="E49" s="15" t="s">
        <v>399</v>
      </c>
      <c r="F49" s="15" t="s">
        <v>400</v>
      </c>
      <c r="G49" s="17" t="s">
        <v>63</v>
      </c>
      <c r="H49" s="17" t="s">
        <v>241</v>
      </c>
      <c r="I49" s="16" t="s">
        <v>311</v>
      </c>
      <c r="J49" s="16"/>
      <c r="K49" s="15" t="str">
        <f>"147,5"</f>
        <v>147,5</v>
      </c>
      <c r="L49" s="17" t="str">
        <f>"106,3033"</f>
        <v>106,3033</v>
      </c>
      <c r="M49" s="15" t="s">
        <v>401</v>
      </c>
    </row>
    <row r="50" spans="1:13">
      <c r="A50" s="15" t="s">
        <v>504</v>
      </c>
      <c r="B50" s="15" t="s">
        <v>505</v>
      </c>
      <c r="C50" s="15" t="s">
        <v>506</v>
      </c>
      <c r="D50" s="15" t="str">
        <f>"0,7285"</f>
        <v>0,7285</v>
      </c>
      <c r="E50" s="15" t="s">
        <v>316</v>
      </c>
      <c r="F50" s="15" t="s">
        <v>317</v>
      </c>
      <c r="G50" s="17" t="s">
        <v>205</v>
      </c>
      <c r="H50" s="16" t="s">
        <v>484</v>
      </c>
      <c r="I50" s="16" t="s">
        <v>484</v>
      </c>
      <c r="J50" s="16"/>
      <c r="K50" s="15" t="str">
        <f>"120,0"</f>
        <v>120,0</v>
      </c>
      <c r="L50" s="17" t="str">
        <f>"87,4200"</f>
        <v>87,4200</v>
      </c>
      <c r="M50" s="15" t="s">
        <v>47</v>
      </c>
    </row>
    <row r="51" spans="1:13">
      <c r="A51" s="15" t="s">
        <v>507</v>
      </c>
      <c r="B51" s="15" t="s">
        <v>508</v>
      </c>
      <c r="C51" s="15" t="s">
        <v>509</v>
      </c>
      <c r="D51" s="15" t="str">
        <f>"0,7200"</f>
        <v>0,7200</v>
      </c>
      <c r="E51" s="15" t="s">
        <v>14</v>
      </c>
      <c r="F51" s="15" t="s">
        <v>15</v>
      </c>
      <c r="G51" s="17" t="s">
        <v>210</v>
      </c>
      <c r="H51" s="17" t="s">
        <v>204</v>
      </c>
      <c r="I51" s="16" t="s">
        <v>469</v>
      </c>
      <c r="J51" s="16"/>
      <c r="K51" s="15" t="str">
        <f>"112,5"</f>
        <v>112,5</v>
      </c>
      <c r="L51" s="17" t="str">
        <f>"81,0000"</f>
        <v>81,0000</v>
      </c>
      <c r="M51" s="15" t="s">
        <v>510</v>
      </c>
    </row>
    <row r="52" spans="1:13">
      <c r="A52" s="15" t="s">
        <v>511</v>
      </c>
      <c r="B52" s="15" t="s">
        <v>512</v>
      </c>
      <c r="C52" s="15" t="s">
        <v>506</v>
      </c>
      <c r="D52" s="15" t="str">
        <f>"0,7285"</f>
        <v>0,7285</v>
      </c>
      <c r="E52" s="15" t="s">
        <v>316</v>
      </c>
      <c r="F52" s="15" t="s">
        <v>513</v>
      </c>
      <c r="G52" s="17" t="s">
        <v>514</v>
      </c>
      <c r="H52" s="16" t="s">
        <v>210</v>
      </c>
      <c r="I52" s="16" t="s">
        <v>210</v>
      </c>
      <c r="J52" s="16"/>
      <c r="K52" s="15" t="str">
        <f>"95,0"</f>
        <v>95,0</v>
      </c>
      <c r="L52" s="17" t="str">
        <f>"69,2075"</f>
        <v>69,2075</v>
      </c>
      <c r="M52" s="15" t="s">
        <v>122</v>
      </c>
    </row>
    <row r="53" spans="1:13">
      <c r="A53" s="15" t="s">
        <v>516</v>
      </c>
      <c r="B53" s="15" t="s">
        <v>517</v>
      </c>
      <c r="C53" s="15" t="s">
        <v>203</v>
      </c>
      <c r="D53" s="15" t="str">
        <f>"0,7126"</f>
        <v>0,7126</v>
      </c>
      <c r="E53" s="15" t="s">
        <v>14</v>
      </c>
      <c r="F53" s="15" t="s">
        <v>15</v>
      </c>
      <c r="G53" s="17" t="s">
        <v>102</v>
      </c>
      <c r="H53" s="17" t="s">
        <v>205</v>
      </c>
      <c r="I53" s="16" t="s">
        <v>518</v>
      </c>
      <c r="J53" s="16"/>
      <c r="K53" s="15" t="str">
        <f>"120,0"</f>
        <v>120,0</v>
      </c>
      <c r="L53" s="17" t="str">
        <f>"123,9924"</f>
        <v>123,9924</v>
      </c>
      <c r="M53" s="15" t="s">
        <v>19</v>
      </c>
    </row>
    <row r="54" spans="1:13">
      <c r="A54" s="11" t="s">
        <v>519</v>
      </c>
      <c r="B54" s="11" t="s">
        <v>520</v>
      </c>
      <c r="C54" s="11" t="s">
        <v>521</v>
      </c>
      <c r="D54" s="11" t="str">
        <f>"0,7249"</f>
        <v>0,7249</v>
      </c>
      <c r="E54" s="11" t="s">
        <v>14</v>
      </c>
      <c r="F54" s="11" t="s">
        <v>15</v>
      </c>
      <c r="G54" s="13" t="s">
        <v>170</v>
      </c>
      <c r="H54" s="12" t="s">
        <v>167</v>
      </c>
      <c r="I54" s="12" t="s">
        <v>167</v>
      </c>
      <c r="J54" s="12"/>
      <c r="K54" s="11" t="str">
        <f>"90,0"</f>
        <v>90,0</v>
      </c>
      <c r="L54" s="13" t="str">
        <f>"112,0840"</f>
        <v>112,0840</v>
      </c>
      <c r="M54" s="11" t="s">
        <v>522</v>
      </c>
    </row>
    <row r="56" spans="1:13" ht="15">
      <c r="A56" s="26" t="s">
        <v>49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</row>
    <row r="57" spans="1:13">
      <c r="A57" s="9" t="s">
        <v>523</v>
      </c>
      <c r="B57" s="9" t="s">
        <v>524</v>
      </c>
      <c r="C57" s="9" t="s">
        <v>525</v>
      </c>
      <c r="D57" s="9" t="str">
        <f>"0,6759"</f>
        <v>0,6759</v>
      </c>
      <c r="E57" s="9" t="s">
        <v>399</v>
      </c>
      <c r="F57" s="9" t="s">
        <v>400</v>
      </c>
      <c r="G57" s="14" t="s">
        <v>205</v>
      </c>
      <c r="H57" s="14" t="s">
        <v>137</v>
      </c>
      <c r="I57" s="14" t="s">
        <v>138</v>
      </c>
      <c r="J57" s="10"/>
      <c r="K57" s="9" t="str">
        <f>"130,0"</f>
        <v>130,0</v>
      </c>
      <c r="L57" s="14" t="str">
        <f>"87,8670"</f>
        <v>87,8670</v>
      </c>
      <c r="M57" s="9" t="s">
        <v>401</v>
      </c>
    </row>
    <row r="58" spans="1:13">
      <c r="A58" s="15" t="s">
        <v>526</v>
      </c>
      <c r="B58" s="15" t="s">
        <v>527</v>
      </c>
      <c r="C58" s="15" t="s">
        <v>528</v>
      </c>
      <c r="D58" s="15" t="str">
        <f>"0,6764"</f>
        <v>0,6764</v>
      </c>
      <c r="E58" s="15" t="s">
        <v>14</v>
      </c>
      <c r="F58" s="15" t="s">
        <v>15</v>
      </c>
      <c r="G58" s="16" t="s">
        <v>204</v>
      </c>
      <c r="H58" s="17" t="s">
        <v>102</v>
      </c>
      <c r="I58" s="16" t="s">
        <v>137</v>
      </c>
      <c r="J58" s="16"/>
      <c r="K58" s="15" t="str">
        <f>"115,0"</f>
        <v>115,0</v>
      </c>
      <c r="L58" s="17" t="str">
        <f>"77,7860"</f>
        <v>77,7860</v>
      </c>
      <c r="M58" s="15" t="s">
        <v>47</v>
      </c>
    </row>
    <row r="59" spans="1:13">
      <c r="A59" s="15" t="s">
        <v>529</v>
      </c>
      <c r="B59" s="15" t="s">
        <v>530</v>
      </c>
      <c r="C59" s="15" t="s">
        <v>531</v>
      </c>
      <c r="D59" s="15" t="str">
        <f>"0,6951"</f>
        <v>0,6951</v>
      </c>
      <c r="E59" s="15" t="s">
        <v>24</v>
      </c>
      <c r="F59" s="15" t="s">
        <v>258</v>
      </c>
      <c r="G59" s="17" t="s">
        <v>101</v>
      </c>
      <c r="H59" s="16" t="s">
        <v>102</v>
      </c>
      <c r="I59" s="16" t="s">
        <v>102</v>
      </c>
      <c r="J59" s="16"/>
      <c r="K59" s="15" t="str">
        <f>"110,0"</f>
        <v>110,0</v>
      </c>
      <c r="L59" s="17" t="str">
        <f>"76,4610"</f>
        <v>76,4610</v>
      </c>
      <c r="M59" s="15" t="s">
        <v>532</v>
      </c>
    </row>
    <row r="60" spans="1:13">
      <c r="A60" s="15" t="s">
        <v>534</v>
      </c>
      <c r="B60" s="15" t="s">
        <v>535</v>
      </c>
      <c r="C60" s="15" t="s">
        <v>536</v>
      </c>
      <c r="D60" s="15" t="str">
        <f>"0,6704"</f>
        <v>0,6704</v>
      </c>
      <c r="E60" s="15" t="s">
        <v>14</v>
      </c>
      <c r="F60" s="15" t="s">
        <v>15</v>
      </c>
      <c r="G60" s="17" t="s">
        <v>54</v>
      </c>
      <c r="H60" s="17" t="s">
        <v>121</v>
      </c>
      <c r="I60" s="16" t="s">
        <v>251</v>
      </c>
      <c r="J60" s="16"/>
      <c r="K60" s="15" t="str">
        <f>"160,0"</f>
        <v>160,0</v>
      </c>
      <c r="L60" s="17" t="str">
        <f>"107,2640"</f>
        <v>107,2640</v>
      </c>
      <c r="M60" s="15" t="s">
        <v>537</v>
      </c>
    </row>
    <row r="61" spans="1:13">
      <c r="A61" s="15" t="s">
        <v>538</v>
      </c>
      <c r="B61" s="15" t="s">
        <v>539</v>
      </c>
      <c r="C61" s="15" t="s">
        <v>540</v>
      </c>
      <c r="D61" s="15" t="str">
        <f>"0,6975"</f>
        <v>0,6975</v>
      </c>
      <c r="E61" s="15" t="s">
        <v>399</v>
      </c>
      <c r="F61" s="15" t="s">
        <v>400</v>
      </c>
      <c r="G61" s="17" t="s">
        <v>205</v>
      </c>
      <c r="H61" s="17" t="s">
        <v>137</v>
      </c>
      <c r="I61" s="17" t="s">
        <v>541</v>
      </c>
      <c r="J61" s="16"/>
      <c r="K61" s="15" t="str">
        <f>"127,5"</f>
        <v>127,5</v>
      </c>
      <c r="L61" s="17" t="str">
        <f>"88,9312"</f>
        <v>88,9312</v>
      </c>
      <c r="M61" s="15" t="s">
        <v>401</v>
      </c>
    </row>
    <row r="62" spans="1:13">
      <c r="A62" s="15" t="s">
        <v>542</v>
      </c>
      <c r="B62" s="15" t="s">
        <v>543</v>
      </c>
      <c r="C62" s="15" t="s">
        <v>544</v>
      </c>
      <c r="D62" s="15" t="str">
        <f>"0,6714"</f>
        <v>0,6714</v>
      </c>
      <c r="E62" s="15" t="s">
        <v>14</v>
      </c>
      <c r="F62" s="15" t="s">
        <v>15</v>
      </c>
      <c r="G62" s="16" t="s">
        <v>85</v>
      </c>
      <c r="H62" s="16" t="s">
        <v>85</v>
      </c>
      <c r="I62" s="16" t="s">
        <v>85</v>
      </c>
      <c r="J62" s="16"/>
      <c r="K62" s="15" t="str">
        <f>"0,0"</f>
        <v>0,0</v>
      </c>
      <c r="L62" s="17" t="str">
        <f>"0,0000"</f>
        <v>0,0000</v>
      </c>
      <c r="M62" s="15" t="s">
        <v>545</v>
      </c>
    </row>
    <row r="63" spans="1:13">
      <c r="A63" s="15" t="s">
        <v>546</v>
      </c>
      <c r="B63" s="15" t="s">
        <v>547</v>
      </c>
      <c r="C63" s="15" t="s">
        <v>192</v>
      </c>
      <c r="D63" s="15" t="str">
        <f>"0,6790"</f>
        <v>0,6790</v>
      </c>
      <c r="E63" s="15" t="s">
        <v>24</v>
      </c>
      <c r="F63" s="15" t="s">
        <v>95</v>
      </c>
      <c r="G63" s="17" t="s">
        <v>241</v>
      </c>
      <c r="H63" s="17" t="s">
        <v>311</v>
      </c>
      <c r="I63" s="17" t="s">
        <v>200</v>
      </c>
      <c r="J63" s="16"/>
      <c r="K63" s="15" t="str">
        <f>"157,5"</f>
        <v>157,5</v>
      </c>
      <c r="L63" s="17" t="str">
        <f>"106,9425"</f>
        <v>106,9425</v>
      </c>
      <c r="M63" s="15" t="s">
        <v>47</v>
      </c>
    </row>
    <row r="64" spans="1:13">
      <c r="A64" s="15" t="s">
        <v>548</v>
      </c>
      <c r="B64" s="15" t="s">
        <v>549</v>
      </c>
      <c r="C64" s="15" t="s">
        <v>550</v>
      </c>
      <c r="D64" s="15" t="str">
        <f>"0,6785"</f>
        <v>0,6785</v>
      </c>
      <c r="E64" s="15" t="s">
        <v>14</v>
      </c>
      <c r="F64" s="15" t="s">
        <v>15</v>
      </c>
      <c r="G64" s="17" t="s">
        <v>200</v>
      </c>
      <c r="H64" s="16"/>
      <c r="I64" s="16"/>
      <c r="J64" s="16"/>
      <c r="K64" s="15" t="str">
        <f>"157,5"</f>
        <v>157,5</v>
      </c>
      <c r="L64" s="17" t="str">
        <f>"106,8637"</f>
        <v>106,8637</v>
      </c>
      <c r="M64" s="15" t="s">
        <v>551</v>
      </c>
    </row>
    <row r="65" spans="1:13">
      <c r="A65" s="15" t="s">
        <v>552</v>
      </c>
      <c r="B65" s="15" t="s">
        <v>553</v>
      </c>
      <c r="C65" s="15" t="s">
        <v>554</v>
      </c>
      <c r="D65" s="15" t="str">
        <f>"0,6769"</f>
        <v>0,6769</v>
      </c>
      <c r="E65" s="15" t="s">
        <v>14</v>
      </c>
      <c r="F65" s="15" t="s">
        <v>15</v>
      </c>
      <c r="G65" s="17" t="s">
        <v>64</v>
      </c>
      <c r="H65" s="17" t="s">
        <v>54</v>
      </c>
      <c r="I65" s="17" t="s">
        <v>200</v>
      </c>
      <c r="J65" s="16"/>
      <c r="K65" s="15" t="str">
        <f>"157,5"</f>
        <v>157,5</v>
      </c>
      <c r="L65" s="17" t="str">
        <f>"106,6118"</f>
        <v>106,6118</v>
      </c>
      <c r="M65" s="15" t="s">
        <v>19</v>
      </c>
    </row>
    <row r="66" spans="1:13">
      <c r="A66" s="15" t="s">
        <v>555</v>
      </c>
      <c r="B66" s="15" t="s">
        <v>556</v>
      </c>
      <c r="C66" s="15" t="s">
        <v>61</v>
      </c>
      <c r="D66" s="15" t="str">
        <f>"0,6699"</f>
        <v>0,6699</v>
      </c>
      <c r="E66" s="15" t="s">
        <v>14</v>
      </c>
      <c r="F66" s="15" t="s">
        <v>15</v>
      </c>
      <c r="G66" s="17" t="s">
        <v>138</v>
      </c>
      <c r="H66" s="17" t="s">
        <v>85</v>
      </c>
      <c r="I66" s="17" t="s">
        <v>64</v>
      </c>
      <c r="J66" s="16"/>
      <c r="K66" s="15" t="str">
        <f>"145,0"</f>
        <v>145,0</v>
      </c>
      <c r="L66" s="17" t="str">
        <f>"97,1355"</f>
        <v>97,1355</v>
      </c>
      <c r="M66" s="15" t="s">
        <v>557</v>
      </c>
    </row>
    <row r="67" spans="1:13">
      <c r="A67" s="15" t="s">
        <v>558</v>
      </c>
      <c r="B67" s="15" t="s">
        <v>547</v>
      </c>
      <c r="C67" s="15" t="s">
        <v>559</v>
      </c>
      <c r="D67" s="15" t="str">
        <f>"0,6893"</f>
        <v>0,6893</v>
      </c>
      <c r="E67" s="15" t="s">
        <v>14</v>
      </c>
      <c r="F67" s="15" t="s">
        <v>15</v>
      </c>
      <c r="G67" s="17" t="s">
        <v>137</v>
      </c>
      <c r="H67" s="17" t="s">
        <v>85</v>
      </c>
      <c r="I67" s="16" t="s">
        <v>64</v>
      </c>
      <c r="J67" s="16"/>
      <c r="K67" s="15" t="str">
        <f>"142,5"</f>
        <v>142,5</v>
      </c>
      <c r="L67" s="17" t="str">
        <f>"98,2253"</f>
        <v>98,2253</v>
      </c>
      <c r="M67" s="15" t="s">
        <v>19</v>
      </c>
    </row>
    <row r="68" spans="1:13">
      <c r="A68" s="15" t="s">
        <v>560</v>
      </c>
      <c r="B68" s="15" t="s">
        <v>561</v>
      </c>
      <c r="C68" s="15" t="s">
        <v>554</v>
      </c>
      <c r="D68" s="15" t="str">
        <f>"0,6769"</f>
        <v>0,6769</v>
      </c>
      <c r="E68" s="15" t="s">
        <v>14</v>
      </c>
      <c r="F68" s="15" t="s">
        <v>15</v>
      </c>
      <c r="G68" s="16" t="s">
        <v>85</v>
      </c>
      <c r="H68" s="17" t="s">
        <v>85</v>
      </c>
      <c r="I68" s="16" t="s">
        <v>64</v>
      </c>
      <c r="J68" s="16"/>
      <c r="K68" s="15" t="str">
        <f>"142,5"</f>
        <v>142,5</v>
      </c>
      <c r="L68" s="17" t="str">
        <f>"96,4583"</f>
        <v>96,4583</v>
      </c>
      <c r="M68" s="15" t="s">
        <v>47</v>
      </c>
    </row>
    <row r="69" spans="1:13">
      <c r="A69" s="15" t="s">
        <v>562</v>
      </c>
      <c r="B69" s="15" t="s">
        <v>563</v>
      </c>
      <c r="C69" s="15" t="s">
        <v>564</v>
      </c>
      <c r="D69" s="15" t="str">
        <f>"0,6838"</f>
        <v>0,6838</v>
      </c>
      <c r="E69" s="15" t="s">
        <v>14</v>
      </c>
      <c r="F69" s="15" t="s">
        <v>15</v>
      </c>
      <c r="G69" s="17" t="s">
        <v>205</v>
      </c>
      <c r="H69" s="17" t="s">
        <v>137</v>
      </c>
      <c r="I69" s="17" t="s">
        <v>138</v>
      </c>
      <c r="J69" s="16"/>
      <c r="K69" s="15" t="str">
        <f>"130,0"</f>
        <v>130,0</v>
      </c>
      <c r="L69" s="17" t="str">
        <f>"88,8940"</f>
        <v>88,8940</v>
      </c>
      <c r="M69" s="15" t="s">
        <v>565</v>
      </c>
    </row>
    <row r="70" spans="1:13">
      <c r="A70" s="15" t="s">
        <v>566</v>
      </c>
      <c r="B70" s="15" t="s">
        <v>567</v>
      </c>
      <c r="C70" s="15" t="s">
        <v>568</v>
      </c>
      <c r="D70" s="15" t="str">
        <f>"0,6999"</f>
        <v>0,6999</v>
      </c>
      <c r="E70" s="15" t="s">
        <v>14</v>
      </c>
      <c r="F70" s="15" t="s">
        <v>15</v>
      </c>
      <c r="G70" s="17" t="s">
        <v>452</v>
      </c>
      <c r="H70" s="17" t="s">
        <v>167</v>
      </c>
      <c r="I70" s="17" t="s">
        <v>194</v>
      </c>
      <c r="J70" s="16"/>
      <c r="K70" s="15" t="str">
        <f>"102,5"</f>
        <v>102,5</v>
      </c>
      <c r="L70" s="17" t="str">
        <f>"71,7397"</f>
        <v>71,7397</v>
      </c>
      <c r="M70" s="15" t="s">
        <v>47</v>
      </c>
    </row>
    <row r="71" spans="1:13">
      <c r="A71" s="15" t="s">
        <v>569</v>
      </c>
      <c r="B71" s="15" t="s">
        <v>570</v>
      </c>
      <c r="C71" s="15" t="s">
        <v>550</v>
      </c>
      <c r="D71" s="15" t="str">
        <f>"0,6785"</f>
        <v>0,6785</v>
      </c>
      <c r="E71" s="15" t="s">
        <v>14</v>
      </c>
      <c r="F71" s="15" t="s">
        <v>15</v>
      </c>
      <c r="G71" s="17" t="s">
        <v>200</v>
      </c>
      <c r="H71" s="16" t="s">
        <v>251</v>
      </c>
      <c r="I71" s="16" t="s">
        <v>251</v>
      </c>
      <c r="J71" s="16"/>
      <c r="K71" s="15" t="str">
        <f>"157,5"</f>
        <v>157,5</v>
      </c>
      <c r="L71" s="17" t="str">
        <f>"109,0010"</f>
        <v>109,0010</v>
      </c>
      <c r="M71" s="15" t="s">
        <v>551</v>
      </c>
    </row>
    <row r="72" spans="1:13">
      <c r="A72" s="15" t="s">
        <v>571</v>
      </c>
      <c r="B72" s="15" t="s">
        <v>572</v>
      </c>
      <c r="C72" s="15" t="s">
        <v>573</v>
      </c>
      <c r="D72" s="15" t="str">
        <f>"0,6800"</f>
        <v>0,6800</v>
      </c>
      <c r="E72" s="15" t="s">
        <v>14</v>
      </c>
      <c r="F72" s="15" t="s">
        <v>15</v>
      </c>
      <c r="G72" s="16" t="s">
        <v>484</v>
      </c>
      <c r="H72" s="17" t="s">
        <v>484</v>
      </c>
      <c r="I72" s="16" t="s">
        <v>485</v>
      </c>
      <c r="J72" s="16"/>
      <c r="K72" s="15" t="str">
        <f>"132,5"</f>
        <v>132,5</v>
      </c>
      <c r="L72" s="17" t="str">
        <f>"93,9743"</f>
        <v>93,9743</v>
      </c>
      <c r="M72" s="15" t="s">
        <v>574</v>
      </c>
    </row>
    <row r="73" spans="1:13">
      <c r="A73" s="15" t="s">
        <v>575</v>
      </c>
      <c r="B73" s="15" t="s">
        <v>576</v>
      </c>
      <c r="C73" s="15" t="s">
        <v>52</v>
      </c>
      <c r="D73" s="15" t="str">
        <f>"0,6749"</f>
        <v>0,6749</v>
      </c>
      <c r="E73" s="15" t="s">
        <v>14</v>
      </c>
      <c r="F73" s="15" t="s">
        <v>15</v>
      </c>
      <c r="G73" s="16" t="s">
        <v>215</v>
      </c>
      <c r="H73" s="17" t="s">
        <v>215</v>
      </c>
      <c r="I73" s="16" t="s">
        <v>101</v>
      </c>
      <c r="J73" s="16"/>
      <c r="K73" s="15" t="str">
        <f>"107,5"</f>
        <v>107,5</v>
      </c>
      <c r="L73" s="17" t="str">
        <f>"101,0646"</f>
        <v>101,0646</v>
      </c>
      <c r="M73" s="15" t="s">
        <v>577</v>
      </c>
    </row>
    <row r="74" spans="1:13">
      <c r="A74" s="11" t="s">
        <v>579</v>
      </c>
      <c r="B74" s="11" t="s">
        <v>580</v>
      </c>
      <c r="C74" s="11" t="s">
        <v>581</v>
      </c>
      <c r="D74" s="11" t="str">
        <f>"0,7005"</f>
        <v>0,7005</v>
      </c>
      <c r="E74" s="11" t="s">
        <v>24</v>
      </c>
      <c r="F74" s="11" t="s">
        <v>226</v>
      </c>
      <c r="G74" s="13" t="s">
        <v>582</v>
      </c>
      <c r="H74" s="12" t="s">
        <v>170</v>
      </c>
      <c r="I74" s="12" t="s">
        <v>170</v>
      </c>
      <c r="J74" s="12"/>
      <c r="K74" s="11" t="str">
        <f>"85,0"</f>
        <v>85,0</v>
      </c>
      <c r="L74" s="13" t="str">
        <f>"119,3827"</f>
        <v>119,3827</v>
      </c>
      <c r="M74" s="11" t="s">
        <v>47</v>
      </c>
    </row>
    <row r="76" spans="1:13" ht="15">
      <c r="A76" s="26" t="s">
        <v>66</v>
      </c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</row>
    <row r="77" spans="1:13">
      <c r="A77" s="9" t="s">
        <v>583</v>
      </c>
      <c r="B77" s="9" t="s">
        <v>584</v>
      </c>
      <c r="C77" s="9" t="s">
        <v>585</v>
      </c>
      <c r="D77" s="9" t="str">
        <f>"0,6444"</f>
        <v>0,6444</v>
      </c>
      <c r="E77" s="9" t="s">
        <v>14</v>
      </c>
      <c r="F77" s="9" t="s">
        <v>15</v>
      </c>
      <c r="G77" s="10" t="s">
        <v>62</v>
      </c>
      <c r="H77" s="14" t="s">
        <v>85</v>
      </c>
      <c r="I77" s="14" t="s">
        <v>54</v>
      </c>
      <c r="J77" s="10"/>
      <c r="K77" s="9" t="str">
        <f>"150,0"</f>
        <v>150,0</v>
      </c>
      <c r="L77" s="14" t="str">
        <f>"96,6600"</f>
        <v>96,6600</v>
      </c>
      <c r="M77" s="9" t="s">
        <v>586</v>
      </c>
    </row>
    <row r="78" spans="1:13">
      <c r="A78" s="15" t="s">
        <v>588</v>
      </c>
      <c r="B78" s="15" t="s">
        <v>589</v>
      </c>
      <c r="C78" s="15" t="s">
        <v>255</v>
      </c>
      <c r="D78" s="15" t="str">
        <f>"0,6447"</f>
        <v>0,6447</v>
      </c>
      <c r="E78" s="15" t="s">
        <v>14</v>
      </c>
      <c r="F78" s="15" t="s">
        <v>15</v>
      </c>
      <c r="G78" s="17" t="s">
        <v>251</v>
      </c>
      <c r="H78" s="17" t="s">
        <v>71</v>
      </c>
      <c r="I78" s="16" t="s">
        <v>590</v>
      </c>
      <c r="J78" s="16"/>
      <c r="K78" s="15" t="str">
        <f>"175,0"</f>
        <v>175,0</v>
      </c>
      <c r="L78" s="17" t="str">
        <f>"112,8225"</f>
        <v>112,8225</v>
      </c>
      <c r="M78" s="15" t="s">
        <v>591</v>
      </c>
    </row>
    <row r="79" spans="1:13">
      <c r="A79" s="15" t="s">
        <v>592</v>
      </c>
      <c r="B79" s="15" t="s">
        <v>593</v>
      </c>
      <c r="C79" s="15" t="s">
        <v>594</v>
      </c>
      <c r="D79" s="15" t="str">
        <f>"0,6421"</f>
        <v>0,6421</v>
      </c>
      <c r="E79" s="15" t="s">
        <v>14</v>
      </c>
      <c r="F79" s="15" t="s">
        <v>15</v>
      </c>
      <c r="G79" s="17" t="s">
        <v>63</v>
      </c>
      <c r="H79" s="16" t="s">
        <v>54</v>
      </c>
      <c r="I79" s="16" t="s">
        <v>54</v>
      </c>
      <c r="J79" s="16"/>
      <c r="K79" s="15" t="str">
        <f>"140,0"</f>
        <v>140,0</v>
      </c>
      <c r="L79" s="17" t="str">
        <f>"89,8940"</f>
        <v>89,8940</v>
      </c>
      <c r="M79" s="15" t="s">
        <v>19</v>
      </c>
    </row>
    <row r="80" spans="1:13">
      <c r="A80" s="15" t="s">
        <v>595</v>
      </c>
      <c r="B80" s="15" t="s">
        <v>596</v>
      </c>
      <c r="C80" s="15" t="s">
        <v>597</v>
      </c>
      <c r="D80" s="15" t="str">
        <f>"0,6432"</f>
        <v>0,6432</v>
      </c>
      <c r="E80" s="15" t="s">
        <v>14</v>
      </c>
      <c r="F80" s="15" t="s">
        <v>15</v>
      </c>
      <c r="G80" s="16" t="s">
        <v>62</v>
      </c>
      <c r="H80" s="16" t="s">
        <v>485</v>
      </c>
      <c r="I80" s="17" t="s">
        <v>485</v>
      </c>
      <c r="J80" s="16"/>
      <c r="K80" s="15" t="str">
        <f>"137,5"</f>
        <v>137,5</v>
      </c>
      <c r="L80" s="17" t="str">
        <f>"88,4400"</f>
        <v>88,4400</v>
      </c>
      <c r="M80" s="15" t="s">
        <v>19</v>
      </c>
    </row>
    <row r="81" spans="1:13">
      <c r="A81" s="15" t="s">
        <v>598</v>
      </c>
      <c r="B81" s="15" t="s">
        <v>599</v>
      </c>
      <c r="C81" s="15" t="s">
        <v>600</v>
      </c>
      <c r="D81" s="15" t="str">
        <f>"0,6588"</f>
        <v>0,6588</v>
      </c>
      <c r="E81" s="15" t="s">
        <v>14</v>
      </c>
      <c r="F81" s="15" t="s">
        <v>15</v>
      </c>
      <c r="G81" s="17" t="s">
        <v>137</v>
      </c>
      <c r="H81" s="17" t="s">
        <v>138</v>
      </c>
      <c r="I81" s="17" t="s">
        <v>62</v>
      </c>
      <c r="J81" s="16"/>
      <c r="K81" s="15" t="str">
        <f>"135,0"</f>
        <v>135,0</v>
      </c>
      <c r="L81" s="17" t="str">
        <f>"88,9380"</f>
        <v>88,9380</v>
      </c>
      <c r="M81" s="15" t="s">
        <v>601</v>
      </c>
    </row>
    <row r="82" spans="1:13">
      <c r="A82" s="15" t="s">
        <v>602</v>
      </c>
      <c r="B82" s="15" t="s">
        <v>603</v>
      </c>
      <c r="C82" s="15" t="s">
        <v>604</v>
      </c>
      <c r="D82" s="15" t="str">
        <f>"0,6495"</f>
        <v>0,6495</v>
      </c>
      <c r="E82" s="15" t="s">
        <v>24</v>
      </c>
      <c r="F82" s="15" t="s">
        <v>605</v>
      </c>
      <c r="G82" s="17" t="s">
        <v>205</v>
      </c>
      <c r="H82" s="16" t="s">
        <v>137</v>
      </c>
      <c r="I82" s="16" t="s">
        <v>137</v>
      </c>
      <c r="J82" s="16"/>
      <c r="K82" s="15" t="str">
        <f>"120,0"</f>
        <v>120,0</v>
      </c>
      <c r="L82" s="17" t="str">
        <f>"77,9400"</f>
        <v>77,9400</v>
      </c>
      <c r="M82" s="15" t="s">
        <v>111</v>
      </c>
    </row>
    <row r="83" spans="1:13">
      <c r="A83" s="15" t="s">
        <v>606</v>
      </c>
      <c r="B83" s="15" t="s">
        <v>607</v>
      </c>
      <c r="C83" s="15" t="s">
        <v>585</v>
      </c>
      <c r="D83" s="15" t="str">
        <f>"0,6444"</f>
        <v>0,6444</v>
      </c>
      <c r="E83" s="15" t="s">
        <v>14</v>
      </c>
      <c r="F83" s="15" t="s">
        <v>15</v>
      </c>
      <c r="G83" s="17" t="s">
        <v>215</v>
      </c>
      <c r="H83" s="17" t="s">
        <v>205</v>
      </c>
      <c r="I83" s="16" t="s">
        <v>138</v>
      </c>
      <c r="J83" s="16"/>
      <c r="K83" s="15" t="str">
        <f>"120,0"</f>
        <v>120,0</v>
      </c>
      <c r="L83" s="17" t="str">
        <f>"77,3280"</f>
        <v>77,3280</v>
      </c>
      <c r="M83" s="15" t="s">
        <v>608</v>
      </c>
    </row>
    <row r="84" spans="1:13">
      <c r="A84" s="15" t="s">
        <v>588</v>
      </c>
      <c r="B84" s="15" t="s">
        <v>609</v>
      </c>
      <c r="C84" s="15" t="s">
        <v>255</v>
      </c>
      <c r="D84" s="15" t="str">
        <f>"0,6447"</f>
        <v>0,6447</v>
      </c>
      <c r="E84" s="15" t="s">
        <v>14</v>
      </c>
      <c r="F84" s="15" t="s">
        <v>15</v>
      </c>
      <c r="G84" s="17" t="s">
        <v>251</v>
      </c>
      <c r="H84" s="17" t="s">
        <v>71</v>
      </c>
      <c r="I84" s="16" t="s">
        <v>590</v>
      </c>
      <c r="J84" s="16"/>
      <c r="K84" s="15" t="str">
        <f>"175,0"</f>
        <v>175,0</v>
      </c>
      <c r="L84" s="17" t="str">
        <f>"112,8225"</f>
        <v>112,8225</v>
      </c>
      <c r="M84" s="15" t="s">
        <v>591</v>
      </c>
    </row>
    <row r="85" spans="1:13">
      <c r="A85" s="15" t="s">
        <v>610</v>
      </c>
      <c r="B85" s="15" t="s">
        <v>611</v>
      </c>
      <c r="C85" s="15" t="s">
        <v>70</v>
      </c>
      <c r="D85" s="15" t="str">
        <f>"0,6455"</f>
        <v>0,6455</v>
      </c>
      <c r="E85" s="15" t="s">
        <v>14</v>
      </c>
      <c r="F85" s="15" t="s">
        <v>15</v>
      </c>
      <c r="G85" s="16" t="s">
        <v>63</v>
      </c>
      <c r="H85" s="16" t="s">
        <v>63</v>
      </c>
      <c r="I85" s="17" t="s">
        <v>63</v>
      </c>
      <c r="J85" s="16"/>
      <c r="K85" s="15" t="str">
        <f>"140,0"</f>
        <v>140,0</v>
      </c>
      <c r="L85" s="17" t="str">
        <f>"95,3404"</f>
        <v>95,3404</v>
      </c>
      <c r="M85" s="15" t="s">
        <v>122</v>
      </c>
    </row>
    <row r="86" spans="1:13">
      <c r="A86" s="15" t="s">
        <v>612</v>
      </c>
      <c r="B86" s="15" t="s">
        <v>613</v>
      </c>
      <c r="C86" s="15" t="s">
        <v>614</v>
      </c>
      <c r="D86" s="15" t="str">
        <f>"0,6479"</f>
        <v>0,6479</v>
      </c>
      <c r="E86" s="15" t="s">
        <v>14</v>
      </c>
      <c r="F86" s="15" t="s">
        <v>15</v>
      </c>
      <c r="G86" s="17" t="s">
        <v>484</v>
      </c>
      <c r="H86" s="17" t="s">
        <v>485</v>
      </c>
      <c r="I86" s="17" t="s">
        <v>63</v>
      </c>
      <c r="J86" s="16"/>
      <c r="K86" s="15" t="str">
        <f>"140,0"</f>
        <v>140,0</v>
      </c>
      <c r="L86" s="17" t="str">
        <f>"105,6725"</f>
        <v>105,6725</v>
      </c>
      <c r="M86" s="15" t="s">
        <v>19</v>
      </c>
    </row>
    <row r="87" spans="1:13">
      <c r="A87" s="15" t="s">
        <v>615</v>
      </c>
      <c r="B87" s="15" t="s">
        <v>616</v>
      </c>
      <c r="C87" s="15" t="s">
        <v>617</v>
      </c>
      <c r="D87" s="15" t="str">
        <f>"0,6428"</f>
        <v>0,6428</v>
      </c>
      <c r="E87" s="15" t="s">
        <v>14</v>
      </c>
      <c r="F87" s="15" t="s">
        <v>15</v>
      </c>
      <c r="G87" s="17" t="s">
        <v>137</v>
      </c>
      <c r="H87" s="16" t="s">
        <v>484</v>
      </c>
      <c r="I87" s="16" t="s">
        <v>484</v>
      </c>
      <c r="J87" s="16"/>
      <c r="K87" s="15" t="str">
        <f>"125,0"</f>
        <v>125,0</v>
      </c>
      <c r="L87" s="17" t="str">
        <f>"95,1344"</f>
        <v>95,1344</v>
      </c>
      <c r="M87" s="15" t="s">
        <v>47</v>
      </c>
    </row>
    <row r="88" spans="1:13">
      <c r="A88" s="15" t="s">
        <v>618</v>
      </c>
      <c r="B88" s="15" t="s">
        <v>619</v>
      </c>
      <c r="C88" s="15" t="s">
        <v>620</v>
      </c>
      <c r="D88" s="15" t="str">
        <f>"0,6471"</f>
        <v>0,6471</v>
      </c>
      <c r="E88" s="15" t="s">
        <v>399</v>
      </c>
      <c r="F88" s="15" t="s">
        <v>400</v>
      </c>
      <c r="G88" s="17" t="s">
        <v>215</v>
      </c>
      <c r="H88" s="16" t="s">
        <v>101</v>
      </c>
      <c r="I88" s="16" t="s">
        <v>101</v>
      </c>
      <c r="J88" s="16"/>
      <c r="K88" s="15" t="str">
        <f>"107,5"</f>
        <v>107,5</v>
      </c>
      <c r="L88" s="17" t="str">
        <f>"96,9016"</f>
        <v>96,9016</v>
      </c>
      <c r="M88" s="15" t="s">
        <v>621</v>
      </c>
    </row>
    <row r="89" spans="1:13">
      <c r="A89" s="11" t="s">
        <v>623</v>
      </c>
      <c r="B89" s="11" t="s">
        <v>624</v>
      </c>
      <c r="C89" s="11" t="s">
        <v>625</v>
      </c>
      <c r="D89" s="11" t="str">
        <f>"0,6610"</f>
        <v>0,6610</v>
      </c>
      <c r="E89" s="11" t="s">
        <v>14</v>
      </c>
      <c r="F89" s="11" t="s">
        <v>15</v>
      </c>
      <c r="G89" s="13" t="s">
        <v>469</v>
      </c>
      <c r="H89" s="13" t="s">
        <v>518</v>
      </c>
      <c r="I89" s="12" t="s">
        <v>137</v>
      </c>
      <c r="J89" s="12"/>
      <c r="K89" s="11" t="str">
        <f>"122,5"</f>
        <v>122,5</v>
      </c>
      <c r="L89" s="13" t="str">
        <f>"119,8393"</f>
        <v>119,8393</v>
      </c>
      <c r="M89" s="11" t="s">
        <v>47</v>
      </c>
    </row>
    <row r="91" spans="1:13" ht="15">
      <c r="A91" s="26" t="s">
        <v>86</v>
      </c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</row>
    <row r="92" spans="1:13">
      <c r="A92" s="9" t="s">
        <v>626</v>
      </c>
      <c r="B92" s="9" t="s">
        <v>627</v>
      </c>
      <c r="C92" s="9" t="s">
        <v>628</v>
      </c>
      <c r="D92" s="9" t="str">
        <f>"0,6174"</f>
        <v>0,6174</v>
      </c>
      <c r="E92" s="9" t="s">
        <v>399</v>
      </c>
      <c r="F92" s="9" t="s">
        <v>400</v>
      </c>
      <c r="G92" s="14" t="s">
        <v>96</v>
      </c>
      <c r="H92" s="14" t="s">
        <v>121</v>
      </c>
      <c r="I92" s="14" t="s">
        <v>251</v>
      </c>
      <c r="J92" s="10"/>
      <c r="K92" s="9" t="str">
        <f>"165,0"</f>
        <v>165,0</v>
      </c>
      <c r="L92" s="14" t="str">
        <f>"101,8710"</f>
        <v>101,8710</v>
      </c>
      <c r="M92" s="9" t="s">
        <v>401</v>
      </c>
    </row>
    <row r="93" spans="1:13">
      <c r="A93" s="15" t="s">
        <v>630</v>
      </c>
      <c r="B93" s="15" t="s">
        <v>631</v>
      </c>
      <c r="C93" s="15" t="s">
        <v>632</v>
      </c>
      <c r="D93" s="15" t="str">
        <f>"0,6200"</f>
        <v>0,6200</v>
      </c>
      <c r="E93" s="15" t="s">
        <v>399</v>
      </c>
      <c r="F93" s="15" t="s">
        <v>400</v>
      </c>
      <c r="G93" s="17" t="s">
        <v>62</v>
      </c>
      <c r="H93" s="17" t="s">
        <v>63</v>
      </c>
      <c r="I93" s="17" t="s">
        <v>64</v>
      </c>
      <c r="J93" s="16"/>
      <c r="K93" s="15" t="str">
        <f>"145,0"</f>
        <v>145,0</v>
      </c>
      <c r="L93" s="17" t="str">
        <f>"89,9000"</f>
        <v>89,9000</v>
      </c>
      <c r="M93" s="15" t="s">
        <v>401</v>
      </c>
    </row>
    <row r="94" spans="1:13">
      <c r="A94" s="15" t="s">
        <v>633</v>
      </c>
      <c r="B94" s="15" t="s">
        <v>634</v>
      </c>
      <c r="C94" s="15" t="s">
        <v>628</v>
      </c>
      <c r="D94" s="15" t="str">
        <f>"0,6174"</f>
        <v>0,6174</v>
      </c>
      <c r="E94" s="15" t="s">
        <v>14</v>
      </c>
      <c r="F94" s="15" t="s">
        <v>15</v>
      </c>
      <c r="G94" s="17" t="s">
        <v>138</v>
      </c>
      <c r="H94" s="17" t="s">
        <v>485</v>
      </c>
      <c r="I94" s="16" t="s">
        <v>64</v>
      </c>
      <c r="J94" s="16"/>
      <c r="K94" s="15" t="str">
        <f>"137,5"</f>
        <v>137,5</v>
      </c>
      <c r="L94" s="17" t="str">
        <f>"84,8925"</f>
        <v>84,8925</v>
      </c>
      <c r="M94" s="15" t="s">
        <v>635</v>
      </c>
    </row>
    <row r="95" spans="1:13">
      <c r="A95" s="15" t="s">
        <v>636</v>
      </c>
      <c r="B95" s="15" t="s">
        <v>637</v>
      </c>
      <c r="C95" s="15" t="s">
        <v>638</v>
      </c>
      <c r="D95" s="15" t="str">
        <f>"0,6106"</f>
        <v>0,6106</v>
      </c>
      <c r="E95" s="15" t="s">
        <v>14</v>
      </c>
      <c r="F95" s="15" t="s">
        <v>15</v>
      </c>
      <c r="G95" s="17" t="s">
        <v>138</v>
      </c>
      <c r="H95" s="17" t="s">
        <v>485</v>
      </c>
      <c r="I95" s="16" t="s">
        <v>85</v>
      </c>
      <c r="J95" s="16"/>
      <c r="K95" s="15" t="str">
        <f>"137,5"</f>
        <v>137,5</v>
      </c>
      <c r="L95" s="17" t="str">
        <f>"83,9575"</f>
        <v>83,9575</v>
      </c>
      <c r="M95" s="15" t="s">
        <v>639</v>
      </c>
    </row>
    <row r="96" spans="1:13">
      <c r="A96" s="15" t="s">
        <v>640</v>
      </c>
      <c r="B96" s="15" t="s">
        <v>641</v>
      </c>
      <c r="C96" s="15" t="s">
        <v>642</v>
      </c>
      <c r="D96" s="15" t="str">
        <f>"0,6241"</f>
        <v>0,6241</v>
      </c>
      <c r="E96" s="15" t="s">
        <v>24</v>
      </c>
      <c r="F96" s="15" t="s">
        <v>226</v>
      </c>
      <c r="G96" s="17" t="s">
        <v>311</v>
      </c>
      <c r="H96" s="17" t="s">
        <v>79</v>
      </c>
      <c r="I96" s="17" t="s">
        <v>56</v>
      </c>
      <c r="J96" s="16"/>
      <c r="K96" s="15" t="str">
        <f>"170,0"</f>
        <v>170,0</v>
      </c>
      <c r="L96" s="17" t="str">
        <f>"106,0970"</f>
        <v>106,0970</v>
      </c>
      <c r="M96" s="15" t="s">
        <v>643</v>
      </c>
    </row>
    <row r="97" spans="1:13">
      <c r="A97" s="15" t="s">
        <v>644</v>
      </c>
      <c r="B97" s="15" t="s">
        <v>645</v>
      </c>
      <c r="C97" s="15" t="s">
        <v>646</v>
      </c>
      <c r="D97" s="15" t="str">
        <f>"0,6139"</f>
        <v>0,6139</v>
      </c>
      <c r="E97" s="15" t="s">
        <v>14</v>
      </c>
      <c r="F97" s="15" t="s">
        <v>15</v>
      </c>
      <c r="G97" s="17" t="s">
        <v>55</v>
      </c>
      <c r="H97" s="17" t="s">
        <v>56</v>
      </c>
      <c r="I97" s="16" t="s">
        <v>275</v>
      </c>
      <c r="J97" s="16"/>
      <c r="K97" s="15" t="str">
        <f>"170,0"</f>
        <v>170,0</v>
      </c>
      <c r="L97" s="17" t="str">
        <f>"104,3630"</f>
        <v>104,3630</v>
      </c>
      <c r="M97" s="15" t="s">
        <v>47</v>
      </c>
    </row>
    <row r="98" spans="1:13">
      <c r="A98" s="15" t="s">
        <v>647</v>
      </c>
      <c r="B98" s="15" t="s">
        <v>648</v>
      </c>
      <c r="C98" s="15" t="s">
        <v>649</v>
      </c>
      <c r="D98" s="15" t="str">
        <f>"0,6263"</f>
        <v>0,6263</v>
      </c>
      <c r="E98" s="15" t="s">
        <v>14</v>
      </c>
      <c r="F98" s="15" t="s">
        <v>15</v>
      </c>
      <c r="G98" s="17" t="s">
        <v>137</v>
      </c>
      <c r="H98" s="17" t="s">
        <v>484</v>
      </c>
      <c r="I98" s="17" t="s">
        <v>485</v>
      </c>
      <c r="J98" s="16"/>
      <c r="K98" s="15" t="str">
        <f>"137,5"</f>
        <v>137,5</v>
      </c>
      <c r="L98" s="17" t="str">
        <f>"86,1162"</f>
        <v>86,1162</v>
      </c>
      <c r="M98" s="15" t="s">
        <v>47</v>
      </c>
    </row>
    <row r="99" spans="1:13">
      <c r="A99" s="15" t="s">
        <v>650</v>
      </c>
      <c r="B99" s="15" t="s">
        <v>651</v>
      </c>
      <c r="C99" s="15" t="s">
        <v>283</v>
      </c>
      <c r="D99" s="15" t="str">
        <f>"0,6101"</f>
        <v>0,6101</v>
      </c>
      <c r="E99" s="15" t="s">
        <v>24</v>
      </c>
      <c r="F99" s="15" t="s">
        <v>652</v>
      </c>
      <c r="G99" s="17" t="s">
        <v>85</v>
      </c>
      <c r="H99" s="17" t="s">
        <v>241</v>
      </c>
      <c r="I99" s="17" t="s">
        <v>311</v>
      </c>
      <c r="J99" s="16"/>
      <c r="K99" s="15" t="str">
        <f>"152,5"</f>
        <v>152,5</v>
      </c>
      <c r="L99" s="17" t="str">
        <f>"97,0410"</f>
        <v>97,0410</v>
      </c>
      <c r="M99" s="15" t="s">
        <v>19</v>
      </c>
    </row>
    <row r="100" spans="1:13">
      <c r="A100" s="15" t="s">
        <v>653</v>
      </c>
      <c r="B100" s="15" t="s">
        <v>654</v>
      </c>
      <c r="C100" s="15" t="s">
        <v>655</v>
      </c>
      <c r="D100" s="15" t="str">
        <f>"0,6191"</f>
        <v>0,6191</v>
      </c>
      <c r="E100" s="15" t="s">
        <v>14</v>
      </c>
      <c r="F100" s="15" t="s">
        <v>15</v>
      </c>
      <c r="G100" s="16" t="s">
        <v>484</v>
      </c>
      <c r="H100" s="16" t="s">
        <v>484</v>
      </c>
      <c r="I100" s="16" t="s">
        <v>484</v>
      </c>
      <c r="J100" s="16"/>
      <c r="K100" s="15" t="str">
        <f>"0,0"</f>
        <v>0,0</v>
      </c>
      <c r="L100" s="17" t="str">
        <f>"0,0000"</f>
        <v>0,0000</v>
      </c>
      <c r="M100" s="15" t="s">
        <v>47</v>
      </c>
    </row>
    <row r="101" spans="1:13">
      <c r="A101" s="15" t="s">
        <v>640</v>
      </c>
      <c r="B101" s="15" t="s">
        <v>656</v>
      </c>
      <c r="C101" s="15" t="s">
        <v>642</v>
      </c>
      <c r="D101" s="15" t="str">
        <f>"0,6241"</f>
        <v>0,6241</v>
      </c>
      <c r="E101" s="15" t="s">
        <v>24</v>
      </c>
      <c r="F101" s="15" t="s">
        <v>226</v>
      </c>
      <c r="G101" s="17" t="s">
        <v>311</v>
      </c>
      <c r="H101" s="17" t="s">
        <v>79</v>
      </c>
      <c r="I101" s="17" t="s">
        <v>56</v>
      </c>
      <c r="J101" s="16"/>
      <c r="K101" s="15" t="str">
        <f>"170,0"</f>
        <v>170,0</v>
      </c>
      <c r="L101" s="17" t="str">
        <f>"113,3116"</f>
        <v>113,3116</v>
      </c>
      <c r="M101" s="15" t="s">
        <v>643</v>
      </c>
    </row>
    <row r="102" spans="1:13">
      <c r="A102" s="15" t="s">
        <v>657</v>
      </c>
      <c r="B102" s="15" t="s">
        <v>658</v>
      </c>
      <c r="C102" s="15" t="s">
        <v>659</v>
      </c>
      <c r="D102" s="15" t="str">
        <f>"0,6177"</f>
        <v>0,6177</v>
      </c>
      <c r="E102" s="15" t="s">
        <v>14</v>
      </c>
      <c r="F102" s="15" t="s">
        <v>15</v>
      </c>
      <c r="G102" s="16" t="s">
        <v>167</v>
      </c>
      <c r="H102" s="16" t="s">
        <v>167</v>
      </c>
      <c r="I102" s="17" t="s">
        <v>167</v>
      </c>
      <c r="J102" s="16"/>
      <c r="K102" s="15" t="str">
        <f>"100,0"</f>
        <v>100,0</v>
      </c>
      <c r="L102" s="17" t="str">
        <f>"65,9704"</f>
        <v>65,9704</v>
      </c>
      <c r="M102" s="15" t="s">
        <v>47</v>
      </c>
    </row>
    <row r="103" spans="1:13">
      <c r="A103" s="11" t="s">
        <v>660</v>
      </c>
      <c r="B103" s="11" t="s">
        <v>661</v>
      </c>
      <c r="C103" s="11" t="s">
        <v>280</v>
      </c>
      <c r="D103" s="11" t="str">
        <f>"0,6144"</f>
        <v>0,6144</v>
      </c>
      <c r="E103" s="11" t="s">
        <v>14</v>
      </c>
      <c r="F103" s="11" t="s">
        <v>15</v>
      </c>
      <c r="G103" s="13" t="s">
        <v>63</v>
      </c>
      <c r="H103" s="12" t="s">
        <v>64</v>
      </c>
      <c r="I103" s="12" t="s">
        <v>64</v>
      </c>
      <c r="J103" s="12"/>
      <c r="K103" s="11" t="str">
        <f>"140,0"</f>
        <v>140,0</v>
      </c>
      <c r="L103" s="13" t="str">
        <f>"98,6604"</f>
        <v>98,6604</v>
      </c>
      <c r="M103" s="11" t="s">
        <v>47</v>
      </c>
    </row>
    <row r="105" spans="1:13" ht="15">
      <c r="A105" s="26" t="s">
        <v>103</v>
      </c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</row>
    <row r="106" spans="1:13">
      <c r="A106" s="9" t="s">
        <v>662</v>
      </c>
      <c r="B106" s="9" t="s">
        <v>663</v>
      </c>
      <c r="C106" s="9" t="s">
        <v>664</v>
      </c>
      <c r="D106" s="9" t="str">
        <f>"0,5919"</f>
        <v>0,5919</v>
      </c>
      <c r="E106" s="9" t="s">
        <v>14</v>
      </c>
      <c r="F106" s="9" t="s">
        <v>15</v>
      </c>
      <c r="G106" s="10" t="s">
        <v>63</v>
      </c>
      <c r="H106" s="14" t="s">
        <v>63</v>
      </c>
      <c r="I106" s="10" t="s">
        <v>311</v>
      </c>
      <c r="J106" s="10"/>
      <c r="K106" s="9" t="str">
        <f>"140,0"</f>
        <v>140,0</v>
      </c>
      <c r="L106" s="14" t="str">
        <f>"82,8660"</f>
        <v>82,8660</v>
      </c>
      <c r="M106" s="9" t="s">
        <v>19</v>
      </c>
    </row>
    <row r="107" spans="1:13">
      <c r="A107" s="15" t="s">
        <v>665</v>
      </c>
      <c r="B107" s="15" t="s">
        <v>666</v>
      </c>
      <c r="C107" s="15" t="s">
        <v>667</v>
      </c>
      <c r="D107" s="15" t="str">
        <f>"0,5970"</f>
        <v>0,5970</v>
      </c>
      <c r="E107" s="15" t="s">
        <v>14</v>
      </c>
      <c r="F107" s="15" t="s">
        <v>15</v>
      </c>
      <c r="G107" s="17" t="s">
        <v>200</v>
      </c>
      <c r="H107" s="17" t="s">
        <v>251</v>
      </c>
      <c r="I107" s="16" t="s">
        <v>56</v>
      </c>
      <c r="J107" s="16"/>
      <c r="K107" s="15" t="str">
        <f>"165,0"</f>
        <v>165,0</v>
      </c>
      <c r="L107" s="17" t="str">
        <f>"98,5050"</f>
        <v>98,5050</v>
      </c>
      <c r="M107" s="15" t="s">
        <v>668</v>
      </c>
    </row>
    <row r="108" spans="1:13">
      <c r="A108" s="15" t="s">
        <v>669</v>
      </c>
      <c r="B108" s="15" t="s">
        <v>670</v>
      </c>
      <c r="C108" s="15" t="s">
        <v>671</v>
      </c>
      <c r="D108" s="15" t="str">
        <f>"0,5950"</f>
        <v>0,5950</v>
      </c>
      <c r="E108" s="15" t="s">
        <v>24</v>
      </c>
      <c r="F108" s="15" t="s">
        <v>672</v>
      </c>
      <c r="G108" s="17" t="s">
        <v>121</v>
      </c>
      <c r="H108" s="17" t="s">
        <v>251</v>
      </c>
      <c r="I108" s="17" t="s">
        <v>56</v>
      </c>
      <c r="J108" s="16"/>
      <c r="K108" s="15" t="str">
        <f>"170,0"</f>
        <v>170,0</v>
      </c>
      <c r="L108" s="17" t="str">
        <f>"101,1500"</f>
        <v>101,1500</v>
      </c>
      <c r="M108" s="15" t="s">
        <v>19</v>
      </c>
    </row>
    <row r="109" spans="1:13">
      <c r="A109" s="15" t="s">
        <v>673</v>
      </c>
      <c r="B109" s="15" t="s">
        <v>674</v>
      </c>
      <c r="C109" s="15" t="s">
        <v>675</v>
      </c>
      <c r="D109" s="15" t="str">
        <f>"0,5914"</f>
        <v>0,5914</v>
      </c>
      <c r="E109" s="15" t="s">
        <v>24</v>
      </c>
      <c r="F109" s="15" t="s">
        <v>676</v>
      </c>
      <c r="G109" s="17" t="s">
        <v>251</v>
      </c>
      <c r="H109" s="17" t="s">
        <v>56</v>
      </c>
      <c r="I109" s="16" t="s">
        <v>71</v>
      </c>
      <c r="J109" s="16"/>
      <c r="K109" s="15" t="str">
        <f>"170,0"</f>
        <v>170,0</v>
      </c>
      <c r="L109" s="17" t="str">
        <f>"100,5380"</f>
        <v>100,5380</v>
      </c>
      <c r="M109" s="15" t="s">
        <v>47</v>
      </c>
    </row>
    <row r="110" spans="1:13">
      <c r="A110" s="15" t="s">
        <v>677</v>
      </c>
      <c r="B110" s="15" t="s">
        <v>678</v>
      </c>
      <c r="C110" s="15" t="s">
        <v>679</v>
      </c>
      <c r="D110" s="15" t="str">
        <f>"0,6021"</f>
        <v>0,6021</v>
      </c>
      <c r="E110" s="15" t="s">
        <v>14</v>
      </c>
      <c r="F110" s="15" t="s">
        <v>15</v>
      </c>
      <c r="G110" s="17" t="s">
        <v>251</v>
      </c>
      <c r="H110" s="16" t="s">
        <v>80</v>
      </c>
      <c r="I110" s="16" t="s">
        <v>80</v>
      </c>
      <c r="J110" s="16"/>
      <c r="K110" s="15" t="str">
        <f>"165,0"</f>
        <v>165,0</v>
      </c>
      <c r="L110" s="17" t="str">
        <f>"101,3334"</f>
        <v>101,3334</v>
      </c>
      <c r="M110" s="15" t="s">
        <v>680</v>
      </c>
    </row>
    <row r="111" spans="1:13">
      <c r="A111" s="11" t="s">
        <v>681</v>
      </c>
      <c r="B111" s="11" t="s">
        <v>682</v>
      </c>
      <c r="C111" s="11" t="s">
        <v>683</v>
      </c>
      <c r="D111" s="11" t="str">
        <f>"0,5903"</f>
        <v>0,5903</v>
      </c>
      <c r="E111" s="11" t="s">
        <v>14</v>
      </c>
      <c r="F111" s="11" t="s">
        <v>15</v>
      </c>
      <c r="G111" s="13" t="s">
        <v>54</v>
      </c>
      <c r="H111" s="13" t="s">
        <v>200</v>
      </c>
      <c r="I111" s="12" t="s">
        <v>55</v>
      </c>
      <c r="J111" s="12"/>
      <c r="K111" s="11" t="str">
        <f>"157,5"</f>
        <v>157,5</v>
      </c>
      <c r="L111" s="13" t="str">
        <f>"115,8434"</f>
        <v>115,8434</v>
      </c>
      <c r="M111" s="11" t="s">
        <v>19</v>
      </c>
    </row>
    <row r="113" spans="1:13" ht="15">
      <c r="A113" s="26" t="s">
        <v>130</v>
      </c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</row>
    <row r="114" spans="1:13">
      <c r="A114" s="9" t="s">
        <v>685</v>
      </c>
      <c r="B114" s="9" t="s">
        <v>686</v>
      </c>
      <c r="C114" s="9" t="s">
        <v>687</v>
      </c>
      <c r="D114" s="9" t="str">
        <f>"0,5806"</f>
        <v>0,5806</v>
      </c>
      <c r="E114" s="9" t="s">
        <v>14</v>
      </c>
      <c r="F114" s="9" t="s">
        <v>15</v>
      </c>
      <c r="G114" s="14" t="s">
        <v>277</v>
      </c>
      <c r="H114" s="14" t="s">
        <v>144</v>
      </c>
      <c r="I114" s="14" t="s">
        <v>688</v>
      </c>
      <c r="J114" s="10"/>
      <c r="K114" s="9" t="str">
        <f>"202,5"</f>
        <v>202,5</v>
      </c>
      <c r="L114" s="14" t="str">
        <f>"117,5715"</f>
        <v>117,5715</v>
      </c>
      <c r="M114" s="9" t="s">
        <v>19</v>
      </c>
    </row>
    <row r="115" spans="1:13">
      <c r="A115" s="15" t="s">
        <v>689</v>
      </c>
      <c r="B115" s="15" t="s">
        <v>690</v>
      </c>
      <c r="C115" s="15" t="s">
        <v>691</v>
      </c>
      <c r="D115" s="15" t="str">
        <f>"0,5733"</f>
        <v>0,5733</v>
      </c>
      <c r="E115" s="15" t="s">
        <v>14</v>
      </c>
      <c r="F115" s="15" t="s">
        <v>15</v>
      </c>
      <c r="G115" s="17" t="s">
        <v>72</v>
      </c>
      <c r="H115" s="17" t="s">
        <v>109</v>
      </c>
      <c r="I115" s="16" t="s">
        <v>144</v>
      </c>
      <c r="J115" s="16"/>
      <c r="K115" s="15" t="str">
        <f>"190,0"</f>
        <v>190,0</v>
      </c>
      <c r="L115" s="17" t="str">
        <f>"108,9270"</f>
        <v>108,9270</v>
      </c>
      <c r="M115" s="15" t="s">
        <v>369</v>
      </c>
    </row>
    <row r="116" spans="1:13">
      <c r="A116" s="15" t="s">
        <v>692</v>
      </c>
      <c r="B116" s="15" t="s">
        <v>693</v>
      </c>
      <c r="C116" s="15" t="s">
        <v>694</v>
      </c>
      <c r="D116" s="15" t="str">
        <f>"0,5771"</f>
        <v>0,5771</v>
      </c>
      <c r="E116" s="15" t="s">
        <v>14</v>
      </c>
      <c r="F116" s="15" t="s">
        <v>15</v>
      </c>
      <c r="G116" s="17" t="s">
        <v>138</v>
      </c>
      <c r="H116" s="17" t="s">
        <v>63</v>
      </c>
      <c r="I116" s="17" t="s">
        <v>54</v>
      </c>
      <c r="J116" s="16"/>
      <c r="K116" s="15" t="str">
        <f>"150,0"</f>
        <v>150,0</v>
      </c>
      <c r="L116" s="17" t="str">
        <f>"86,5650"</f>
        <v>86,5650</v>
      </c>
      <c r="M116" s="15" t="s">
        <v>695</v>
      </c>
    </row>
    <row r="117" spans="1:13">
      <c r="A117" s="15" t="s">
        <v>696</v>
      </c>
      <c r="B117" s="15" t="s">
        <v>697</v>
      </c>
      <c r="C117" s="15" t="s">
        <v>326</v>
      </c>
      <c r="D117" s="15" t="str">
        <f>"0,5710"</f>
        <v>0,5710</v>
      </c>
      <c r="E117" s="15" t="s">
        <v>24</v>
      </c>
      <c r="F117" s="15" t="s">
        <v>297</v>
      </c>
      <c r="G117" s="16" t="s">
        <v>121</v>
      </c>
      <c r="H117" s="16" t="s">
        <v>121</v>
      </c>
      <c r="I117" s="16" t="s">
        <v>251</v>
      </c>
      <c r="J117" s="16"/>
      <c r="K117" s="15" t="str">
        <f>"0,0"</f>
        <v>0,0</v>
      </c>
      <c r="L117" s="17" t="str">
        <f>"0,0000"</f>
        <v>0,0000</v>
      </c>
      <c r="M117" s="15" t="s">
        <v>19</v>
      </c>
    </row>
    <row r="118" spans="1:13">
      <c r="A118" s="11" t="s">
        <v>685</v>
      </c>
      <c r="B118" s="11" t="s">
        <v>698</v>
      </c>
      <c r="C118" s="11" t="s">
        <v>687</v>
      </c>
      <c r="D118" s="11" t="str">
        <f>"0,5806"</f>
        <v>0,5806</v>
      </c>
      <c r="E118" s="11" t="s">
        <v>14</v>
      </c>
      <c r="F118" s="11" t="s">
        <v>15</v>
      </c>
      <c r="G118" s="13" t="s">
        <v>277</v>
      </c>
      <c r="H118" s="13" t="s">
        <v>144</v>
      </c>
      <c r="I118" s="13" t="s">
        <v>688</v>
      </c>
      <c r="J118" s="12"/>
      <c r="K118" s="11" t="str">
        <f>"202,5"</f>
        <v>202,5</v>
      </c>
      <c r="L118" s="13" t="str">
        <f>"118,7472"</f>
        <v>118,7472</v>
      </c>
      <c r="M118" s="11" t="s">
        <v>19</v>
      </c>
    </row>
    <row r="120" spans="1:13" ht="15">
      <c r="A120" s="26" t="s">
        <v>327</v>
      </c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</row>
    <row r="121" spans="1:13">
      <c r="A121" s="6" t="s">
        <v>700</v>
      </c>
      <c r="B121" s="6" t="s">
        <v>701</v>
      </c>
      <c r="C121" s="6" t="s">
        <v>702</v>
      </c>
      <c r="D121" s="6" t="str">
        <f>"0,5589"</f>
        <v>0,5589</v>
      </c>
      <c r="E121" s="6" t="s">
        <v>14</v>
      </c>
      <c r="F121" s="6" t="s">
        <v>15</v>
      </c>
      <c r="G121" s="8" t="s">
        <v>144</v>
      </c>
      <c r="H121" s="8" t="s">
        <v>146</v>
      </c>
      <c r="I121" s="8" t="s">
        <v>703</v>
      </c>
      <c r="J121" s="7"/>
      <c r="K121" s="6" t="str">
        <f>"212,5"</f>
        <v>212,5</v>
      </c>
      <c r="L121" s="8" t="str">
        <f>"118,7662"</f>
        <v>118,7662</v>
      </c>
      <c r="M121" s="6" t="s">
        <v>47</v>
      </c>
    </row>
    <row r="123" spans="1:13" ht="15">
      <c r="E123" s="18" t="s">
        <v>151</v>
      </c>
    </row>
    <row r="124" spans="1:13" ht="15">
      <c r="E124" s="18" t="s">
        <v>152</v>
      </c>
    </row>
    <row r="125" spans="1:13" ht="15">
      <c r="E125" s="18" t="s">
        <v>153</v>
      </c>
    </row>
    <row r="126" spans="1:13" ht="15">
      <c r="E126" s="18" t="s">
        <v>154</v>
      </c>
    </row>
    <row r="127" spans="1:13" ht="15">
      <c r="E127" s="18" t="s">
        <v>154</v>
      </c>
    </row>
    <row r="128" spans="1:13" ht="15">
      <c r="E128" s="18" t="s">
        <v>155</v>
      </c>
    </row>
    <row r="129" spans="1:5" ht="15">
      <c r="E129" s="18"/>
    </row>
    <row r="131" spans="1:5" ht="18">
      <c r="A131" s="19" t="s">
        <v>156</v>
      </c>
      <c r="B131" s="19"/>
    </row>
    <row r="132" spans="1:5" ht="15">
      <c r="A132" s="20" t="s">
        <v>157</v>
      </c>
      <c r="B132" s="20"/>
    </row>
    <row r="133" spans="1:5" ht="14.25">
      <c r="A133" s="22"/>
      <c r="B133" s="23" t="s">
        <v>158</v>
      </c>
    </row>
    <row r="134" spans="1:5" ht="15">
      <c r="A134" s="24" t="s">
        <v>159</v>
      </c>
      <c r="B134" s="24" t="s">
        <v>160</v>
      </c>
      <c r="C134" s="24" t="s">
        <v>161</v>
      </c>
      <c r="D134" s="24" t="s">
        <v>162</v>
      </c>
      <c r="E134" s="24" t="s">
        <v>163</v>
      </c>
    </row>
    <row r="135" spans="1:5">
      <c r="A135" s="21" t="s">
        <v>420</v>
      </c>
      <c r="B135" s="5" t="s">
        <v>158</v>
      </c>
      <c r="C135" s="5" t="s">
        <v>164</v>
      </c>
      <c r="D135" s="5" t="s">
        <v>411</v>
      </c>
      <c r="E135" s="25" t="s">
        <v>704</v>
      </c>
    </row>
    <row r="138" spans="1:5" ht="15">
      <c r="A138" s="20" t="s">
        <v>165</v>
      </c>
      <c r="B138" s="20"/>
    </row>
    <row r="139" spans="1:5" ht="14.25">
      <c r="A139" s="22"/>
      <c r="B139" s="23" t="s">
        <v>166</v>
      </c>
    </row>
    <row r="140" spans="1:5" ht="15">
      <c r="A140" s="24" t="s">
        <v>159</v>
      </c>
      <c r="B140" s="24" t="s">
        <v>160</v>
      </c>
      <c r="C140" s="24" t="s">
        <v>161</v>
      </c>
      <c r="D140" s="24" t="s">
        <v>162</v>
      </c>
      <c r="E140" s="24" t="s">
        <v>163</v>
      </c>
    </row>
    <row r="141" spans="1:5">
      <c r="A141" s="21" t="s">
        <v>481</v>
      </c>
      <c r="B141" s="5" t="s">
        <v>332</v>
      </c>
      <c r="C141" s="5" t="s">
        <v>17</v>
      </c>
      <c r="D141" s="5" t="s">
        <v>484</v>
      </c>
      <c r="E141" s="25" t="s">
        <v>705</v>
      </c>
    </row>
    <row r="143" spans="1:5" ht="14.25">
      <c r="A143" s="22"/>
      <c r="B143" s="23" t="s">
        <v>168</v>
      </c>
    </row>
    <row r="144" spans="1:5" ht="15">
      <c r="A144" s="24" t="s">
        <v>159</v>
      </c>
      <c r="B144" s="24" t="s">
        <v>160</v>
      </c>
      <c r="C144" s="24" t="s">
        <v>161</v>
      </c>
      <c r="D144" s="24" t="s">
        <v>162</v>
      </c>
      <c r="E144" s="24" t="s">
        <v>163</v>
      </c>
    </row>
    <row r="145" spans="1:5">
      <c r="A145" s="21" t="s">
        <v>533</v>
      </c>
      <c r="B145" s="5" t="s">
        <v>169</v>
      </c>
      <c r="C145" s="5" t="s">
        <v>172</v>
      </c>
      <c r="D145" s="5" t="s">
        <v>121</v>
      </c>
      <c r="E145" s="25" t="s">
        <v>706</v>
      </c>
    </row>
    <row r="147" spans="1:5" ht="14.25">
      <c r="A147" s="22"/>
      <c r="B147" s="23" t="s">
        <v>158</v>
      </c>
    </row>
    <row r="148" spans="1:5" ht="15">
      <c r="A148" s="24" t="s">
        <v>159</v>
      </c>
      <c r="B148" s="24" t="s">
        <v>160</v>
      </c>
      <c r="C148" s="24" t="s">
        <v>161</v>
      </c>
      <c r="D148" s="24" t="s">
        <v>162</v>
      </c>
      <c r="E148" s="24" t="s">
        <v>163</v>
      </c>
    </row>
    <row r="149" spans="1:5">
      <c r="A149" s="21" t="s">
        <v>699</v>
      </c>
      <c r="B149" s="5" t="s">
        <v>158</v>
      </c>
      <c r="C149" s="5" t="s">
        <v>63</v>
      </c>
      <c r="D149" s="5" t="s">
        <v>703</v>
      </c>
      <c r="E149" s="25" t="s">
        <v>707</v>
      </c>
    </row>
    <row r="150" spans="1:5">
      <c r="A150" s="21" t="s">
        <v>684</v>
      </c>
      <c r="B150" s="5" t="s">
        <v>158</v>
      </c>
      <c r="C150" s="5" t="s">
        <v>137</v>
      </c>
      <c r="D150" s="5" t="s">
        <v>688</v>
      </c>
      <c r="E150" s="25" t="s">
        <v>708</v>
      </c>
    </row>
    <row r="151" spans="1:5">
      <c r="A151" s="21" t="s">
        <v>587</v>
      </c>
      <c r="B151" s="5" t="s">
        <v>158</v>
      </c>
      <c r="C151" s="5" t="s">
        <v>170</v>
      </c>
      <c r="D151" s="5" t="s">
        <v>71</v>
      </c>
      <c r="E151" s="25" t="s">
        <v>709</v>
      </c>
    </row>
    <row r="153" spans="1:5" ht="14.25">
      <c r="A153" s="22"/>
      <c r="B153" s="23" t="s">
        <v>173</v>
      </c>
    </row>
    <row r="154" spans="1:5" ht="15">
      <c r="A154" s="24" t="s">
        <v>159</v>
      </c>
      <c r="B154" s="24" t="s">
        <v>160</v>
      </c>
      <c r="C154" s="24" t="s">
        <v>161</v>
      </c>
      <c r="D154" s="24" t="s">
        <v>162</v>
      </c>
      <c r="E154" s="24" t="s">
        <v>163</v>
      </c>
    </row>
    <row r="155" spans="1:5">
      <c r="A155" s="21" t="s">
        <v>515</v>
      </c>
      <c r="B155" s="5" t="s">
        <v>176</v>
      </c>
      <c r="C155" s="5" t="s">
        <v>17</v>
      </c>
      <c r="D155" s="5" t="s">
        <v>205</v>
      </c>
      <c r="E155" s="25" t="s">
        <v>710</v>
      </c>
    </row>
    <row r="156" spans="1:5">
      <c r="A156" s="21" t="s">
        <v>622</v>
      </c>
      <c r="B156" s="5" t="s">
        <v>338</v>
      </c>
      <c r="C156" s="5" t="s">
        <v>170</v>
      </c>
      <c r="D156" s="5" t="s">
        <v>518</v>
      </c>
      <c r="E156" s="25" t="s">
        <v>711</v>
      </c>
    </row>
    <row r="157" spans="1:5">
      <c r="A157" s="21" t="s">
        <v>578</v>
      </c>
      <c r="B157" s="5" t="s">
        <v>712</v>
      </c>
      <c r="C157" s="5" t="s">
        <v>172</v>
      </c>
      <c r="D157" s="5" t="s">
        <v>582</v>
      </c>
      <c r="E157" s="25" t="s">
        <v>713</v>
      </c>
    </row>
  </sheetData>
  <mergeCells count="27">
    <mergeCell ref="A120:L120"/>
    <mergeCell ref="A43:L43"/>
    <mergeCell ref="A56:L56"/>
    <mergeCell ref="A76:L76"/>
    <mergeCell ref="A91:L91"/>
    <mergeCell ref="A105:L105"/>
    <mergeCell ref="A113:L113"/>
    <mergeCell ref="A34:L34"/>
    <mergeCell ref="K3:K4"/>
    <mergeCell ref="L3:L4"/>
    <mergeCell ref="M3:M4"/>
    <mergeCell ref="A5:L5"/>
    <mergeCell ref="A8:L8"/>
    <mergeCell ref="A11:L11"/>
    <mergeCell ref="A15:L15"/>
    <mergeCell ref="A21:L21"/>
    <mergeCell ref="A24:L24"/>
    <mergeCell ref="A27:L27"/>
    <mergeCell ref="A30:L30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O5" sqref="O5"/>
    </sheetView>
  </sheetViews>
  <sheetFormatPr defaultRowHeight="12.75"/>
  <cols>
    <col min="1" max="1" width="26" style="5" bestFit="1" customWidth="1"/>
    <col min="2" max="2" width="29.7109375" style="5" bestFit="1" customWidth="1"/>
    <col min="3" max="3" width="10.5703125" style="5" bestFit="1" customWidth="1"/>
    <col min="4" max="4" width="8.42578125" style="5" bestFit="1" customWidth="1"/>
    <col min="5" max="5" width="22.7109375" style="5" bestFit="1" customWidth="1"/>
    <col min="6" max="6" width="31.140625" style="5" bestFit="1" customWidth="1"/>
    <col min="7" max="10" width="5.5703125" style="4" bestFit="1" customWidth="1"/>
    <col min="11" max="11" width="7.85546875" style="5" bestFit="1" customWidth="1"/>
    <col min="12" max="12" width="8.5703125" style="4" bestFit="1" customWidth="1"/>
    <col min="13" max="13" width="11.140625" style="5" bestFit="1" customWidth="1"/>
    <col min="14" max="16384" width="9.140625" style="4"/>
  </cols>
  <sheetData>
    <row r="1" spans="1:13" s="3" customFormat="1" ht="29.1" customHeight="1">
      <c r="A1" s="30" t="s">
        <v>383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3" customFormat="1" ht="62.1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2.75" customHeight="1">
      <c r="A3" s="36" t="s">
        <v>0</v>
      </c>
      <c r="B3" s="38" t="s">
        <v>6</v>
      </c>
      <c r="C3" s="38" t="s">
        <v>8</v>
      </c>
      <c r="D3" s="27" t="s">
        <v>9</v>
      </c>
      <c r="E3" s="27" t="s">
        <v>4</v>
      </c>
      <c r="F3" s="27" t="s">
        <v>7</v>
      </c>
      <c r="G3" s="27" t="s">
        <v>1</v>
      </c>
      <c r="H3" s="27"/>
      <c r="I3" s="27"/>
      <c r="J3" s="27"/>
      <c r="K3" s="27" t="s">
        <v>181</v>
      </c>
      <c r="L3" s="27" t="s">
        <v>3</v>
      </c>
      <c r="M3" s="39" t="s">
        <v>2</v>
      </c>
    </row>
    <row r="4" spans="1:13" s="1" customFormat="1" ht="21" customHeight="1" thickBot="1">
      <c r="A4" s="37"/>
      <c r="B4" s="28"/>
      <c r="C4" s="28"/>
      <c r="D4" s="28"/>
      <c r="E4" s="28"/>
      <c r="F4" s="28"/>
      <c r="G4" s="2">
        <v>1</v>
      </c>
      <c r="H4" s="2">
        <v>2</v>
      </c>
      <c r="I4" s="2">
        <v>3</v>
      </c>
      <c r="J4" s="2" t="s">
        <v>5</v>
      </c>
      <c r="K4" s="28"/>
      <c r="L4" s="28"/>
      <c r="M4" s="40"/>
    </row>
    <row r="5" spans="1:13" ht="15">
      <c r="A5" s="29" t="s">
        <v>49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3">
      <c r="A6" s="6" t="s">
        <v>384</v>
      </c>
      <c r="B6" s="6" t="s">
        <v>385</v>
      </c>
      <c r="C6" s="6" t="s">
        <v>386</v>
      </c>
      <c r="D6" s="6" t="str">
        <f>"0,9283"</f>
        <v>0,9283</v>
      </c>
      <c r="E6" s="6" t="s">
        <v>387</v>
      </c>
      <c r="F6" s="6" t="s">
        <v>388</v>
      </c>
      <c r="G6" s="8" t="s">
        <v>56</v>
      </c>
      <c r="H6" s="7" t="s">
        <v>108</v>
      </c>
      <c r="I6" s="8" t="s">
        <v>108</v>
      </c>
      <c r="J6" s="8" t="s">
        <v>144</v>
      </c>
      <c r="K6" s="6" t="str">
        <f>"185,0"</f>
        <v>185,0</v>
      </c>
      <c r="L6" s="8" t="str">
        <f>"171,7355"</f>
        <v>171,7355</v>
      </c>
      <c r="M6" s="6" t="s">
        <v>389</v>
      </c>
    </row>
    <row r="8" spans="1:13" ht="15">
      <c r="A8" s="26" t="s">
        <v>103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3">
      <c r="A9" s="9" t="s">
        <v>390</v>
      </c>
      <c r="B9" s="9" t="s">
        <v>391</v>
      </c>
      <c r="C9" s="9" t="s">
        <v>392</v>
      </c>
      <c r="D9" s="9" t="str">
        <f>"0,5943"</f>
        <v>0,5943</v>
      </c>
      <c r="E9" s="9" t="s">
        <v>14</v>
      </c>
      <c r="F9" s="9" t="s">
        <v>15</v>
      </c>
      <c r="G9" s="14" t="s">
        <v>393</v>
      </c>
      <c r="H9" s="10" t="s">
        <v>359</v>
      </c>
      <c r="I9" s="10"/>
      <c r="J9" s="10"/>
      <c r="K9" s="9" t="str">
        <f>"252,5"</f>
        <v>252,5</v>
      </c>
      <c r="L9" s="14" t="str">
        <f>"150,0607"</f>
        <v>150,0607</v>
      </c>
      <c r="M9" s="9" t="s">
        <v>47</v>
      </c>
    </row>
    <row r="10" spans="1:13">
      <c r="A10" s="11" t="s">
        <v>390</v>
      </c>
      <c r="B10" s="11" t="s">
        <v>394</v>
      </c>
      <c r="C10" s="11" t="s">
        <v>392</v>
      </c>
      <c r="D10" s="11" t="str">
        <f>"0,5943"</f>
        <v>0,5943</v>
      </c>
      <c r="E10" s="11" t="s">
        <v>14</v>
      </c>
      <c r="F10" s="11" t="s">
        <v>15</v>
      </c>
      <c r="G10" s="13" t="s">
        <v>393</v>
      </c>
      <c r="H10" s="12" t="s">
        <v>359</v>
      </c>
      <c r="I10" s="12"/>
      <c r="J10" s="12"/>
      <c r="K10" s="11" t="str">
        <f>"252,5"</f>
        <v>252,5</v>
      </c>
      <c r="L10" s="13" t="str">
        <f>"172,1197"</f>
        <v>172,1197</v>
      </c>
      <c r="M10" s="11" t="s">
        <v>47</v>
      </c>
    </row>
    <row r="12" spans="1:13" ht="15">
      <c r="E12" s="18" t="s">
        <v>151</v>
      </c>
    </row>
    <row r="13" spans="1:13" ht="15">
      <c r="E13" s="18" t="s">
        <v>152</v>
      </c>
    </row>
    <row r="14" spans="1:13" ht="15">
      <c r="E14" s="18" t="s">
        <v>153</v>
      </c>
    </row>
    <row r="15" spans="1:13" ht="15">
      <c r="E15" s="18" t="s">
        <v>154</v>
      </c>
    </row>
    <row r="16" spans="1:13" ht="15">
      <c r="E16" s="18" t="s">
        <v>154</v>
      </c>
    </row>
    <row r="17" spans="1:5" ht="15">
      <c r="E17" s="18" t="s">
        <v>155</v>
      </c>
    </row>
    <row r="18" spans="1:5" ht="15">
      <c r="E18" s="18"/>
    </row>
    <row r="20" spans="1:5" ht="18">
      <c r="A20" s="19" t="s">
        <v>156</v>
      </c>
      <c r="B20" s="19"/>
    </row>
  </sheetData>
  <mergeCells count="13"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46"/>
  <sheetViews>
    <sheetView workbookViewId="0">
      <selection activeCell="O5" sqref="O5"/>
    </sheetView>
  </sheetViews>
  <sheetFormatPr defaultRowHeight="12.75"/>
  <cols>
    <col min="1" max="1" width="26" style="5" bestFit="1" customWidth="1"/>
    <col min="2" max="2" width="29.7109375" style="5" bestFit="1" customWidth="1"/>
    <col min="3" max="3" width="10.5703125" style="5" bestFit="1" customWidth="1"/>
    <col min="4" max="4" width="8.42578125" style="5" bestFit="1" customWidth="1"/>
    <col min="5" max="5" width="22.7109375" style="5" bestFit="1" customWidth="1"/>
    <col min="6" max="6" width="31.42578125" style="5" bestFit="1" customWidth="1"/>
    <col min="7" max="9" width="5.5703125" style="4" bestFit="1" customWidth="1"/>
    <col min="10" max="10" width="4.85546875" style="4" bestFit="1" customWidth="1"/>
    <col min="11" max="11" width="7.85546875" style="5" bestFit="1" customWidth="1"/>
    <col min="12" max="12" width="8.5703125" style="4" bestFit="1" customWidth="1"/>
    <col min="13" max="13" width="14.7109375" style="5" bestFit="1" customWidth="1"/>
    <col min="14" max="16384" width="9.140625" style="4"/>
  </cols>
  <sheetData>
    <row r="1" spans="1:13" s="3" customFormat="1" ht="29.1" customHeight="1">
      <c r="A1" s="30" t="s">
        <v>339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3" customFormat="1" ht="62.1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2.75" customHeight="1">
      <c r="A3" s="36" t="s">
        <v>0</v>
      </c>
      <c r="B3" s="38" t="s">
        <v>6</v>
      </c>
      <c r="C3" s="38" t="s">
        <v>8</v>
      </c>
      <c r="D3" s="27" t="s">
        <v>9</v>
      </c>
      <c r="E3" s="27" t="s">
        <v>4</v>
      </c>
      <c r="F3" s="27" t="s">
        <v>7</v>
      </c>
      <c r="G3" s="27" t="s">
        <v>1</v>
      </c>
      <c r="H3" s="27"/>
      <c r="I3" s="27"/>
      <c r="J3" s="27"/>
      <c r="K3" s="27" t="s">
        <v>181</v>
      </c>
      <c r="L3" s="27" t="s">
        <v>3</v>
      </c>
      <c r="M3" s="39" t="s">
        <v>2</v>
      </c>
    </row>
    <row r="4" spans="1:13" s="1" customFormat="1" ht="21" customHeight="1" thickBot="1">
      <c r="A4" s="37"/>
      <c r="B4" s="28"/>
      <c r="C4" s="28"/>
      <c r="D4" s="28"/>
      <c r="E4" s="28"/>
      <c r="F4" s="28"/>
      <c r="G4" s="2">
        <v>1</v>
      </c>
      <c r="H4" s="2">
        <v>2</v>
      </c>
      <c r="I4" s="2">
        <v>3</v>
      </c>
      <c r="J4" s="2" t="s">
        <v>5</v>
      </c>
      <c r="K4" s="28"/>
      <c r="L4" s="28"/>
      <c r="M4" s="40"/>
    </row>
    <row r="5" spans="1:13" ht="15">
      <c r="A5" s="29" t="s">
        <v>10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3">
      <c r="A6" s="6" t="s">
        <v>340</v>
      </c>
      <c r="B6" s="6" t="s">
        <v>341</v>
      </c>
      <c r="C6" s="6" t="s">
        <v>342</v>
      </c>
      <c r="D6" s="6" t="str">
        <f>"1,1588"</f>
        <v>1,1588</v>
      </c>
      <c r="E6" s="6" t="s">
        <v>14</v>
      </c>
      <c r="F6" s="6" t="s">
        <v>15</v>
      </c>
      <c r="G6" s="7" t="s">
        <v>101</v>
      </c>
      <c r="H6" s="7" t="s">
        <v>101</v>
      </c>
      <c r="I6" s="8" t="s">
        <v>101</v>
      </c>
      <c r="J6" s="7"/>
      <c r="K6" s="6" t="str">
        <f>"110,0"</f>
        <v>110,0</v>
      </c>
      <c r="L6" s="8" t="str">
        <f>"127,4680"</f>
        <v>127,4680</v>
      </c>
      <c r="M6" s="6" t="s">
        <v>19</v>
      </c>
    </row>
    <row r="8" spans="1:13" ht="15">
      <c r="A8" s="26" t="s">
        <v>30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3">
      <c r="A9" s="6" t="s">
        <v>343</v>
      </c>
      <c r="B9" s="6" t="s">
        <v>344</v>
      </c>
      <c r="C9" s="6" t="s">
        <v>345</v>
      </c>
      <c r="D9" s="6" t="str">
        <f>"1,0206"</f>
        <v>1,0206</v>
      </c>
      <c r="E9" s="6" t="s">
        <v>24</v>
      </c>
      <c r="F9" s="6" t="s">
        <v>346</v>
      </c>
      <c r="G9" s="7" t="s">
        <v>101</v>
      </c>
      <c r="H9" s="7" t="s">
        <v>101</v>
      </c>
      <c r="I9" s="7" t="s">
        <v>101</v>
      </c>
      <c r="J9" s="7"/>
      <c r="K9" s="6" t="str">
        <f>"0,0"</f>
        <v>0,0</v>
      </c>
      <c r="L9" s="8" t="str">
        <f>"0,0000"</f>
        <v>0,0000</v>
      </c>
      <c r="M9" s="6" t="s">
        <v>347</v>
      </c>
    </row>
    <row r="11" spans="1:13" ht="15">
      <c r="A11" s="26" t="s">
        <v>42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13">
      <c r="A12" s="9" t="s">
        <v>43</v>
      </c>
      <c r="B12" s="9" t="s">
        <v>44</v>
      </c>
      <c r="C12" s="9" t="s">
        <v>45</v>
      </c>
      <c r="D12" s="9" t="str">
        <f>"0,7228"</f>
        <v>0,7228</v>
      </c>
      <c r="E12" s="9" t="s">
        <v>14</v>
      </c>
      <c r="F12" s="9" t="s">
        <v>15</v>
      </c>
      <c r="G12" s="14" t="s">
        <v>46</v>
      </c>
      <c r="H12" s="10"/>
      <c r="I12" s="10"/>
      <c r="J12" s="10"/>
      <c r="K12" s="9" t="str">
        <f>"67,5"</f>
        <v>67,5</v>
      </c>
      <c r="L12" s="14" t="str">
        <f>"48,7890"</f>
        <v>48,7890</v>
      </c>
      <c r="M12" s="9" t="s">
        <v>47</v>
      </c>
    </row>
    <row r="13" spans="1:13">
      <c r="A13" s="11" t="s">
        <v>43</v>
      </c>
      <c r="B13" s="11" t="s">
        <v>48</v>
      </c>
      <c r="C13" s="11" t="s">
        <v>45</v>
      </c>
      <c r="D13" s="11" t="str">
        <f>"0,7228"</f>
        <v>0,7228</v>
      </c>
      <c r="E13" s="11" t="s">
        <v>14</v>
      </c>
      <c r="F13" s="11" t="s">
        <v>15</v>
      </c>
      <c r="G13" s="13" t="s">
        <v>46</v>
      </c>
      <c r="H13" s="12"/>
      <c r="I13" s="12"/>
      <c r="J13" s="12"/>
      <c r="K13" s="11" t="str">
        <f>"67,5"</f>
        <v>67,5</v>
      </c>
      <c r="L13" s="13" t="str">
        <f>"67,9631"</f>
        <v>67,9631</v>
      </c>
      <c r="M13" s="11" t="s">
        <v>47</v>
      </c>
    </row>
    <row r="15" spans="1:13" ht="15">
      <c r="A15" s="26" t="s">
        <v>49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1:13">
      <c r="A16" s="6" t="s">
        <v>348</v>
      </c>
      <c r="B16" s="6" t="s">
        <v>349</v>
      </c>
      <c r="C16" s="6" t="s">
        <v>350</v>
      </c>
      <c r="D16" s="6" t="str">
        <f>"0,6724"</f>
        <v>0,6724</v>
      </c>
      <c r="E16" s="6" t="s">
        <v>24</v>
      </c>
      <c r="F16" s="6" t="s">
        <v>267</v>
      </c>
      <c r="G16" s="8" t="s">
        <v>144</v>
      </c>
      <c r="H16" s="8" t="s">
        <v>146</v>
      </c>
      <c r="I16" s="7" t="s">
        <v>298</v>
      </c>
      <c r="J16" s="7"/>
      <c r="K16" s="6" t="str">
        <f>"210,0"</f>
        <v>210,0</v>
      </c>
      <c r="L16" s="8" t="str">
        <f>"179,0467"</f>
        <v>179,0467</v>
      </c>
      <c r="M16" s="6" t="s">
        <v>271</v>
      </c>
    </row>
    <row r="18" spans="1:13" ht="15">
      <c r="A18" s="26" t="s">
        <v>66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spans="1:13">
      <c r="A19" s="6" t="s">
        <v>351</v>
      </c>
      <c r="B19" s="6" t="s">
        <v>352</v>
      </c>
      <c r="C19" s="6" t="s">
        <v>353</v>
      </c>
      <c r="D19" s="6" t="str">
        <f>"0,6440"</f>
        <v>0,6440</v>
      </c>
      <c r="E19" s="6" t="s">
        <v>354</v>
      </c>
      <c r="F19" s="6" t="s">
        <v>355</v>
      </c>
      <c r="G19" s="8" t="s">
        <v>144</v>
      </c>
      <c r="H19" s="8" t="s">
        <v>146</v>
      </c>
      <c r="I19" s="7" t="s">
        <v>268</v>
      </c>
      <c r="J19" s="7"/>
      <c r="K19" s="6" t="str">
        <f>"210,0"</f>
        <v>210,0</v>
      </c>
      <c r="L19" s="8" t="str">
        <f>"150,5221"</f>
        <v>150,5221</v>
      </c>
      <c r="M19" s="6" t="s">
        <v>19</v>
      </c>
    </row>
    <row r="21" spans="1:13" ht="15">
      <c r="A21" s="26" t="s">
        <v>86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1:13">
      <c r="A22" s="6" t="s">
        <v>356</v>
      </c>
      <c r="B22" s="6" t="s">
        <v>357</v>
      </c>
      <c r="C22" s="6" t="s">
        <v>274</v>
      </c>
      <c r="D22" s="6" t="str">
        <f>"0,6142"</f>
        <v>0,6142</v>
      </c>
      <c r="E22" s="6" t="s">
        <v>24</v>
      </c>
      <c r="F22" s="6" t="s">
        <v>358</v>
      </c>
      <c r="G22" s="7" t="s">
        <v>359</v>
      </c>
      <c r="H22" s="7" t="s">
        <v>359</v>
      </c>
      <c r="I22" s="7" t="s">
        <v>359</v>
      </c>
      <c r="J22" s="7"/>
      <c r="K22" s="6" t="str">
        <f>"0,0"</f>
        <v>0,0</v>
      </c>
      <c r="L22" s="8" t="str">
        <f>"0,0000"</f>
        <v>0,0000</v>
      </c>
      <c r="M22" s="6" t="s">
        <v>19</v>
      </c>
    </row>
    <row r="24" spans="1:13" ht="15">
      <c r="A24" s="26" t="s">
        <v>103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13">
      <c r="A25" s="9" t="s">
        <v>361</v>
      </c>
      <c r="B25" s="9" t="s">
        <v>362</v>
      </c>
      <c r="C25" s="9" t="s">
        <v>363</v>
      </c>
      <c r="D25" s="9" t="str">
        <f>"0,5924"</f>
        <v>0,5924</v>
      </c>
      <c r="E25" s="9" t="s">
        <v>14</v>
      </c>
      <c r="F25" s="9" t="s">
        <v>15</v>
      </c>
      <c r="G25" s="10" t="s">
        <v>319</v>
      </c>
      <c r="H25" s="10" t="s">
        <v>319</v>
      </c>
      <c r="I25" s="14" t="s">
        <v>364</v>
      </c>
      <c r="J25" s="10"/>
      <c r="K25" s="9" t="str">
        <f>"250,0"</f>
        <v>250,0</v>
      </c>
      <c r="L25" s="14" t="str">
        <f>"148,1000"</f>
        <v>148,1000</v>
      </c>
      <c r="M25" s="9" t="s">
        <v>365</v>
      </c>
    </row>
    <row r="26" spans="1:13">
      <c r="A26" s="15" t="s">
        <v>366</v>
      </c>
      <c r="B26" s="15" t="s">
        <v>367</v>
      </c>
      <c r="C26" s="15" t="s">
        <v>368</v>
      </c>
      <c r="D26" s="15" t="str">
        <f>"0,5930"</f>
        <v>0,5930</v>
      </c>
      <c r="E26" s="15" t="s">
        <v>14</v>
      </c>
      <c r="F26" s="15" t="s">
        <v>15</v>
      </c>
      <c r="G26" s="16" t="s">
        <v>269</v>
      </c>
      <c r="H26" s="16" t="s">
        <v>269</v>
      </c>
      <c r="I26" s="17" t="s">
        <v>269</v>
      </c>
      <c r="J26" s="16"/>
      <c r="K26" s="15" t="str">
        <f>"225,0"</f>
        <v>225,0</v>
      </c>
      <c r="L26" s="17" t="str">
        <f>"133,4250"</f>
        <v>133,4250</v>
      </c>
      <c r="M26" s="15" t="s">
        <v>369</v>
      </c>
    </row>
    <row r="27" spans="1:13">
      <c r="A27" s="11" t="s">
        <v>361</v>
      </c>
      <c r="B27" s="11" t="s">
        <v>370</v>
      </c>
      <c r="C27" s="11" t="s">
        <v>363</v>
      </c>
      <c r="D27" s="11" t="str">
        <f>"0,5924"</f>
        <v>0,5924</v>
      </c>
      <c r="E27" s="11" t="s">
        <v>14</v>
      </c>
      <c r="F27" s="11" t="s">
        <v>15</v>
      </c>
      <c r="G27" s="12" t="s">
        <v>319</v>
      </c>
      <c r="H27" s="12" t="s">
        <v>319</v>
      </c>
      <c r="I27" s="13" t="s">
        <v>364</v>
      </c>
      <c r="J27" s="12"/>
      <c r="K27" s="11" t="str">
        <f>"250,0"</f>
        <v>250,0</v>
      </c>
      <c r="L27" s="13" t="str">
        <f>"162,4657"</f>
        <v>162,4657</v>
      </c>
      <c r="M27" s="11" t="s">
        <v>365</v>
      </c>
    </row>
    <row r="29" spans="1:13" ht="15">
      <c r="A29" s="26" t="s">
        <v>130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1:13">
      <c r="A30" s="9" t="s">
        <v>371</v>
      </c>
      <c r="B30" s="9" t="s">
        <v>372</v>
      </c>
      <c r="C30" s="9" t="s">
        <v>373</v>
      </c>
      <c r="D30" s="9" t="str">
        <f>"0,5841"</f>
        <v>0,5841</v>
      </c>
      <c r="E30" s="9" t="s">
        <v>374</v>
      </c>
      <c r="F30" s="9" t="s">
        <v>375</v>
      </c>
      <c r="G30" s="14" t="s">
        <v>319</v>
      </c>
      <c r="H30" s="10" t="s">
        <v>364</v>
      </c>
      <c r="I30" s="14" t="s">
        <v>364</v>
      </c>
      <c r="J30" s="10"/>
      <c r="K30" s="9" t="str">
        <f>"250,0"</f>
        <v>250,0</v>
      </c>
      <c r="L30" s="14" t="str">
        <f>"146,0250"</f>
        <v>146,0250</v>
      </c>
      <c r="M30" s="9" t="s">
        <v>47</v>
      </c>
    </row>
    <row r="31" spans="1:13">
      <c r="A31" s="15" t="s">
        <v>376</v>
      </c>
      <c r="B31" s="15" t="s">
        <v>377</v>
      </c>
      <c r="C31" s="15" t="s">
        <v>378</v>
      </c>
      <c r="D31" s="15" t="str">
        <f>"0,5805"</f>
        <v>0,5805</v>
      </c>
      <c r="E31" s="15" t="s">
        <v>374</v>
      </c>
      <c r="F31" s="15" t="s">
        <v>375</v>
      </c>
      <c r="G31" s="17" t="s">
        <v>268</v>
      </c>
      <c r="H31" s="16" t="s">
        <v>318</v>
      </c>
      <c r="I31" s="16" t="s">
        <v>318</v>
      </c>
      <c r="J31" s="16"/>
      <c r="K31" s="15" t="str">
        <f>"220,0"</f>
        <v>220,0</v>
      </c>
      <c r="L31" s="17" t="str">
        <f>"127,7100"</f>
        <v>127,7100</v>
      </c>
      <c r="M31" s="15" t="s">
        <v>379</v>
      </c>
    </row>
    <row r="32" spans="1:13">
      <c r="A32" s="11" t="s">
        <v>380</v>
      </c>
      <c r="B32" s="11" t="s">
        <v>381</v>
      </c>
      <c r="C32" s="11" t="s">
        <v>378</v>
      </c>
      <c r="D32" s="11" t="str">
        <f>"0,5805"</f>
        <v>0,5805</v>
      </c>
      <c r="E32" s="11" t="s">
        <v>374</v>
      </c>
      <c r="F32" s="11" t="s">
        <v>375</v>
      </c>
      <c r="G32" s="13" t="s">
        <v>268</v>
      </c>
      <c r="H32" s="12" t="s">
        <v>318</v>
      </c>
      <c r="I32" s="12" t="s">
        <v>318</v>
      </c>
      <c r="J32" s="12"/>
      <c r="K32" s="11" t="str">
        <f>"220,0"</f>
        <v>220,0</v>
      </c>
      <c r="L32" s="13" t="str">
        <f>"134,7341"</f>
        <v>134,7341</v>
      </c>
      <c r="M32" s="11" t="s">
        <v>379</v>
      </c>
    </row>
    <row r="34" spans="1:5" ht="15">
      <c r="E34" s="18" t="s">
        <v>151</v>
      </c>
    </row>
    <row r="35" spans="1:5" ht="15">
      <c r="E35" s="18" t="s">
        <v>152</v>
      </c>
    </row>
    <row r="36" spans="1:5" ht="15">
      <c r="E36" s="18" t="s">
        <v>153</v>
      </c>
    </row>
    <row r="37" spans="1:5" ht="15">
      <c r="E37" s="18" t="s">
        <v>154</v>
      </c>
    </row>
    <row r="38" spans="1:5" ht="15">
      <c r="E38" s="18" t="s">
        <v>154</v>
      </c>
    </row>
    <row r="39" spans="1:5" ht="15">
      <c r="E39" s="18" t="s">
        <v>155</v>
      </c>
    </row>
    <row r="40" spans="1:5" ht="15">
      <c r="E40" s="18"/>
    </row>
    <row r="42" spans="1:5" ht="18">
      <c r="A42" s="19" t="s">
        <v>156</v>
      </c>
      <c r="B42" s="19"/>
    </row>
    <row r="43" spans="1:5" ht="15">
      <c r="A43" s="20" t="s">
        <v>165</v>
      </c>
      <c r="B43" s="20"/>
    </row>
    <row r="44" spans="1:5" ht="14.25">
      <c r="A44" s="22"/>
      <c r="B44" s="23" t="s">
        <v>158</v>
      </c>
    </row>
    <row r="45" spans="1:5" ht="15">
      <c r="A45" s="24" t="s">
        <v>159</v>
      </c>
      <c r="B45" s="24" t="s">
        <v>160</v>
      </c>
      <c r="C45" s="24" t="s">
        <v>161</v>
      </c>
      <c r="D45" s="24" t="s">
        <v>162</v>
      </c>
      <c r="E45" s="24" t="s">
        <v>163</v>
      </c>
    </row>
    <row r="46" spans="1:5">
      <c r="A46" s="21" t="s">
        <v>360</v>
      </c>
      <c r="B46" s="5" t="s">
        <v>158</v>
      </c>
      <c r="C46" s="5" t="s">
        <v>101</v>
      </c>
      <c r="D46" s="5" t="s">
        <v>364</v>
      </c>
      <c r="E46" s="25" t="s">
        <v>382</v>
      </c>
    </row>
  </sheetData>
  <mergeCells count="19">
    <mergeCell ref="A15:L15"/>
    <mergeCell ref="A18:L18"/>
    <mergeCell ref="A21:L21"/>
    <mergeCell ref="A24:L24"/>
    <mergeCell ref="A29:L29"/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76"/>
  <sheetViews>
    <sheetView workbookViewId="0">
      <selection activeCell="N6" sqref="N6"/>
    </sheetView>
  </sheetViews>
  <sheetFormatPr defaultRowHeight="12.75"/>
  <cols>
    <col min="1" max="1" width="26" style="5" bestFit="1" customWidth="1"/>
    <col min="2" max="2" width="29.7109375" style="5" bestFit="1" customWidth="1"/>
    <col min="3" max="3" width="10.5703125" style="5" bestFit="1" customWidth="1"/>
    <col min="4" max="4" width="8.42578125" style="5" bestFit="1" customWidth="1"/>
    <col min="5" max="5" width="22.7109375" style="5" bestFit="1" customWidth="1"/>
    <col min="6" max="6" width="33.42578125" style="5" bestFit="1" customWidth="1"/>
    <col min="7" max="10" width="5.5703125" style="4" bestFit="1" customWidth="1"/>
    <col min="11" max="11" width="11.42578125" style="5" customWidth="1"/>
    <col min="12" max="12" width="8.5703125" style="4" bestFit="1" customWidth="1"/>
    <col min="13" max="13" width="17.7109375" style="5" bestFit="1" customWidth="1"/>
    <col min="14" max="16384" width="9.140625" style="4"/>
  </cols>
  <sheetData>
    <row r="1" spans="1:13" s="3" customFormat="1" ht="29.1" customHeight="1">
      <c r="A1" s="30" t="s">
        <v>957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3" customFormat="1" ht="62.1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2.75" customHeight="1">
      <c r="A3" s="36" t="s">
        <v>0</v>
      </c>
      <c r="B3" s="38" t="s">
        <v>6</v>
      </c>
      <c r="C3" s="38" t="s">
        <v>8</v>
      </c>
      <c r="D3" s="27" t="s">
        <v>9</v>
      </c>
      <c r="E3" s="27" t="s">
        <v>4</v>
      </c>
      <c r="F3" s="27" t="s">
        <v>7</v>
      </c>
      <c r="G3" s="27" t="s">
        <v>1</v>
      </c>
      <c r="H3" s="27"/>
      <c r="I3" s="27"/>
      <c r="J3" s="27"/>
      <c r="K3" s="27" t="s">
        <v>181</v>
      </c>
      <c r="L3" s="27" t="s">
        <v>3</v>
      </c>
      <c r="M3" s="39" t="s">
        <v>2</v>
      </c>
    </row>
    <row r="4" spans="1:13" s="1" customFormat="1" ht="21" customHeight="1" thickBot="1">
      <c r="A4" s="37"/>
      <c r="B4" s="28"/>
      <c r="C4" s="28"/>
      <c r="D4" s="28"/>
      <c r="E4" s="28"/>
      <c r="F4" s="28"/>
      <c r="G4" s="2">
        <v>1</v>
      </c>
      <c r="H4" s="2">
        <v>2</v>
      </c>
      <c r="I4" s="2">
        <v>3</v>
      </c>
      <c r="J4" s="2" t="s">
        <v>5</v>
      </c>
      <c r="K4" s="28"/>
      <c r="L4" s="28"/>
      <c r="M4" s="40"/>
    </row>
    <row r="5" spans="1:13" ht="15">
      <c r="A5" s="29" t="s">
        <v>30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3">
      <c r="A6" s="9" t="s">
        <v>182</v>
      </c>
      <c r="B6" s="9" t="s">
        <v>183</v>
      </c>
      <c r="C6" s="9" t="s">
        <v>184</v>
      </c>
      <c r="D6" s="9" t="str">
        <f>"1,0432"</f>
        <v>1,0432</v>
      </c>
      <c r="E6" s="9" t="s">
        <v>14</v>
      </c>
      <c r="F6" s="9" t="s">
        <v>15</v>
      </c>
      <c r="G6" s="14" t="s">
        <v>164</v>
      </c>
      <c r="H6" s="14" t="s">
        <v>34</v>
      </c>
      <c r="I6" s="10" t="s">
        <v>46</v>
      </c>
      <c r="J6" s="10"/>
      <c r="K6" s="9" t="str">
        <f>"65,0"</f>
        <v>65,0</v>
      </c>
      <c r="L6" s="14" t="str">
        <f>"67,8080"</f>
        <v>67,8080</v>
      </c>
      <c r="M6" s="9" t="s">
        <v>185</v>
      </c>
    </row>
    <row r="7" spans="1:13">
      <c r="A7" s="11" t="s">
        <v>186</v>
      </c>
      <c r="B7" s="11" t="s">
        <v>187</v>
      </c>
      <c r="C7" s="11" t="s">
        <v>188</v>
      </c>
      <c r="D7" s="11" t="str">
        <f>"1,0994"</f>
        <v>1,0994</v>
      </c>
      <c r="E7" s="11" t="s">
        <v>24</v>
      </c>
      <c r="F7" s="11" t="s">
        <v>189</v>
      </c>
      <c r="G7" s="12" t="s">
        <v>46</v>
      </c>
      <c r="H7" s="12" t="s">
        <v>46</v>
      </c>
      <c r="I7" s="12" t="s">
        <v>46</v>
      </c>
      <c r="J7" s="12"/>
      <c r="K7" s="11" t="str">
        <f>"0,0"</f>
        <v>0,0</v>
      </c>
      <c r="L7" s="13" t="str">
        <f>"0,0000"</f>
        <v>0,0000</v>
      </c>
      <c r="M7" s="11" t="s">
        <v>73</v>
      </c>
    </row>
    <row r="9" spans="1:13" ht="15">
      <c r="A9" s="26" t="s">
        <v>49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1:13">
      <c r="A10" s="6" t="s">
        <v>190</v>
      </c>
      <c r="B10" s="6" t="s">
        <v>191</v>
      </c>
      <c r="C10" s="6" t="s">
        <v>192</v>
      </c>
      <c r="D10" s="6" t="str">
        <f>"0,9106"</f>
        <v>0,9106</v>
      </c>
      <c r="E10" s="6" t="s">
        <v>24</v>
      </c>
      <c r="F10" s="6" t="s">
        <v>193</v>
      </c>
      <c r="G10" s="8" t="s">
        <v>194</v>
      </c>
      <c r="H10" s="8" t="s">
        <v>101</v>
      </c>
      <c r="I10" s="8" t="s">
        <v>102</v>
      </c>
      <c r="J10" s="7"/>
      <c r="K10" s="6" t="str">
        <f>"115,0"</f>
        <v>115,0</v>
      </c>
      <c r="L10" s="8" t="str">
        <f>"104,7190"</f>
        <v>104,7190</v>
      </c>
      <c r="M10" s="6" t="s">
        <v>195</v>
      </c>
    </row>
    <row r="12" spans="1:13" ht="15">
      <c r="A12" s="26" t="s">
        <v>42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1:13">
      <c r="A13" s="9" t="s">
        <v>196</v>
      </c>
      <c r="B13" s="9" t="s">
        <v>197</v>
      </c>
      <c r="C13" s="9" t="s">
        <v>198</v>
      </c>
      <c r="D13" s="9" t="str">
        <f>"0,7146"</f>
        <v>0,7146</v>
      </c>
      <c r="E13" s="9" t="s">
        <v>24</v>
      </c>
      <c r="F13" s="9" t="s">
        <v>199</v>
      </c>
      <c r="G13" s="14" t="s">
        <v>54</v>
      </c>
      <c r="H13" s="10" t="s">
        <v>200</v>
      </c>
      <c r="I13" s="14" t="s">
        <v>200</v>
      </c>
      <c r="J13" s="10"/>
      <c r="K13" s="9" t="str">
        <f>"157,5"</f>
        <v>157,5</v>
      </c>
      <c r="L13" s="14" t="str">
        <f>"112,5495"</f>
        <v>112,5495</v>
      </c>
      <c r="M13" s="9" t="s">
        <v>47</v>
      </c>
    </row>
    <row r="14" spans="1:13">
      <c r="A14" s="15" t="s">
        <v>201</v>
      </c>
      <c r="B14" s="15" t="s">
        <v>202</v>
      </c>
      <c r="C14" s="15" t="s">
        <v>203</v>
      </c>
      <c r="D14" s="15" t="str">
        <f>"0,7126"</f>
        <v>0,7126</v>
      </c>
      <c r="E14" s="15" t="s">
        <v>14</v>
      </c>
      <c r="F14" s="15" t="s">
        <v>15</v>
      </c>
      <c r="G14" s="17" t="s">
        <v>204</v>
      </c>
      <c r="H14" s="16" t="s">
        <v>205</v>
      </c>
      <c r="I14" s="16" t="s">
        <v>205</v>
      </c>
      <c r="J14" s="16"/>
      <c r="K14" s="15" t="str">
        <f>"112,5"</f>
        <v>112,5</v>
      </c>
      <c r="L14" s="17" t="str">
        <f>"80,1675"</f>
        <v>80,1675</v>
      </c>
      <c r="M14" s="15" t="s">
        <v>47</v>
      </c>
    </row>
    <row r="15" spans="1:13">
      <c r="A15" s="15" t="s">
        <v>206</v>
      </c>
      <c r="B15" s="15" t="s">
        <v>207</v>
      </c>
      <c r="C15" s="15" t="s">
        <v>208</v>
      </c>
      <c r="D15" s="15" t="str">
        <f>"0,7519"</f>
        <v>0,7519</v>
      </c>
      <c r="E15" s="15" t="s">
        <v>24</v>
      </c>
      <c r="F15" s="15" t="s">
        <v>209</v>
      </c>
      <c r="G15" s="17" t="s">
        <v>170</v>
      </c>
      <c r="H15" s="17" t="s">
        <v>167</v>
      </c>
      <c r="I15" s="16" t="s">
        <v>210</v>
      </c>
      <c r="J15" s="16"/>
      <c r="K15" s="15" t="str">
        <f>"100,0"</f>
        <v>100,0</v>
      </c>
      <c r="L15" s="17" t="str">
        <f>"75,1900"</f>
        <v>75,1900</v>
      </c>
      <c r="M15" s="15" t="s">
        <v>211</v>
      </c>
    </row>
    <row r="16" spans="1:13">
      <c r="A16" s="11" t="s">
        <v>212</v>
      </c>
      <c r="B16" s="11" t="s">
        <v>213</v>
      </c>
      <c r="C16" s="11" t="s">
        <v>214</v>
      </c>
      <c r="D16" s="11" t="str">
        <f>"0,7264"</f>
        <v>0,7264</v>
      </c>
      <c r="E16" s="11" t="s">
        <v>14</v>
      </c>
      <c r="F16" s="11" t="s">
        <v>15</v>
      </c>
      <c r="G16" s="13" t="s">
        <v>167</v>
      </c>
      <c r="H16" s="13" t="s">
        <v>210</v>
      </c>
      <c r="I16" s="12" t="s">
        <v>215</v>
      </c>
      <c r="J16" s="12"/>
      <c r="K16" s="11" t="str">
        <f>"105,0"</f>
        <v>105,0</v>
      </c>
      <c r="L16" s="13" t="str">
        <f>"120,2047"</f>
        <v>120,2047</v>
      </c>
      <c r="M16" s="11" t="s">
        <v>216</v>
      </c>
    </row>
    <row r="18" spans="1:13" ht="15">
      <c r="A18" s="26" t="s">
        <v>49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spans="1:13">
      <c r="A19" s="9" t="s">
        <v>217</v>
      </c>
      <c r="B19" s="9" t="s">
        <v>218</v>
      </c>
      <c r="C19" s="9" t="s">
        <v>219</v>
      </c>
      <c r="D19" s="9" t="str">
        <f>"0,7093"</f>
        <v>0,7093</v>
      </c>
      <c r="E19" s="9" t="s">
        <v>220</v>
      </c>
      <c r="F19" s="9" t="s">
        <v>221</v>
      </c>
      <c r="G19" s="14" t="s">
        <v>54</v>
      </c>
      <c r="H19" s="10" t="s">
        <v>121</v>
      </c>
      <c r="I19" s="10" t="s">
        <v>121</v>
      </c>
      <c r="J19" s="10"/>
      <c r="K19" s="9" t="str">
        <f>"150,0"</f>
        <v>150,0</v>
      </c>
      <c r="L19" s="14" t="str">
        <f>"106,3950"</f>
        <v>106,3950</v>
      </c>
      <c r="M19" s="9" t="s">
        <v>222</v>
      </c>
    </row>
    <row r="20" spans="1:13">
      <c r="A20" s="11" t="s">
        <v>223</v>
      </c>
      <c r="B20" s="11" t="s">
        <v>224</v>
      </c>
      <c r="C20" s="11" t="s">
        <v>225</v>
      </c>
      <c r="D20" s="11" t="str">
        <f>"0,7061"</f>
        <v>0,7061</v>
      </c>
      <c r="E20" s="11" t="s">
        <v>24</v>
      </c>
      <c r="F20" s="11" t="s">
        <v>226</v>
      </c>
      <c r="G20" s="13" t="s">
        <v>17</v>
      </c>
      <c r="H20" s="12" t="s">
        <v>227</v>
      </c>
      <c r="I20" s="12" t="s">
        <v>227</v>
      </c>
      <c r="J20" s="12"/>
      <c r="K20" s="11" t="str">
        <f>"75,0"</f>
        <v>75,0</v>
      </c>
      <c r="L20" s="13" t="str">
        <f>"87,1151"</f>
        <v>87,1151</v>
      </c>
      <c r="M20" s="11" t="s">
        <v>228</v>
      </c>
    </row>
    <row r="22" spans="1:13" ht="15">
      <c r="A22" s="26" t="s">
        <v>66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3">
      <c r="A23" s="9" t="s">
        <v>230</v>
      </c>
      <c r="B23" s="9" t="s">
        <v>231</v>
      </c>
      <c r="C23" s="9" t="s">
        <v>232</v>
      </c>
      <c r="D23" s="9" t="str">
        <f>"0,6398"</f>
        <v>0,6398</v>
      </c>
      <c r="E23" s="9" t="s">
        <v>14</v>
      </c>
      <c r="F23" s="9" t="s">
        <v>15</v>
      </c>
      <c r="G23" s="14" t="s">
        <v>109</v>
      </c>
      <c r="H23" s="14" t="s">
        <v>144</v>
      </c>
      <c r="I23" s="10" t="s">
        <v>233</v>
      </c>
      <c r="J23" s="10"/>
      <c r="K23" s="9" t="str">
        <f>"200,0"</f>
        <v>200,0</v>
      </c>
      <c r="L23" s="14" t="str">
        <f>"127,9600"</f>
        <v>127,9600</v>
      </c>
      <c r="M23" s="9" t="s">
        <v>234</v>
      </c>
    </row>
    <row r="24" spans="1:13">
      <c r="A24" s="15" t="s">
        <v>230</v>
      </c>
      <c r="B24" s="15" t="s">
        <v>235</v>
      </c>
      <c r="C24" s="15" t="s">
        <v>232</v>
      </c>
      <c r="D24" s="15" t="str">
        <f>"0,6398"</f>
        <v>0,6398</v>
      </c>
      <c r="E24" s="15" t="s">
        <v>14</v>
      </c>
      <c r="F24" s="15" t="s">
        <v>15</v>
      </c>
      <c r="G24" s="17" t="s">
        <v>109</v>
      </c>
      <c r="H24" s="17" t="s">
        <v>144</v>
      </c>
      <c r="I24" s="16" t="s">
        <v>233</v>
      </c>
      <c r="J24" s="16"/>
      <c r="K24" s="15" t="str">
        <f>"200,0"</f>
        <v>200,0</v>
      </c>
      <c r="L24" s="17" t="str">
        <f>"127,9600"</f>
        <v>127,9600</v>
      </c>
      <c r="M24" s="15" t="s">
        <v>234</v>
      </c>
    </row>
    <row r="25" spans="1:13">
      <c r="A25" s="15" t="s">
        <v>236</v>
      </c>
      <c r="B25" s="15" t="s">
        <v>237</v>
      </c>
      <c r="C25" s="15" t="s">
        <v>70</v>
      </c>
      <c r="D25" s="15" t="str">
        <f>"0,6455"</f>
        <v>0,6455</v>
      </c>
      <c r="E25" s="15" t="s">
        <v>14</v>
      </c>
      <c r="F25" s="15" t="s">
        <v>15</v>
      </c>
      <c r="G25" s="17" t="s">
        <v>110</v>
      </c>
      <c r="H25" s="16" t="s">
        <v>145</v>
      </c>
      <c r="I25" s="16" t="s">
        <v>145</v>
      </c>
      <c r="J25" s="16"/>
      <c r="K25" s="15" t="str">
        <f>"195,0"</f>
        <v>195,0</v>
      </c>
      <c r="L25" s="17" t="str">
        <f>"125,8725"</f>
        <v>125,8725</v>
      </c>
      <c r="M25" s="15" t="s">
        <v>47</v>
      </c>
    </row>
    <row r="26" spans="1:13">
      <c r="A26" s="15" t="s">
        <v>238</v>
      </c>
      <c r="B26" s="15" t="s">
        <v>239</v>
      </c>
      <c r="C26" s="15" t="s">
        <v>240</v>
      </c>
      <c r="D26" s="15" t="str">
        <f>"0,6583"</f>
        <v>0,6583</v>
      </c>
      <c r="E26" s="15" t="s">
        <v>14</v>
      </c>
      <c r="F26" s="15" t="s">
        <v>15</v>
      </c>
      <c r="G26" s="17" t="s">
        <v>241</v>
      </c>
      <c r="H26" s="16" t="s">
        <v>96</v>
      </c>
      <c r="I26" s="16" t="s">
        <v>96</v>
      </c>
      <c r="J26" s="16"/>
      <c r="K26" s="15" t="str">
        <f>"147,5"</f>
        <v>147,5</v>
      </c>
      <c r="L26" s="17" t="str">
        <f>"97,0992"</f>
        <v>97,0992</v>
      </c>
      <c r="M26" s="15" t="s">
        <v>242</v>
      </c>
    </row>
    <row r="27" spans="1:13">
      <c r="A27" s="15" t="s">
        <v>243</v>
      </c>
      <c r="B27" s="15" t="s">
        <v>244</v>
      </c>
      <c r="C27" s="15" t="s">
        <v>245</v>
      </c>
      <c r="D27" s="15" t="str">
        <f>"0,6499"</f>
        <v>0,6499</v>
      </c>
      <c r="E27" s="15" t="s">
        <v>14</v>
      </c>
      <c r="F27" s="15" t="s">
        <v>15</v>
      </c>
      <c r="G27" s="16" t="s">
        <v>96</v>
      </c>
      <c r="H27" s="16" t="s">
        <v>96</v>
      </c>
      <c r="I27" s="16" t="s">
        <v>96</v>
      </c>
      <c r="J27" s="16"/>
      <c r="K27" s="15" t="str">
        <f>"0,0"</f>
        <v>0,0</v>
      </c>
      <c r="L27" s="17" t="str">
        <f>"0,0000"</f>
        <v>0,0000</v>
      </c>
      <c r="M27" s="15" t="s">
        <v>47</v>
      </c>
    </row>
    <row r="28" spans="1:13">
      <c r="A28" s="15" t="s">
        <v>247</v>
      </c>
      <c r="B28" s="15" t="s">
        <v>248</v>
      </c>
      <c r="C28" s="15" t="s">
        <v>249</v>
      </c>
      <c r="D28" s="15" t="str">
        <f>"0,6528"</f>
        <v>0,6528</v>
      </c>
      <c r="E28" s="15" t="s">
        <v>24</v>
      </c>
      <c r="F28" s="15" t="s">
        <v>250</v>
      </c>
      <c r="G28" s="17" t="s">
        <v>96</v>
      </c>
      <c r="H28" s="17" t="s">
        <v>251</v>
      </c>
      <c r="I28" s="17" t="s">
        <v>79</v>
      </c>
      <c r="J28" s="16"/>
      <c r="K28" s="15" t="str">
        <f>"167,5"</f>
        <v>167,5</v>
      </c>
      <c r="L28" s="17" t="str">
        <f>"141,1631"</f>
        <v>141,1631</v>
      </c>
      <c r="M28" s="15" t="s">
        <v>47</v>
      </c>
    </row>
    <row r="29" spans="1:13">
      <c r="A29" s="11" t="s">
        <v>253</v>
      </c>
      <c r="B29" s="11" t="s">
        <v>254</v>
      </c>
      <c r="C29" s="11" t="s">
        <v>255</v>
      </c>
      <c r="D29" s="11" t="str">
        <f>"0,6447"</f>
        <v>0,6447</v>
      </c>
      <c r="E29" s="11" t="s">
        <v>14</v>
      </c>
      <c r="F29" s="11" t="s">
        <v>15</v>
      </c>
      <c r="G29" s="13" t="s">
        <v>138</v>
      </c>
      <c r="H29" s="13" t="s">
        <v>85</v>
      </c>
      <c r="I29" s="12" t="s">
        <v>54</v>
      </c>
      <c r="J29" s="12"/>
      <c r="K29" s="11" t="str">
        <f>"142,5"</f>
        <v>142,5</v>
      </c>
      <c r="L29" s="13" t="str">
        <f>"151,1257"</f>
        <v>151,1257</v>
      </c>
      <c r="M29" s="11" t="s">
        <v>216</v>
      </c>
    </row>
    <row r="31" spans="1:13" ht="15">
      <c r="A31" s="26" t="s">
        <v>86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</row>
    <row r="32" spans="1:13">
      <c r="A32" s="9" t="s">
        <v>256</v>
      </c>
      <c r="B32" s="9" t="s">
        <v>257</v>
      </c>
      <c r="C32" s="9" t="s">
        <v>94</v>
      </c>
      <c r="D32" s="9" t="str">
        <f>"0,6136"</f>
        <v>0,6136</v>
      </c>
      <c r="E32" s="9" t="s">
        <v>24</v>
      </c>
      <c r="F32" s="9" t="s">
        <v>258</v>
      </c>
      <c r="G32" s="14" t="s">
        <v>164</v>
      </c>
      <c r="H32" s="14" t="s">
        <v>16</v>
      </c>
      <c r="I32" s="14" t="s">
        <v>227</v>
      </c>
      <c r="J32" s="10"/>
      <c r="K32" s="9" t="str">
        <f>"80,0"</f>
        <v>80,0</v>
      </c>
      <c r="L32" s="14" t="str">
        <f>"49,0880"</f>
        <v>49,0880</v>
      </c>
      <c r="M32" s="9" t="s">
        <v>259</v>
      </c>
    </row>
    <row r="33" spans="1:13">
      <c r="A33" s="15" t="s">
        <v>260</v>
      </c>
      <c r="B33" s="15" t="s">
        <v>261</v>
      </c>
      <c r="C33" s="15" t="s">
        <v>89</v>
      </c>
      <c r="D33" s="15" t="str">
        <f>"0,6352"</f>
        <v>0,6352</v>
      </c>
      <c r="E33" s="15" t="s">
        <v>24</v>
      </c>
      <c r="F33" s="15" t="s">
        <v>25</v>
      </c>
      <c r="G33" s="17" t="s">
        <v>62</v>
      </c>
      <c r="H33" s="16" t="s">
        <v>63</v>
      </c>
      <c r="I33" s="16"/>
      <c r="J33" s="16"/>
      <c r="K33" s="15" t="str">
        <f>"135,0"</f>
        <v>135,0</v>
      </c>
      <c r="L33" s="17" t="str">
        <f>"85,7520"</f>
        <v>85,7520</v>
      </c>
      <c r="M33" s="15" t="s">
        <v>262</v>
      </c>
    </row>
    <row r="34" spans="1:13">
      <c r="A34" s="15" t="s">
        <v>264</v>
      </c>
      <c r="B34" s="15" t="s">
        <v>265</v>
      </c>
      <c r="C34" s="15" t="s">
        <v>266</v>
      </c>
      <c r="D34" s="15" t="str">
        <f>"0,6086"</f>
        <v>0,6086</v>
      </c>
      <c r="E34" s="15" t="s">
        <v>24</v>
      </c>
      <c r="F34" s="15" t="s">
        <v>267</v>
      </c>
      <c r="G34" s="17" t="s">
        <v>268</v>
      </c>
      <c r="H34" s="17" t="s">
        <v>269</v>
      </c>
      <c r="I34" s="17" t="s">
        <v>270</v>
      </c>
      <c r="J34" s="16"/>
      <c r="K34" s="15" t="str">
        <f>"230,0"</f>
        <v>230,0</v>
      </c>
      <c r="L34" s="17" t="str">
        <f>"139,9780"</f>
        <v>139,9780</v>
      </c>
      <c r="M34" s="15" t="s">
        <v>271</v>
      </c>
    </row>
    <row r="35" spans="1:13">
      <c r="A35" s="15" t="s">
        <v>272</v>
      </c>
      <c r="B35" s="15" t="s">
        <v>273</v>
      </c>
      <c r="C35" s="15" t="s">
        <v>274</v>
      </c>
      <c r="D35" s="15" t="str">
        <f>"0,6142"</f>
        <v>0,6142</v>
      </c>
      <c r="E35" s="15" t="s">
        <v>14</v>
      </c>
      <c r="F35" s="15" t="s">
        <v>15</v>
      </c>
      <c r="G35" s="17" t="s">
        <v>275</v>
      </c>
      <c r="H35" s="17" t="s">
        <v>276</v>
      </c>
      <c r="I35" s="17" t="s">
        <v>277</v>
      </c>
      <c r="J35" s="16"/>
      <c r="K35" s="15" t="str">
        <f>"192,5"</f>
        <v>192,5</v>
      </c>
      <c r="L35" s="17" t="str">
        <f>"118,2335"</f>
        <v>118,2335</v>
      </c>
      <c r="M35" s="15" t="s">
        <v>19</v>
      </c>
    </row>
    <row r="36" spans="1:13">
      <c r="A36" s="15" t="s">
        <v>278</v>
      </c>
      <c r="B36" s="15" t="s">
        <v>279</v>
      </c>
      <c r="C36" s="15" t="s">
        <v>280</v>
      </c>
      <c r="D36" s="15" t="str">
        <f>"0,6144"</f>
        <v>0,6144</v>
      </c>
      <c r="E36" s="15" t="s">
        <v>14</v>
      </c>
      <c r="F36" s="15" t="s">
        <v>15</v>
      </c>
      <c r="G36" s="17" t="s">
        <v>251</v>
      </c>
      <c r="H36" s="17" t="s">
        <v>71</v>
      </c>
      <c r="I36" s="16" t="s">
        <v>72</v>
      </c>
      <c r="J36" s="16"/>
      <c r="K36" s="15" t="str">
        <f>"175,0"</f>
        <v>175,0</v>
      </c>
      <c r="L36" s="17" t="str">
        <f>"107,5200"</f>
        <v>107,5200</v>
      </c>
      <c r="M36" s="15" t="s">
        <v>19</v>
      </c>
    </row>
    <row r="37" spans="1:13">
      <c r="A37" s="15" t="s">
        <v>281</v>
      </c>
      <c r="B37" s="15" t="s">
        <v>282</v>
      </c>
      <c r="C37" s="15" t="s">
        <v>283</v>
      </c>
      <c r="D37" s="15" t="str">
        <f>"0,6101"</f>
        <v>0,6101</v>
      </c>
      <c r="E37" s="15" t="s">
        <v>14</v>
      </c>
      <c r="F37" s="15" t="s">
        <v>15</v>
      </c>
      <c r="G37" s="17" t="s">
        <v>144</v>
      </c>
      <c r="H37" s="17" t="s">
        <v>145</v>
      </c>
      <c r="I37" s="17" t="s">
        <v>146</v>
      </c>
      <c r="J37" s="16"/>
      <c r="K37" s="15" t="str">
        <f>"210,0"</f>
        <v>210,0</v>
      </c>
      <c r="L37" s="17" t="str">
        <f>"135,1676"</f>
        <v>135,1676</v>
      </c>
      <c r="M37" s="15" t="s">
        <v>284</v>
      </c>
    </row>
    <row r="38" spans="1:13">
      <c r="A38" s="15" t="s">
        <v>285</v>
      </c>
      <c r="B38" s="15" t="s">
        <v>286</v>
      </c>
      <c r="C38" s="15" t="s">
        <v>287</v>
      </c>
      <c r="D38" s="15" t="str">
        <f>"0,6111"</f>
        <v>0,6111</v>
      </c>
      <c r="E38" s="15" t="s">
        <v>24</v>
      </c>
      <c r="F38" s="15" t="s">
        <v>288</v>
      </c>
      <c r="G38" s="17" t="s">
        <v>64</v>
      </c>
      <c r="H38" s="17" t="s">
        <v>96</v>
      </c>
      <c r="I38" s="17" t="s">
        <v>121</v>
      </c>
      <c r="J38" s="16"/>
      <c r="K38" s="15" t="str">
        <f>"160,0"</f>
        <v>160,0</v>
      </c>
      <c r="L38" s="17" t="str">
        <f>"105,7936"</f>
        <v>105,7936</v>
      </c>
      <c r="M38" s="15" t="s">
        <v>47</v>
      </c>
    </row>
    <row r="39" spans="1:13">
      <c r="A39" s="11" t="s">
        <v>289</v>
      </c>
      <c r="B39" s="11" t="s">
        <v>290</v>
      </c>
      <c r="C39" s="11" t="s">
        <v>291</v>
      </c>
      <c r="D39" s="11" t="str">
        <f>"0,6266"</f>
        <v>0,6266</v>
      </c>
      <c r="E39" s="11" t="s">
        <v>24</v>
      </c>
      <c r="F39" s="11" t="s">
        <v>25</v>
      </c>
      <c r="G39" s="13" t="s">
        <v>56</v>
      </c>
      <c r="H39" s="13" t="s">
        <v>72</v>
      </c>
      <c r="I39" s="12" t="s">
        <v>275</v>
      </c>
      <c r="J39" s="12"/>
      <c r="K39" s="11" t="str">
        <f>"180,0"</f>
        <v>180,0</v>
      </c>
      <c r="L39" s="13" t="str">
        <f>"143,0152"</f>
        <v>143,0152</v>
      </c>
      <c r="M39" s="11" t="s">
        <v>19</v>
      </c>
    </row>
    <row r="41" spans="1:13" ht="15">
      <c r="A41" s="26" t="s">
        <v>103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  <row r="42" spans="1:13">
      <c r="A42" s="9" t="s">
        <v>292</v>
      </c>
      <c r="B42" s="9" t="s">
        <v>293</v>
      </c>
      <c r="C42" s="9" t="s">
        <v>125</v>
      </c>
      <c r="D42" s="9" t="str">
        <f>"0,5937"</f>
        <v>0,5937</v>
      </c>
      <c r="E42" s="9" t="s">
        <v>14</v>
      </c>
      <c r="F42" s="9" t="s">
        <v>15</v>
      </c>
      <c r="G42" s="14" t="s">
        <v>138</v>
      </c>
      <c r="H42" s="14" t="s">
        <v>63</v>
      </c>
      <c r="I42" s="14" t="s">
        <v>64</v>
      </c>
      <c r="J42" s="10" t="s">
        <v>54</v>
      </c>
      <c r="K42" s="9" t="str">
        <f>"145,0"</f>
        <v>145,0</v>
      </c>
      <c r="L42" s="14" t="str">
        <f>"86,0865"</f>
        <v>86,0865</v>
      </c>
      <c r="M42" s="9" t="s">
        <v>122</v>
      </c>
    </row>
    <row r="43" spans="1:13">
      <c r="A43" s="15" t="s">
        <v>294</v>
      </c>
      <c r="B43" s="15" t="s">
        <v>295</v>
      </c>
      <c r="C43" s="15" t="s">
        <v>296</v>
      </c>
      <c r="D43" s="15" t="str">
        <f>"0,6046"</f>
        <v>0,6046</v>
      </c>
      <c r="E43" s="15" t="s">
        <v>24</v>
      </c>
      <c r="F43" s="15" t="s">
        <v>297</v>
      </c>
      <c r="G43" s="17" t="s">
        <v>144</v>
      </c>
      <c r="H43" s="17" t="s">
        <v>146</v>
      </c>
      <c r="I43" s="16" t="s">
        <v>298</v>
      </c>
      <c r="J43" s="16"/>
      <c r="K43" s="15" t="str">
        <f>"210,0"</f>
        <v>210,0</v>
      </c>
      <c r="L43" s="17" t="str">
        <f>"126,9660"</f>
        <v>126,9660</v>
      </c>
      <c r="M43" s="15" t="s">
        <v>299</v>
      </c>
    </row>
    <row r="44" spans="1:13">
      <c r="A44" s="15" t="s">
        <v>300</v>
      </c>
      <c r="B44" s="15" t="s">
        <v>113</v>
      </c>
      <c r="C44" s="15" t="s">
        <v>114</v>
      </c>
      <c r="D44" s="15" t="str">
        <f>"0,5885"</f>
        <v>0,5885</v>
      </c>
      <c r="E44" s="15" t="s">
        <v>24</v>
      </c>
      <c r="F44" s="15" t="s">
        <v>115</v>
      </c>
      <c r="G44" s="17" t="s">
        <v>109</v>
      </c>
      <c r="H44" s="17" t="s">
        <v>110</v>
      </c>
      <c r="I44" s="17" t="s">
        <v>301</v>
      </c>
      <c r="J44" s="16"/>
      <c r="K44" s="15" t="str">
        <f>"197,5"</f>
        <v>197,5</v>
      </c>
      <c r="L44" s="17" t="str">
        <f>"116,2288"</f>
        <v>116,2288</v>
      </c>
      <c r="M44" s="15" t="s">
        <v>116</v>
      </c>
    </row>
    <row r="45" spans="1:13">
      <c r="A45" s="15" t="s">
        <v>302</v>
      </c>
      <c r="B45" s="15" t="s">
        <v>303</v>
      </c>
      <c r="C45" s="15" t="s">
        <v>304</v>
      </c>
      <c r="D45" s="15" t="str">
        <f>"0,5952"</f>
        <v>0,5952</v>
      </c>
      <c r="E45" s="15" t="s">
        <v>14</v>
      </c>
      <c r="F45" s="15" t="s">
        <v>15</v>
      </c>
      <c r="G45" s="17" t="s">
        <v>55</v>
      </c>
      <c r="H45" s="16" t="s">
        <v>56</v>
      </c>
      <c r="I45" s="17" t="s">
        <v>56</v>
      </c>
      <c r="J45" s="16"/>
      <c r="K45" s="15" t="str">
        <f>"170,0"</f>
        <v>170,0</v>
      </c>
      <c r="L45" s="17" t="str">
        <f>"101,1840"</f>
        <v>101,1840</v>
      </c>
      <c r="M45" s="15" t="s">
        <v>305</v>
      </c>
    </row>
    <row r="46" spans="1:13">
      <c r="A46" s="15" t="s">
        <v>306</v>
      </c>
      <c r="B46" s="15" t="s">
        <v>207</v>
      </c>
      <c r="C46" s="15" t="s">
        <v>307</v>
      </c>
      <c r="D46" s="15" t="str">
        <f>"0,5976"</f>
        <v>0,5976</v>
      </c>
      <c r="E46" s="15" t="s">
        <v>14</v>
      </c>
      <c r="F46" s="15" t="s">
        <v>15</v>
      </c>
      <c r="G46" s="17"/>
      <c r="H46" s="17" t="s">
        <v>121</v>
      </c>
      <c r="I46" s="16"/>
      <c r="J46" s="16"/>
      <c r="K46" s="15" t="str">
        <f>"160,0"</f>
        <v>160,0</v>
      </c>
      <c r="L46" s="17" t="str">
        <f>"95,6160"</f>
        <v>95,6160</v>
      </c>
      <c r="M46" s="15" t="s">
        <v>47</v>
      </c>
    </row>
    <row r="47" spans="1:13">
      <c r="A47" s="15" t="s">
        <v>308</v>
      </c>
      <c r="B47" s="15" t="s">
        <v>309</v>
      </c>
      <c r="C47" s="15" t="s">
        <v>310</v>
      </c>
      <c r="D47" s="15" t="str">
        <f>"0,5917"</f>
        <v>0,5917</v>
      </c>
      <c r="E47" s="15" t="s">
        <v>14</v>
      </c>
      <c r="F47" s="15" t="s">
        <v>15</v>
      </c>
      <c r="G47" s="17" t="s">
        <v>138</v>
      </c>
      <c r="H47" s="17" t="s">
        <v>63</v>
      </c>
      <c r="I47" s="17" t="s">
        <v>64</v>
      </c>
      <c r="J47" s="16"/>
      <c r="K47" s="15" t="str">
        <f>"145,0"</f>
        <v>145,0</v>
      </c>
      <c r="L47" s="17" t="str">
        <f>"90,5153"</f>
        <v>90,5153</v>
      </c>
      <c r="M47" s="15" t="s">
        <v>122</v>
      </c>
    </row>
    <row r="48" spans="1:13">
      <c r="A48" s="11" t="s">
        <v>123</v>
      </c>
      <c r="B48" s="11" t="s">
        <v>124</v>
      </c>
      <c r="C48" s="11" t="s">
        <v>125</v>
      </c>
      <c r="D48" s="11" t="str">
        <f>"0,5937"</f>
        <v>0,5937</v>
      </c>
      <c r="E48" s="11" t="s">
        <v>14</v>
      </c>
      <c r="F48" s="11" t="s">
        <v>15</v>
      </c>
      <c r="G48" s="13" t="s">
        <v>311</v>
      </c>
      <c r="H48" s="12" t="s">
        <v>200</v>
      </c>
      <c r="I48" s="12" t="s">
        <v>55</v>
      </c>
      <c r="J48" s="12"/>
      <c r="K48" s="11" t="str">
        <f>"152,5"</f>
        <v>152,5</v>
      </c>
      <c r="L48" s="13" t="str">
        <f>"105,4782"</f>
        <v>105,4782</v>
      </c>
      <c r="M48" s="11" t="s">
        <v>126</v>
      </c>
    </row>
    <row r="50" spans="1:13" ht="15">
      <c r="A50" s="26" t="s">
        <v>130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</row>
    <row r="51" spans="1:13">
      <c r="A51" s="9" t="s">
        <v>313</v>
      </c>
      <c r="B51" s="9" t="s">
        <v>314</v>
      </c>
      <c r="C51" s="9" t="s">
        <v>315</v>
      </c>
      <c r="D51" s="9" t="str">
        <f>"0,5769"</f>
        <v>0,5769</v>
      </c>
      <c r="E51" s="9" t="s">
        <v>316</v>
      </c>
      <c r="F51" s="9" t="s">
        <v>317</v>
      </c>
      <c r="G51" s="14" t="s">
        <v>318</v>
      </c>
      <c r="H51" s="14" t="s">
        <v>319</v>
      </c>
      <c r="I51" s="10" t="s">
        <v>320</v>
      </c>
      <c r="J51" s="10"/>
      <c r="K51" s="9" t="str">
        <f>"240,0"</f>
        <v>240,0</v>
      </c>
      <c r="L51" s="14" t="str">
        <f>"138,4560"</f>
        <v>138,4560</v>
      </c>
      <c r="M51" s="9" t="s">
        <v>122</v>
      </c>
    </row>
    <row r="52" spans="1:13">
      <c r="A52" s="15" t="s">
        <v>321</v>
      </c>
      <c r="B52" s="15" t="s">
        <v>322</v>
      </c>
      <c r="C52" s="15" t="s">
        <v>323</v>
      </c>
      <c r="D52" s="15" t="str">
        <f>"0,5745"</f>
        <v>0,5745</v>
      </c>
      <c r="E52" s="15" t="s">
        <v>14</v>
      </c>
      <c r="F52" s="15" t="s">
        <v>15</v>
      </c>
      <c r="G52" s="16" t="s">
        <v>72</v>
      </c>
      <c r="H52" s="17" t="s">
        <v>72</v>
      </c>
      <c r="I52" s="16" t="s">
        <v>108</v>
      </c>
      <c r="J52" s="16"/>
      <c r="K52" s="15" t="str">
        <f>"180,0"</f>
        <v>180,0</v>
      </c>
      <c r="L52" s="17" t="str">
        <f>"126,6773"</f>
        <v>126,6773</v>
      </c>
      <c r="M52" s="15" t="s">
        <v>73</v>
      </c>
    </row>
    <row r="53" spans="1:13">
      <c r="A53" s="11" t="s">
        <v>324</v>
      </c>
      <c r="B53" s="11" t="s">
        <v>325</v>
      </c>
      <c r="C53" s="11" t="s">
        <v>326</v>
      </c>
      <c r="D53" s="11" t="str">
        <f>"0,5710"</f>
        <v>0,5710</v>
      </c>
      <c r="E53" s="11" t="s">
        <v>14</v>
      </c>
      <c r="F53" s="11" t="s">
        <v>15</v>
      </c>
      <c r="G53" s="13" t="s">
        <v>54</v>
      </c>
      <c r="H53" s="13" t="s">
        <v>121</v>
      </c>
      <c r="I53" s="12" t="s">
        <v>251</v>
      </c>
      <c r="J53" s="12"/>
      <c r="K53" s="11" t="str">
        <f>"160,0"</f>
        <v>160,0</v>
      </c>
      <c r="L53" s="13" t="str">
        <f>"117,9458"</f>
        <v>117,9458</v>
      </c>
      <c r="M53" s="11" t="s">
        <v>122</v>
      </c>
    </row>
    <row r="55" spans="1:13" ht="15">
      <c r="A55" s="26" t="s">
        <v>327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</row>
    <row r="56" spans="1:13">
      <c r="A56" s="6" t="s">
        <v>328</v>
      </c>
      <c r="B56" s="6" t="s">
        <v>329</v>
      </c>
      <c r="C56" s="6" t="s">
        <v>330</v>
      </c>
      <c r="D56" s="6" t="str">
        <f>"0,5693"</f>
        <v>0,5693</v>
      </c>
      <c r="E56" s="6" t="s">
        <v>14</v>
      </c>
      <c r="F56" s="6" t="s">
        <v>15</v>
      </c>
      <c r="G56" s="8" t="s">
        <v>71</v>
      </c>
      <c r="H56" s="7" t="s">
        <v>72</v>
      </c>
      <c r="I56" s="8" t="s">
        <v>72</v>
      </c>
      <c r="J56" s="7"/>
      <c r="K56" s="6" t="str">
        <f>"180,0"</f>
        <v>180,0</v>
      </c>
      <c r="L56" s="8" t="str">
        <f>"102,4740"</f>
        <v>102,4740</v>
      </c>
      <c r="M56" s="6" t="s">
        <v>331</v>
      </c>
    </row>
    <row r="58" spans="1:13" ht="15">
      <c r="E58" s="18" t="s">
        <v>151</v>
      </c>
    </row>
    <row r="59" spans="1:13" ht="15">
      <c r="E59" s="18" t="s">
        <v>152</v>
      </c>
    </row>
    <row r="60" spans="1:13" ht="15">
      <c r="E60" s="18" t="s">
        <v>153</v>
      </c>
    </row>
    <row r="61" spans="1:13" ht="15">
      <c r="E61" s="18" t="s">
        <v>154</v>
      </c>
    </row>
    <row r="62" spans="1:13" ht="15">
      <c r="E62" s="18" t="s">
        <v>154</v>
      </c>
    </row>
    <row r="63" spans="1:13" ht="15">
      <c r="E63" s="18" t="s">
        <v>155</v>
      </c>
    </row>
    <row r="64" spans="1:13" ht="15">
      <c r="E64" s="18"/>
    </row>
    <row r="66" spans="1:5" ht="18">
      <c r="A66" s="19" t="s">
        <v>156</v>
      </c>
      <c r="B66" s="19"/>
    </row>
    <row r="67" spans="1:5" ht="15">
      <c r="A67" s="20" t="s">
        <v>165</v>
      </c>
      <c r="B67" s="20"/>
    </row>
    <row r="68" spans="1:5" ht="14.25">
      <c r="A68" s="22"/>
      <c r="B68" s="23" t="s">
        <v>158</v>
      </c>
    </row>
    <row r="69" spans="1:5" ht="15">
      <c r="A69" s="24" t="s">
        <v>159</v>
      </c>
      <c r="B69" s="24" t="s">
        <v>160</v>
      </c>
      <c r="C69" s="24" t="s">
        <v>161</v>
      </c>
      <c r="D69" s="24" t="s">
        <v>162</v>
      </c>
      <c r="E69" s="24" t="s">
        <v>163</v>
      </c>
    </row>
    <row r="70" spans="1:5">
      <c r="A70" s="21" t="s">
        <v>263</v>
      </c>
      <c r="B70" s="5" t="s">
        <v>158</v>
      </c>
      <c r="C70" s="5" t="s">
        <v>167</v>
      </c>
      <c r="D70" s="5" t="s">
        <v>270</v>
      </c>
      <c r="E70" s="25" t="s">
        <v>334</v>
      </c>
    </row>
    <row r="71" spans="1:5">
      <c r="A71" s="21" t="s">
        <v>312</v>
      </c>
      <c r="B71" s="5" t="s">
        <v>158</v>
      </c>
      <c r="C71" s="5" t="s">
        <v>137</v>
      </c>
      <c r="D71" s="5" t="s">
        <v>319</v>
      </c>
      <c r="E71" s="25" t="s">
        <v>335</v>
      </c>
    </row>
    <row r="72" spans="1:5">
      <c r="A72" s="21" t="s">
        <v>229</v>
      </c>
      <c r="B72" s="5" t="s">
        <v>158</v>
      </c>
      <c r="C72" s="5" t="s">
        <v>170</v>
      </c>
      <c r="D72" s="5" t="s">
        <v>144</v>
      </c>
      <c r="E72" s="25" t="s">
        <v>333</v>
      </c>
    </row>
    <row r="74" spans="1:5" ht="14.25">
      <c r="A74" s="22"/>
      <c r="B74" s="23" t="s">
        <v>173</v>
      </c>
    </row>
    <row r="75" spans="1:5" ht="15">
      <c r="A75" s="24" t="s">
        <v>159</v>
      </c>
      <c r="B75" s="24" t="s">
        <v>160</v>
      </c>
      <c r="C75" s="24" t="s">
        <v>161</v>
      </c>
      <c r="D75" s="24" t="s">
        <v>162</v>
      </c>
      <c r="E75" s="24" t="s">
        <v>163</v>
      </c>
    </row>
    <row r="76" spans="1:5">
      <c r="A76" s="21" t="s">
        <v>252</v>
      </c>
      <c r="B76" s="5" t="s">
        <v>336</v>
      </c>
      <c r="C76" s="5" t="s">
        <v>170</v>
      </c>
      <c r="D76" s="5" t="s">
        <v>85</v>
      </c>
      <c r="E76" s="25" t="s">
        <v>337</v>
      </c>
    </row>
  </sheetData>
  <mergeCells count="20">
    <mergeCell ref="A55:L55"/>
    <mergeCell ref="K3:K4"/>
    <mergeCell ref="L3:L4"/>
    <mergeCell ref="M3:M4"/>
    <mergeCell ref="A5:L5"/>
    <mergeCell ref="A9:L9"/>
    <mergeCell ref="A12:L12"/>
    <mergeCell ref="A18:L18"/>
    <mergeCell ref="A22:L22"/>
    <mergeCell ref="A31:L31"/>
    <mergeCell ref="A41:L41"/>
    <mergeCell ref="A50:L50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M66"/>
  <sheetViews>
    <sheetView workbookViewId="0">
      <selection activeCell="O6" sqref="O6"/>
    </sheetView>
  </sheetViews>
  <sheetFormatPr defaultRowHeight="12.75"/>
  <cols>
    <col min="1" max="1" width="26" style="5" bestFit="1" customWidth="1"/>
    <col min="2" max="2" width="29.7109375" style="5" bestFit="1" customWidth="1"/>
    <col min="3" max="3" width="10.5703125" style="5" bestFit="1" customWidth="1"/>
    <col min="4" max="4" width="8.42578125" style="5" bestFit="1" customWidth="1"/>
    <col min="5" max="5" width="22.7109375" style="5" bestFit="1" customWidth="1"/>
    <col min="6" max="6" width="34.7109375" style="5" bestFit="1" customWidth="1"/>
    <col min="7" max="9" width="5.5703125" style="4" bestFit="1" customWidth="1"/>
    <col min="10" max="10" width="4.85546875" style="4" bestFit="1" customWidth="1"/>
    <col min="11" max="11" width="11.42578125" style="5" customWidth="1"/>
    <col min="12" max="12" width="8.5703125" style="4" bestFit="1" customWidth="1"/>
    <col min="13" max="13" width="13.28515625" style="5" bestFit="1" customWidth="1"/>
    <col min="14" max="16384" width="9.140625" style="4"/>
  </cols>
  <sheetData>
    <row r="1" spans="1:13" s="3" customFormat="1" ht="29.1" customHeight="1">
      <c r="A1" s="30" t="s">
        <v>958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s="3" customFormat="1" ht="62.1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1" customFormat="1" ht="12.75" customHeight="1">
      <c r="A3" s="36" t="s">
        <v>0</v>
      </c>
      <c r="B3" s="38" t="s">
        <v>6</v>
      </c>
      <c r="C3" s="38" t="s">
        <v>8</v>
      </c>
      <c r="D3" s="27" t="s">
        <v>9</v>
      </c>
      <c r="E3" s="27" t="s">
        <v>4</v>
      </c>
      <c r="F3" s="27" t="s">
        <v>7</v>
      </c>
      <c r="G3" s="27" t="s">
        <v>1</v>
      </c>
      <c r="H3" s="27"/>
      <c r="I3" s="27"/>
      <c r="J3" s="27"/>
      <c r="K3" s="27" t="s">
        <v>181</v>
      </c>
      <c r="L3" s="27" t="s">
        <v>3</v>
      </c>
      <c r="M3" s="39" t="s">
        <v>2</v>
      </c>
    </row>
    <row r="4" spans="1:13" s="1" customFormat="1" ht="21" customHeight="1" thickBot="1">
      <c r="A4" s="37"/>
      <c r="B4" s="28"/>
      <c r="C4" s="28"/>
      <c r="D4" s="28"/>
      <c r="E4" s="28"/>
      <c r="F4" s="28"/>
      <c r="G4" s="2">
        <v>1</v>
      </c>
      <c r="H4" s="2">
        <v>2</v>
      </c>
      <c r="I4" s="2">
        <v>3</v>
      </c>
      <c r="J4" s="2" t="s">
        <v>5</v>
      </c>
      <c r="K4" s="28"/>
      <c r="L4" s="28"/>
      <c r="M4" s="40"/>
    </row>
    <row r="5" spans="1:13" ht="15">
      <c r="A5" s="29" t="s">
        <v>10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3">
      <c r="A6" s="6" t="s">
        <v>11</v>
      </c>
      <c r="B6" s="6" t="s">
        <v>12</v>
      </c>
      <c r="C6" s="6" t="s">
        <v>13</v>
      </c>
      <c r="D6" s="6" t="str">
        <f>"1,1401"</f>
        <v>1,1401</v>
      </c>
      <c r="E6" s="6" t="s">
        <v>14</v>
      </c>
      <c r="F6" s="6" t="s">
        <v>15</v>
      </c>
      <c r="G6" s="8" t="s">
        <v>16</v>
      </c>
      <c r="H6" s="8" t="s">
        <v>17</v>
      </c>
      <c r="I6" s="7" t="s">
        <v>18</v>
      </c>
      <c r="J6" s="7"/>
      <c r="K6" s="6" t="str">
        <f>"75,0"</f>
        <v>75,0</v>
      </c>
      <c r="L6" s="8" t="str">
        <f>"85,5075"</f>
        <v>85,5075</v>
      </c>
      <c r="M6" s="6" t="s">
        <v>19</v>
      </c>
    </row>
    <row r="8" spans="1:13" ht="15">
      <c r="A8" s="26" t="s">
        <v>20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3">
      <c r="A9" s="6" t="s">
        <v>21</v>
      </c>
      <c r="B9" s="6" t="s">
        <v>22</v>
      </c>
      <c r="C9" s="6" t="s">
        <v>23</v>
      </c>
      <c r="D9" s="6" t="str">
        <f>"0,9404"</f>
        <v>0,9404</v>
      </c>
      <c r="E9" s="6" t="s">
        <v>24</v>
      </c>
      <c r="F9" s="6" t="s">
        <v>25</v>
      </c>
      <c r="G9" s="8" t="s">
        <v>26</v>
      </c>
      <c r="H9" s="8" t="s">
        <v>27</v>
      </c>
      <c r="I9" s="7" t="s">
        <v>28</v>
      </c>
      <c r="J9" s="7"/>
      <c r="K9" s="6" t="str">
        <f>"50,0"</f>
        <v>50,0</v>
      </c>
      <c r="L9" s="8" t="str">
        <f>"47,0200"</f>
        <v>47,0200</v>
      </c>
      <c r="M9" s="6" t="s">
        <v>29</v>
      </c>
    </row>
    <row r="11" spans="1:13" ht="15">
      <c r="A11" s="26" t="s">
        <v>30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13">
      <c r="A12" s="9" t="s">
        <v>31</v>
      </c>
      <c r="B12" s="9" t="s">
        <v>32</v>
      </c>
      <c r="C12" s="9" t="s">
        <v>33</v>
      </c>
      <c r="D12" s="9" t="str">
        <f>"0,7747"</f>
        <v>0,7747</v>
      </c>
      <c r="E12" s="9" t="s">
        <v>24</v>
      </c>
      <c r="F12" s="9" t="s">
        <v>25</v>
      </c>
      <c r="G12" s="10" t="s">
        <v>34</v>
      </c>
      <c r="H12" s="10" t="s">
        <v>16</v>
      </c>
      <c r="I12" s="10" t="s">
        <v>16</v>
      </c>
      <c r="J12" s="10"/>
      <c r="K12" s="9" t="str">
        <f>"0,0"</f>
        <v>0,0</v>
      </c>
      <c r="L12" s="14" t="str">
        <f>"0,0000"</f>
        <v>0,0000</v>
      </c>
      <c r="M12" s="9" t="s">
        <v>29</v>
      </c>
    </row>
    <row r="13" spans="1:13">
      <c r="A13" s="11" t="s">
        <v>35</v>
      </c>
      <c r="B13" s="11" t="s">
        <v>36</v>
      </c>
      <c r="C13" s="11" t="s">
        <v>37</v>
      </c>
      <c r="D13" s="11" t="str">
        <f>"0,7973"</f>
        <v>0,7973</v>
      </c>
      <c r="E13" s="11" t="s">
        <v>38</v>
      </c>
      <c r="F13" s="11" t="s">
        <v>39</v>
      </c>
      <c r="G13" s="13" t="s">
        <v>40</v>
      </c>
      <c r="H13" s="12" t="s">
        <v>26</v>
      </c>
      <c r="I13" s="13" t="s">
        <v>26</v>
      </c>
      <c r="J13" s="12"/>
      <c r="K13" s="11" t="str">
        <f>"45,0"</f>
        <v>45,0</v>
      </c>
      <c r="L13" s="13" t="str">
        <f>"76,8876"</f>
        <v>76,8876</v>
      </c>
      <c r="M13" s="11" t="s">
        <v>41</v>
      </c>
    </row>
    <row r="15" spans="1:13" ht="15">
      <c r="A15" s="26" t="s">
        <v>42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1:13">
      <c r="A16" s="9" t="s">
        <v>43</v>
      </c>
      <c r="B16" s="9" t="s">
        <v>44</v>
      </c>
      <c r="C16" s="9" t="s">
        <v>45</v>
      </c>
      <c r="D16" s="9" t="str">
        <f>"0,7228"</f>
        <v>0,7228</v>
      </c>
      <c r="E16" s="9" t="s">
        <v>14</v>
      </c>
      <c r="F16" s="9" t="s">
        <v>15</v>
      </c>
      <c r="G16" s="14" t="s">
        <v>46</v>
      </c>
      <c r="H16" s="10"/>
      <c r="I16" s="10"/>
      <c r="J16" s="10"/>
      <c r="K16" s="9" t="str">
        <f>"67,5"</f>
        <v>67,5</v>
      </c>
      <c r="L16" s="14" t="str">
        <f>"48,7890"</f>
        <v>48,7890</v>
      </c>
      <c r="M16" s="9" t="s">
        <v>47</v>
      </c>
    </row>
    <row r="17" spans="1:13">
      <c r="A17" s="11" t="s">
        <v>43</v>
      </c>
      <c r="B17" s="11" t="s">
        <v>48</v>
      </c>
      <c r="C17" s="11" t="s">
        <v>45</v>
      </c>
      <c r="D17" s="11" t="str">
        <f>"0,7228"</f>
        <v>0,7228</v>
      </c>
      <c r="E17" s="11" t="s">
        <v>14</v>
      </c>
      <c r="F17" s="11" t="s">
        <v>15</v>
      </c>
      <c r="G17" s="13" t="s">
        <v>46</v>
      </c>
      <c r="H17" s="12"/>
      <c r="I17" s="12"/>
      <c r="J17" s="12"/>
      <c r="K17" s="11" t="str">
        <f>"67,5"</f>
        <v>67,5</v>
      </c>
      <c r="L17" s="13" t="str">
        <f>"67,9631"</f>
        <v>67,9631</v>
      </c>
      <c r="M17" s="11" t="s">
        <v>47</v>
      </c>
    </row>
    <row r="19" spans="1:13" ht="15">
      <c r="A19" s="26" t="s">
        <v>49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3">
      <c r="A20" s="9" t="s">
        <v>50</v>
      </c>
      <c r="B20" s="9" t="s">
        <v>51</v>
      </c>
      <c r="C20" s="9" t="s">
        <v>52</v>
      </c>
      <c r="D20" s="9" t="str">
        <f>"0,6749"</f>
        <v>0,6749</v>
      </c>
      <c r="E20" s="9" t="s">
        <v>24</v>
      </c>
      <c r="F20" s="9" t="s">
        <v>53</v>
      </c>
      <c r="G20" s="14" t="s">
        <v>54</v>
      </c>
      <c r="H20" s="14" t="s">
        <v>55</v>
      </c>
      <c r="I20" s="10" t="s">
        <v>56</v>
      </c>
      <c r="J20" s="10"/>
      <c r="K20" s="9" t="str">
        <f>"162,5"</f>
        <v>162,5</v>
      </c>
      <c r="L20" s="14" t="str">
        <f>"109,6712"</f>
        <v>109,6712</v>
      </c>
      <c r="M20" s="9" t="s">
        <v>57</v>
      </c>
    </row>
    <row r="21" spans="1:13">
      <c r="A21" s="11" t="s">
        <v>59</v>
      </c>
      <c r="B21" s="11" t="s">
        <v>60</v>
      </c>
      <c r="C21" s="11" t="s">
        <v>61</v>
      </c>
      <c r="D21" s="11" t="str">
        <f>"0,6699"</f>
        <v>0,6699</v>
      </c>
      <c r="E21" s="11" t="s">
        <v>14</v>
      </c>
      <c r="F21" s="11" t="s">
        <v>15</v>
      </c>
      <c r="G21" s="13" t="s">
        <v>62</v>
      </c>
      <c r="H21" s="13" t="s">
        <v>63</v>
      </c>
      <c r="I21" s="13" t="s">
        <v>64</v>
      </c>
      <c r="J21" s="12"/>
      <c r="K21" s="11" t="str">
        <f>"145,0"</f>
        <v>145,0</v>
      </c>
      <c r="L21" s="13" t="str">
        <f>"118,9910"</f>
        <v>118,9910</v>
      </c>
      <c r="M21" s="11" t="s">
        <v>65</v>
      </c>
    </row>
    <row r="23" spans="1:13" ht="15">
      <c r="A23" s="26" t="s">
        <v>66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3">
      <c r="A24" s="9" t="s">
        <v>68</v>
      </c>
      <c r="B24" s="9" t="s">
        <v>69</v>
      </c>
      <c r="C24" s="9" t="s">
        <v>70</v>
      </c>
      <c r="D24" s="9" t="str">
        <f>"0,6455"</f>
        <v>0,6455</v>
      </c>
      <c r="E24" s="9" t="s">
        <v>14</v>
      </c>
      <c r="F24" s="9" t="s">
        <v>15</v>
      </c>
      <c r="G24" s="10" t="s">
        <v>56</v>
      </c>
      <c r="H24" s="14" t="s">
        <v>71</v>
      </c>
      <c r="I24" s="14" t="s">
        <v>72</v>
      </c>
      <c r="J24" s="10"/>
      <c r="K24" s="9" t="str">
        <f>"180,0"</f>
        <v>180,0</v>
      </c>
      <c r="L24" s="14" t="str">
        <f>"116,1900"</f>
        <v>116,1900</v>
      </c>
      <c r="M24" s="9"/>
    </row>
    <row r="25" spans="1:13">
      <c r="A25" s="15" t="s">
        <v>74</v>
      </c>
      <c r="B25" s="15" t="s">
        <v>75</v>
      </c>
      <c r="C25" s="15" t="s">
        <v>76</v>
      </c>
      <c r="D25" s="15" t="str">
        <f>"0,6395"</f>
        <v>0,6395</v>
      </c>
      <c r="E25" s="15" t="s">
        <v>77</v>
      </c>
      <c r="F25" s="15" t="s">
        <v>78</v>
      </c>
      <c r="G25" s="17" t="s">
        <v>79</v>
      </c>
      <c r="H25" s="17" t="s">
        <v>80</v>
      </c>
      <c r="I25" s="17" t="s">
        <v>72</v>
      </c>
      <c r="J25" s="16"/>
      <c r="K25" s="15" t="str">
        <f>"180,0"</f>
        <v>180,0</v>
      </c>
      <c r="L25" s="17" t="str">
        <f>"115,1100"</f>
        <v>115,1100</v>
      </c>
      <c r="M25" s="15" t="s">
        <v>19</v>
      </c>
    </row>
    <row r="26" spans="1:13">
      <c r="A26" s="11" t="s">
        <v>82</v>
      </c>
      <c r="B26" s="11" t="s">
        <v>83</v>
      </c>
      <c r="C26" s="11" t="s">
        <v>70</v>
      </c>
      <c r="D26" s="11" t="str">
        <f>"0,6455"</f>
        <v>0,6455</v>
      </c>
      <c r="E26" s="11" t="s">
        <v>38</v>
      </c>
      <c r="F26" s="11" t="s">
        <v>84</v>
      </c>
      <c r="G26" s="13" t="s">
        <v>62</v>
      </c>
      <c r="H26" s="13" t="s">
        <v>63</v>
      </c>
      <c r="I26" s="12" t="s">
        <v>85</v>
      </c>
      <c r="J26" s="12"/>
      <c r="K26" s="11" t="str">
        <f>"140,0"</f>
        <v>140,0</v>
      </c>
      <c r="L26" s="13" t="str">
        <f>"118,8366"</f>
        <v>118,8366</v>
      </c>
      <c r="M26" s="11" t="s">
        <v>41</v>
      </c>
    </row>
    <row r="28" spans="1:13" ht="15">
      <c r="A28" s="26" t="s">
        <v>86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</row>
    <row r="29" spans="1:13">
      <c r="A29" s="9" t="s">
        <v>87</v>
      </c>
      <c r="B29" s="9" t="s">
        <v>88</v>
      </c>
      <c r="C29" s="9" t="s">
        <v>89</v>
      </c>
      <c r="D29" s="9" t="str">
        <f>"0,6352"</f>
        <v>0,6352</v>
      </c>
      <c r="E29" s="9" t="s">
        <v>90</v>
      </c>
      <c r="F29" s="9" t="s">
        <v>15</v>
      </c>
      <c r="G29" s="14" t="s">
        <v>34</v>
      </c>
      <c r="H29" s="14" t="s">
        <v>16</v>
      </c>
      <c r="I29" s="10" t="s">
        <v>17</v>
      </c>
      <c r="J29" s="10"/>
      <c r="K29" s="9" t="str">
        <f>"70,0"</f>
        <v>70,0</v>
      </c>
      <c r="L29" s="14" t="str">
        <f>"44,4640"</f>
        <v>44,4640</v>
      </c>
      <c r="M29" s="9" t="s">
        <v>91</v>
      </c>
    </row>
    <row r="30" spans="1:13">
      <c r="A30" s="15" t="s">
        <v>92</v>
      </c>
      <c r="B30" s="15" t="s">
        <v>93</v>
      </c>
      <c r="C30" s="15" t="s">
        <v>94</v>
      </c>
      <c r="D30" s="15" t="str">
        <f>"0,6136"</f>
        <v>0,6136</v>
      </c>
      <c r="E30" s="15" t="s">
        <v>24</v>
      </c>
      <c r="F30" s="15" t="s">
        <v>95</v>
      </c>
      <c r="G30" s="17" t="s">
        <v>96</v>
      </c>
      <c r="H30" s="16" t="s">
        <v>72</v>
      </c>
      <c r="I30" s="16"/>
      <c r="J30" s="16"/>
      <c r="K30" s="15" t="str">
        <f>"155,0"</f>
        <v>155,0</v>
      </c>
      <c r="L30" s="17" t="str">
        <f>"97,0102"</f>
        <v>97,0102</v>
      </c>
      <c r="M30" s="15" t="s">
        <v>97</v>
      </c>
    </row>
    <row r="31" spans="1:13">
      <c r="A31" s="11" t="s">
        <v>98</v>
      </c>
      <c r="B31" s="11" t="s">
        <v>99</v>
      </c>
      <c r="C31" s="11" t="s">
        <v>100</v>
      </c>
      <c r="D31" s="11" t="str">
        <f>"0,6260"</f>
        <v>0,6260</v>
      </c>
      <c r="E31" s="11" t="s">
        <v>38</v>
      </c>
      <c r="F31" s="11" t="s">
        <v>84</v>
      </c>
      <c r="G31" s="13" t="s">
        <v>101</v>
      </c>
      <c r="H31" s="12" t="s">
        <v>102</v>
      </c>
      <c r="I31" s="12" t="s">
        <v>102</v>
      </c>
      <c r="J31" s="12"/>
      <c r="K31" s="11" t="str">
        <f>"110,0"</f>
        <v>110,0</v>
      </c>
      <c r="L31" s="13" t="str">
        <f>"94,0628"</f>
        <v>94,0628</v>
      </c>
      <c r="M31" s="11" t="s">
        <v>41</v>
      </c>
    </row>
    <row r="33" spans="1:13" ht="15">
      <c r="A33" s="26" t="s">
        <v>103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</row>
    <row r="34" spans="1:13">
      <c r="A34" s="9" t="s">
        <v>104</v>
      </c>
      <c r="B34" s="9" t="s">
        <v>105</v>
      </c>
      <c r="C34" s="9" t="s">
        <v>106</v>
      </c>
      <c r="D34" s="9" t="str">
        <f>"0,5923"</f>
        <v>0,5923</v>
      </c>
      <c r="E34" s="9" t="s">
        <v>24</v>
      </c>
      <c r="F34" s="9" t="s">
        <v>107</v>
      </c>
      <c r="G34" s="14" t="s">
        <v>108</v>
      </c>
      <c r="H34" s="14" t="s">
        <v>109</v>
      </c>
      <c r="I34" s="10" t="s">
        <v>110</v>
      </c>
      <c r="J34" s="10"/>
      <c r="K34" s="9" t="str">
        <f>"190,0"</f>
        <v>190,0</v>
      </c>
      <c r="L34" s="14" t="str">
        <f>"112,5370"</f>
        <v>112,5370</v>
      </c>
      <c r="M34" s="9" t="s">
        <v>111</v>
      </c>
    </row>
    <row r="35" spans="1:13">
      <c r="A35" s="15" t="s">
        <v>112</v>
      </c>
      <c r="B35" s="15" t="s">
        <v>113</v>
      </c>
      <c r="C35" s="15" t="s">
        <v>114</v>
      </c>
      <c r="D35" s="15" t="str">
        <f>"0,5885"</f>
        <v>0,5885</v>
      </c>
      <c r="E35" s="15" t="s">
        <v>24</v>
      </c>
      <c r="F35" s="15" t="s">
        <v>115</v>
      </c>
      <c r="G35" s="17" t="s">
        <v>108</v>
      </c>
      <c r="H35" s="17" t="s">
        <v>109</v>
      </c>
      <c r="I35" s="16"/>
      <c r="J35" s="16"/>
      <c r="K35" s="15" t="str">
        <f>"190,0"</f>
        <v>190,0</v>
      </c>
      <c r="L35" s="17" t="str">
        <f>"111,8150"</f>
        <v>111,8150</v>
      </c>
      <c r="M35" s="15" t="s">
        <v>116</v>
      </c>
    </row>
    <row r="36" spans="1:13">
      <c r="A36" s="15" t="s">
        <v>118</v>
      </c>
      <c r="B36" s="15" t="s">
        <v>119</v>
      </c>
      <c r="C36" s="15" t="s">
        <v>120</v>
      </c>
      <c r="D36" s="15" t="str">
        <f>"0,5932"</f>
        <v>0,5932</v>
      </c>
      <c r="E36" s="15" t="s">
        <v>14</v>
      </c>
      <c r="F36" s="15" t="s">
        <v>15</v>
      </c>
      <c r="G36" s="17" t="s">
        <v>121</v>
      </c>
      <c r="H36" s="17" t="s">
        <v>79</v>
      </c>
      <c r="I36" s="17" t="s">
        <v>71</v>
      </c>
      <c r="J36" s="16"/>
      <c r="K36" s="15" t="str">
        <f>"175,0"</f>
        <v>175,0</v>
      </c>
      <c r="L36" s="17" t="str">
        <f>"113,8796"</f>
        <v>113,8796</v>
      </c>
      <c r="M36" s="15" t="s">
        <v>122</v>
      </c>
    </row>
    <row r="37" spans="1:13">
      <c r="A37" s="15" t="s">
        <v>123</v>
      </c>
      <c r="B37" s="15" t="s">
        <v>124</v>
      </c>
      <c r="C37" s="15" t="s">
        <v>125</v>
      </c>
      <c r="D37" s="15" t="str">
        <f>"0,5937"</f>
        <v>0,5937</v>
      </c>
      <c r="E37" s="15" t="s">
        <v>14</v>
      </c>
      <c r="F37" s="15" t="s">
        <v>15</v>
      </c>
      <c r="G37" s="17" t="s">
        <v>54</v>
      </c>
      <c r="H37" s="17" t="s">
        <v>121</v>
      </c>
      <c r="I37" s="16"/>
      <c r="J37" s="16"/>
      <c r="K37" s="15" t="str">
        <f>"160,0"</f>
        <v>160,0</v>
      </c>
      <c r="L37" s="17" t="str">
        <f>"110,6657"</f>
        <v>110,6657</v>
      </c>
      <c r="M37" s="15" t="s">
        <v>126</v>
      </c>
    </row>
    <row r="38" spans="1:13">
      <c r="A38" s="11" t="s">
        <v>127</v>
      </c>
      <c r="B38" s="11" t="s">
        <v>128</v>
      </c>
      <c r="C38" s="11" t="s">
        <v>129</v>
      </c>
      <c r="D38" s="11" t="str">
        <f>"0,5946"</f>
        <v>0,5946</v>
      </c>
      <c r="E38" s="11" t="s">
        <v>38</v>
      </c>
      <c r="F38" s="11" t="s">
        <v>84</v>
      </c>
      <c r="G38" s="12" t="s">
        <v>121</v>
      </c>
      <c r="H38" s="12" t="s">
        <v>121</v>
      </c>
      <c r="I38" s="12" t="s">
        <v>121</v>
      </c>
      <c r="J38" s="12"/>
      <c r="K38" s="11" t="str">
        <f>"0,0"</f>
        <v>0,0</v>
      </c>
      <c r="L38" s="13" t="str">
        <f>"0,0000"</f>
        <v>0,0000</v>
      </c>
      <c r="M38" s="11" t="s">
        <v>41</v>
      </c>
    </row>
    <row r="40" spans="1:13" ht="15">
      <c r="A40" s="26" t="s">
        <v>130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3">
      <c r="A41" s="9" t="s">
        <v>131</v>
      </c>
      <c r="B41" s="9" t="s">
        <v>132</v>
      </c>
      <c r="C41" s="9" t="s">
        <v>133</v>
      </c>
      <c r="D41" s="9" t="str">
        <f>"0,5808"</f>
        <v>0,5808</v>
      </c>
      <c r="E41" s="9" t="s">
        <v>14</v>
      </c>
      <c r="F41" s="9" t="s">
        <v>15</v>
      </c>
      <c r="G41" s="10" t="s">
        <v>72</v>
      </c>
      <c r="H41" s="14" t="s">
        <v>72</v>
      </c>
      <c r="I41" s="10" t="s">
        <v>109</v>
      </c>
      <c r="J41" s="10"/>
      <c r="K41" s="9" t="str">
        <f>"180,0"</f>
        <v>180,0</v>
      </c>
      <c r="L41" s="14" t="str">
        <f>"104,5440"</f>
        <v>104,5440</v>
      </c>
      <c r="M41" s="9" t="s">
        <v>19</v>
      </c>
    </row>
    <row r="42" spans="1:13">
      <c r="A42" s="11" t="s">
        <v>134</v>
      </c>
      <c r="B42" s="11" t="s">
        <v>135</v>
      </c>
      <c r="C42" s="11" t="s">
        <v>136</v>
      </c>
      <c r="D42" s="11" t="str">
        <f>"0,5858"</f>
        <v>0,5858</v>
      </c>
      <c r="E42" s="11" t="s">
        <v>24</v>
      </c>
      <c r="F42" s="11" t="s">
        <v>25</v>
      </c>
      <c r="G42" s="13" t="s">
        <v>137</v>
      </c>
      <c r="H42" s="12" t="s">
        <v>138</v>
      </c>
      <c r="I42" s="12" t="s">
        <v>138</v>
      </c>
      <c r="J42" s="12"/>
      <c r="K42" s="11" t="str">
        <f>"125,0"</f>
        <v>125,0</v>
      </c>
      <c r="L42" s="13" t="str">
        <f>"73,2250"</f>
        <v>73,2250</v>
      </c>
      <c r="M42" s="11" t="s">
        <v>29</v>
      </c>
    </row>
    <row r="44" spans="1:13" ht="15">
      <c r="A44" s="26" t="s">
        <v>139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</row>
    <row r="45" spans="1:13">
      <c r="A45" s="9" t="s">
        <v>140</v>
      </c>
      <c r="B45" s="9" t="s">
        <v>141</v>
      </c>
      <c r="C45" s="9" t="s">
        <v>142</v>
      </c>
      <c r="D45" s="9" t="str">
        <f>"0,5479"</f>
        <v>0,5479</v>
      </c>
      <c r="E45" s="9" t="s">
        <v>24</v>
      </c>
      <c r="F45" s="9" t="s">
        <v>143</v>
      </c>
      <c r="G45" s="14" t="s">
        <v>144</v>
      </c>
      <c r="H45" s="14" t="s">
        <v>145</v>
      </c>
      <c r="I45" s="10" t="s">
        <v>146</v>
      </c>
      <c r="J45" s="10"/>
      <c r="K45" s="9" t="str">
        <f>"205,0"</f>
        <v>205,0</v>
      </c>
      <c r="L45" s="14" t="str">
        <f>"112,3195"</f>
        <v>112,3195</v>
      </c>
      <c r="M45" s="9" t="s">
        <v>19</v>
      </c>
    </row>
    <row r="46" spans="1:13">
      <c r="A46" s="11" t="s">
        <v>147</v>
      </c>
      <c r="B46" s="11" t="s">
        <v>148</v>
      </c>
      <c r="C46" s="11" t="s">
        <v>149</v>
      </c>
      <c r="D46" s="11" t="str">
        <f>"0,5551"</f>
        <v>0,5551</v>
      </c>
      <c r="E46" s="11" t="s">
        <v>14</v>
      </c>
      <c r="F46" s="11" t="s">
        <v>15</v>
      </c>
      <c r="G46" s="12" t="s">
        <v>71</v>
      </c>
      <c r="H46" s="13" t="s">
        <v>71</v>
      </c>
      <c r="I46" s="12" t="s">
        <v>72</v>
      </c>
      <c r="J46" s="12"/>
      <c r="K46" s="11" t="str">
        <f>"175,0"</f>
        <v>175,0</v>
      </c>
      <c r="L46" s="13" t="str">
        <f>"97,1425"</f>
        <v>97,1425</v>
      </c>
      <c r="M46" s="11" t="s">
        <v>150</v>
      </c>
    </row>
    <row r="48" spans="1:13" ht="15">
      <c r="E48" s="18" t="s">
        <v>151</v>
      </c>
    </row>
    <row r="49" spans="1:5" ht="15">
      <c r="E49" s="18" t="s">
        <v>152</v>
      </c>
    </row>
    <row r="50" spans="1:5" ht="15">
      <c r="E50" s="18" t="s">
        <v>153</v>
      </c>
    </row>
    <row r="51" spans="1:5" ht="15">
      <c r="E51" s="18" t="s">
        <v>154</v>
      </c>
    </row>
    <row r="52" spans="1:5" ht="15">
      <c r="E52" s="18" t="s">
        <v>154</v>
      </c>
    </row>
    <row r="53" spans="1:5" ht="15">
      <c r="E53" s="18" t="s">
        <v>155</v>
      </c>
    </row>
    <row r="54" spans="1:5" ht="15">
      <c r="E54" s="18"/>
    </row>
    <row r="56" spans="1:5" ht="18">
      <c r="A56" s="19" t="s">
        <v>156</v>
      </c>
      <c r="B56" s="19"/>
    </row>
    <row r="57" spans="1:5" ht="15">
      <c r="A57" s="20" t="s">
        <v>165</v>
      </c>
      <c r="B57" s="20"/>
    </row>
    <row r="58" spans="1:5" ht="14.25">
      <c r="A58" s="22"/>
      <c r="B58" s="23" t="s">
        <v>158</v>
      </c>
    </row>
    <row r="59" spans="1:5" ht="15">
      <c r="A59" s="24" t="s">
        <v>159</v>
      </c>
      <c r="B59" s="24" t="s">
        <v>160</v>
      </c>
      <c r="C59" s="24" t="s">
        <v>161</v>
      </c>
      <c r="D59" s="24" t="s">
        <v>162</v>
      </c>
      <c r="E59" s="24" t="s">
        <v>163</v>
      </c>
    </row>
    <row r="60" spans="1:5">
      <c r="A60" s="21" t="s">
        <v>67</v>
      </c>
      <c r="B60" s="5" t="s">
        <v>158</v>
      </c>
      <c r="C60" s="5" t="s">
        <v>170</v>
      </c>
      <c r="D60" s="5" t="s">
        <v>72</v>
      </c>
      <c r="E60" s="25" t="s">
        <v>171</v>
      </c>
    </row>
    <row r="62" spans="1:5" ht="14.25">
      <c r="A62" s="22"/>
      <c r="B62" s="23" t="s">
        <v>173</v>
      </c>
    </row>
    <row r="63" spans="1:5" ht="15">
      <c r="A63" s="24" t="s">
        <v>159</v>
      </c>
      <c r="B63" s="24" t="s">
        <v>160</v>
      </c>
      <c r="C63" s="24" t="s">
        <v>161</v>
      </c>
      <c r="D63" s="24" t="s">
        <v>162</v>
      </c>
      <c r="E63" s="24" t="s">
        <v>163</v>
      </c>
    </row>
    <row r="64" spans="1:5">
      <c r="A64" s="21" t="s">
        <v>58</v>
      </c>
      <c r="B64" s="5" t="s">
        <v>174</v>
      </c>
      <c r="C64" s="5" t="s">
        <v>172</v>
      </c>
      <c r="D64" s="5" t="s">
        <v>64</v>
      </c>
      <c r="E64" s="25" t="s">
        <v>175</v>
      </c>
    </row>
    <row r="65" spans="1:5">
      <c r="A65" s="21" t="s">
        <v>81</v>
      </c>
      <c r="B65" s="5" t="s">
        <v>176</v>
      </c>
      <c r="C65" s="5" t="s">
        <v>170</v>
      </c>
      <c r="D65" s="5" t="s">
        <v>63</v>
      </c>
      <c r="E65" s="25" t="s">
        <v>177</v>
      </c>
    </row>
    <row r="66" spans="1:5">
      <c r="A66" s="21" t="s">
        <v>117</v>
      </c>
      <c r="B66" s="5" t="s">
        <v>178</v>
      </c>
      <c r="C66" s="5" t="s">
        <v>101</v>
      </c>
      <c r="D66" s="5" t="s">
        <v>71</v>
      </c>
      <c r="E66" s="25" t="s">
        <v>179</v>
      </c>
    </row>
  </sheetData>
  <mergeCells count="21">
    <mergeCell ref="A44:L44"/>
    <mergeCell ref="A15:L15"/>
    <mergeCell ref="A19:L19"/>
    <mergeCell ref="A23:L23"/>
    <mergeCell ref="A28:L28"/>
    <mergeCell ref="A33:L33"/>
    <mergeCell ref="A40:L40"/>
    <mergeCell ref="A11:L11"/>
    <mergeCell ref="A1:M2"/>
    <mergeCell ref="G3:J3"/>
    <mergeCell ref="A3:A4"/>
    <mergeCell ref="B3:B4"/>
    <mergeCell ref="C3:C4"/>
    <mergeCell ref="M3:M4"/>
    <mergeCell ref="F3:F4"/>
    <mergeCell ref="E3:E4"/>
    <mergeCell ref="D3:D4"/>
    <mergeCell ref="K3:K4"/>
    <mergeCell ref="L3:L4"/>
    <mergeCell ref="A5:L5"/>
    <mergeCell ref="A8:L8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M5" sqref="M5"/>
    </sheetView>
  </sheetViews>
  <sheetFormatPr defaultRowHeight="12.75"/>
  <cols>
    <col min="1" max="1" width="26" style="5" bestFit="1" customWidth="1"/>
    <col min="2" max="2" width="28.5703125" style="5" bestFit="1" customWidth="1"/>
    <col min="3" max="3" width="10.5703125" style="5" bestFit="1" customWidth="1"/>
    <col min="4" max="4" width="8.42578125" style="5" bestFit="1" customWidth="1"/>
    <col min="5" max="5" width="22.7109375" style="5" bestFit="1" customWidth="1"/>
    <col min="6" max="6" width="16.7109375" style="5" bestFit="1" customWidth="1"/>
    <col min="7" max="8" width="4.5703125" style="4" bestFit="1" customWidth="1"/>
    <col min="9" max="9" width="12" style="5" customWidth="1"/>
    <col min="10" max="10" width="9.5703125" style="4" bestFit="1" customWidth="1"/>
    <col min="11" max="11" width="28.28515625" style="5" bestFit="1" customWidth="1"/>
    <col min="12" max="16384" width="9.140625" style="4"/>
  </cols>
  <sheetData>
    <row r="1" spans="1:11" s="3" customFormat="1" ht="29.1" customHeight="1">
      <c r="A1" s="30" t="s">
        <v>977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2" spans="1:11" s="3" customFormat="1" ht="62.1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5"/>
    </row>
    <row r="3" spans="1:11" s="1" customFormat="1" ht="12.75" customHeight="1">
      <c r="A3" s="36" t="s">
        <v>0</v>
      </c>
      <c r="B3" s="38" t="s">
        <v>6</v>
      </c>
      <c r="C3" s="38" t="s">
        <v>8</v>
      </c>
      <c r="D3" s="27" t="s">
        <v>976</v>
      </c>
      <c r="E3" s="27" t="s">
        <v>4</v>
      </c>
      <c r="F3" s="27" t="s">
        <v>7</v>
      </c>
      <c r="G3" s="27" t="s">
        <v>1</v>
      </c>
      <c r="H3" s="27"/>
      <c r="I3" s="27" t="s">
        <v>181</v>
      </c>
      <c r="J3" s="27" t="s">
        <v>3</v>
      </c>
      <c r="K3" s="39" t="s">
        <v>2</v>
      </c>
    </row>
    <row r="4" spans="1:11" s="1" customFormat="1" ht="21" customHeight="1" thickBot="1">
      <c r="A4" s="37"/>
      <c r="B4" s="28"/>
      <c r="C4" s="28"/>
      <c r="D4" s="28"/>
      <c r="E4" s="28"/>
      <c r="F4" s="28"/>
      <c r="G4" s="2">
        <v>1</v>
      </c>
      <c r="H4" s="2">
        <v>2</v>
      </c>
      <c r="I4" s="28"/>
      <c r="J4" s="28"/>
      <c r="K4" s="40"/>
    </row>
    <row r="5" spans="1:11" ht="15">
      <c r="A5" s="29" t="s">
        <v>402</v>
      </c>
      <c r="B5" s="29"/>
      <c r="C5" s="29"/>
      <c r="D5" s="29"/>
      <c r="E5" s="29"/>
      <c r="F5" s="29"/>
      <c r="G5" s="29"/>
      <c r="H5" s="29"/>
      <c r="I5" s="29"/>
      <c r="J5" s="29"/>
    </row>
    <row r="6" spans="1:11">
      <c r="A6" s="9" t="s">
        <v>929</v>
      </c>
      <c r="B6" s="9" t="s">
        <v>735</v>
      </c>
      <c r="C6" s="9" t="s">
        <v>736</v>
      </c>
      <c r="D6" s="9" t="str">
        <f>"1,1093"</f>
        <v>1,1093</v>
      </c>
      <c r="E6" s="9" t="s">
        <v>14</v>
      </c>
      <c r="F6" s="9" t="s">
        <v>15</v>
      </c>
      <c r="G6" s="14" t="s">
        <v>960</v>
      </c>
      <c r="H6" s="14" t="s">
        <v>720</v>
      </c>
      <c r="I6" s="9" t="str">
        <f>"962,5"</f>
        <v>962,5</v>
      </c>
      <c r="J6" s="14" t="str">
        <f>"1067,7013"</f>
        <v>1067,7013</v>
      </c>
      <c r="K6" s="9" t="s">
        <v>737</v>
      </c>
    </row>
    <row r="7" spans="1:11">
      <c r="A7" s="11" t="s">
        <v>975</v>
      </c>
      <c r="B7" s="11" t="s">
        <v>974</v>
      </c>
      <c r="C7" s="11" t="s">
        <v>973</v>
      </c>
      <c r="D7" s="11" t="str">
        <f>"1,1641"</f>
        <v>1,1641</v>
      </c>
      <c r="E7" s="11" t="s">
        <v>14</v>
      </c>
      <c r="F7" s="11" t="s">
        <v>15</v>
      </c>
      <c r="G7" s="13" t="s">
        <v>972</v>
      </c>
      <c r="H7" s="13" t="s">
        <v>971</v>
      </c>
      <c r="I7" s="11" t="str">
        <f>"1150,0"</f>
        <v>1150,0</v>
      </c>
      <c r="J7" s="13" t="str">
        <f>"1448,4897"</f>
        <v>1448,4897</v>
      </c>
      <c r="K7" s="11" t="s">
        <v>522</v>
      </c>
    </row>
    <row r="9" spans="1:11" ht="15">
      <c r="A9" s="26" t="s">
        <v>20</v>
      </c>
      <c r="B9" s="26"/>
      <c r="C9" s="26"/>
      <c r="D9" s="26"/>
      <c r="E9" s="26"/>
      <c r="F9" s="26"/>
      <c r="G9" s="26"/>
      <c r="H9" s="26"/>
      <c r="I9" s="26"/>
      <c r="J9" s="26"/>
    </row>
    <row r="10" spans="1:11">
      <c r="A10" s="6" t="s">
        <v>745</v>
      </c>
      <c r="B10" s="6" t="s">
        <v>414</v>
      </c>
      <c r="C10" s="6" t="s">
        <v>415</v>
      </c>
      <c r="D10" s="6" t="str">
        <f>"1,0439"</f>
        <v>1,0439</v>
      </c>
      <c r="E10" s="6" t="s">
        <v>14</v>
      </c>
      <c r="F10" s="6" t="s">
        <v>15</v>
      </c>
      <c r="G10" s="8" t="s">
        <v>718</v>
      </c>
      <c r="H10" s="8" t="s">
        <v>970</v>
      </c>
      <c r="I10" s="6" t="str">
        <f>"690,0"</f>
        <v>690,0</v>
      </c>
      <c r="J10" s="8" t="str">
        <f>"720,2910"</f>
        <v>720,2910</v>
      </c>
      <c r="K10" s="6" t="s">
        <v>47</v>
      </c>
    </row>
    <row r="12" spans="1:11" ht="15">
      <c r="A12" s="26" t="s">
        <v>30</v>
      </c>
      <c r="B12" s="26"/>
      <c r="C12" s="26"/>
      <c r="D12" s="26"/>
      <c r="E12" s="26"/>
      <c r="F12" s="26"/>
      <c r="G12" s="26"/>
      <c r="H12" s="26"/>
      <c r="I12" s="26"/>
      <c r="J12" s="26"/>
    </row>
    <row r="13" spans="1:11">
      <c r="A13" s="6" t="s">
        <v>969</v>
      </c>
      <c r="B13" s="6" t="s">
        <v>968</v>
      </c>
      <c r="C13" s="6" t="s">
        <v>967</v>
      </c>
      <c r="D13" s="6" t="str">
        <f>"0,9559"</f>
        <v>0,9559</v>
      </c>
      <c r="E13" s="6" t="s">
        <v>14</v>
      </c>
      <c r="F13" s="6" t="s">
        <v>15</v>
      </c>
      <c r="G13" s="8" t="s">
        <v>719</v>
      </c>
      <c r="H13" s="8" t="s">
        <v>966</v>
      </c>
      <c r="I13" s="6" t="str">
        <f>"1040,0"</f>
        <v>1040,0</v>
      </c>
      <c r="J13" s="8" t="str">
        <f>"1036,8839"</f>
        <v>1036,8839</v>
      </c>
      <c r="K13" s="6" t="s">
        <v>965</v>
      </c>
    </row>
    <row r="15" spans="1:11" ht="15">
      <c r="A15" s="26" t="s">
        <v>42</v>
      </c>
      <c r="B15" s="26"/>
      <c r="C15" s="26"/>
      <c r="D15" s="26"/>
      <c r="E15" s="26"/>
      <c r="F15" s="26"/>
      <c r="G15" s="26"/>
      <c r="H15" s="26"/>
      <c r="I15" s="26"/>
      <c r="J15" s="26"/>
    </row>
    <row r="16" spans="1:11">
      <c r="A16" s="6" t="s">
        <v>438</v>
      </c>
      <c r="B16" s="6" t="s">
        <v>439</v>
      </c>
      <c r="C16" s="6" t="s">
        <v>440</v>
      </c>
      <c r="D16" s="6" t="str">
        <f>"0,8391"</f>
        <v>0,8391</v>
      </c>
      <c r="E16" s="6" t="s">
        <v>14</v>
      </c>
      <c r="F16" s="6" t="s">
        <v>15</v>
      </c>
      <c r="G16" s="7" t="s">
        <v>762</v>
      </c>
      <c r="H16" s="8" t="s">
        <v>964</v>
      </c>
      <c r="I16" s="6" t="str">
        <f>"0,0"</f>
        <v>0,0</v>
      </c>
      <c r="J16" s="8" t="str">
        <f>"0,0000"</f>
        <v>0,0000</v>
      </c>
      <c r="K16" s="6" t="s">
        <v>122</v>
      </c>
    </row>
    <row r="18" spans="1:11" ht="15">
      <c r="A18" s="26" t="s">
        <v>20</v>
      </c>
      <c r="B18" s="26"/>
      <c r="C18" s="26"/>
      <c r="D18" s="26"/>
      <c r="E18" s="26"/>
      <c r="F18" s="26"/>
      <c r="G18" s="26"/>
      <c r="H18" s="26"/>
      <c r="I18" s="26"/>
      <c r="J18" s="26"/>
    </row>
    <row r="19" spans="1:11">
      <c r="A19" s="6" t="s">
        <v>963</v>
      </c>
      <c r="B19" s="6" t="s">
        <v>962</v>
      </c>
      <c r="C19" s="6" t="s">
        <v>961</v>
      </c>
      <c r="D19" s="6" t="str">
        <f>"0,9184"</f>
        <v>0,9184</v>
      </c>
      <c r="E19" s="6" t="s">
        <v>14</v>
      </c>
      <c r="F19" s="6" t="s">
        <v>15</v>
      </c>
      <c r="G19" s="8" t="s">
        <v>960</v>
      </c>
      <c r="H19" s="8" t="s">
        <v>26</v>
      </c>
      <c r="I19" s="6" t="str">
        <f>"1237,5"</f>
        <v>1237,5</v>
      </c>
      <c r="J19" s="8" t="str">
        <f>"1136,5200"</f>
        <v>1136,5200</v>
      </c>
      <c r="K19" s="6" t="s">
        <v>959</v>
      </c>
    </row>
    <row r="21" spans="1:11" ht="15">
      <c r="E21" s="18" t="s">
        <v>151</v>
      </c>
    </row>
    <row r="22" spans="1:11" ht="15">
      <c r="E22" s="18" t="s">
        <v>152</v>
      </c>
    </row>
    <row r="23" spans="1:11" ht="15">
      <c r="E23" s="18" t="s">
        <v>153</v>
      </c>
    </row>
    <row r="24" spans="1:11" ht="15">
      <c r="E24" s="18" t="s">
        <v>154</v>
      </c>
    </row>
    <row r="25" spans="1:11" ht="15">
      <c r="E25" s="18" t="s">
        <v>154</v>
      </c>
    </row>
    <row r="26" spans="1:11" ht="15">
      <c r="E26" s="18" t="s">
        <v>155</v>
      </c>
    </row>
    <row r="27" spans="1:11" ht="15">
      <c r="E27" s="18"/>
    </row>
    <row r="29" spans="1:11" ht="18">
      <c r="A29" s="19" t="s">
        <v>156</v>
      </c>
      <c r="B29" s="19"/>
    </row>
  </sheetData>
  <mergeCells count="16">
    <mergeCell ref="A1:K2"/>
    <mergeCell ref="A3:A4"/>
    <mergeCell ref="B3:B4"/>
    <mergeCell ref="C3:C4"/>
    <mergeCell ref="D3:D4"/>
    <mergeCell ref="E3:E4"/>
    <mergeCell ref="F3:F4"/>
    <mergeCell ref="G3:H3"/>
    <mergeCell ref="A15:J15"/>
    <mergeCell ref="A18:J18"/>
    <mergeCell ref="I3:I4"/>
    <mergeCell ref="J3:J4"/>
    <mergeCell ref="K3:K4"/>
    <mergeCell ref="A5:J5"/>
    <mergeCell ref="A9:J9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WPU жим ЭЛИТА</vt:lpstr>
      <vt:lpstr>WPU c ДК жим в одн сл. эк.</vt:lpstr>
      <vt:lpstr>WPU c ДК жим безэк.</vt:lpstr>
      <vt:lpstr>WPU c ДК жим классик.</vt:lpstr>
      <vt:lpstr>WPU жим в мн сл. эк.</vt:lpstr>
      <vt:lpstr>WPU жим в одн сл. эк.</vt:lpstr>
      <vt:lpstr>WPU жим безэк.</vt:lpstr>
      <vt:lpstr>WPU жим классик.</vt:lpstr>
      <vt:lpstr>WPU НЖ 1_2 вес д.к.</vt:lpstr>
      <vt:lpstr>WPU НЖ 1 вес д.к.</vt:lpstr>
      <vt:lpstr>WPU НЖ 1 вес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WPC</cp:lastModifiedBy>
  <cp:lastPrinted>2018-04-26T07:49:14Z</cp:lastPrinted>
  <dcterms:created xsi:type="dcterms:W3CDTF">2002-06-16T13:36:44Z</dcterms:created>
  <dcterms:modified xsi:type="dcterms:W3CDTF">2018-06-01T14:09:42Z</dcterms:modified>
</cp:coreProperties>
</file>