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5" windowWidth="11340" windowHeight="9690" firstSheet="11" activeTab="11"/>
  </bookViews>
  <sheets>
    <sheet name="WPU ЭЛИТА тяга" sheetId="29" r:id="rId1"/>
    <sheet name="WPU с ДК НЖ 1 вес" sheetId="27" r:id="rId2"/>
    <sheet name="WPU НЖ 1 вес" sheetId="25" r:id="rId3"/>
    <sheet name="WPU c ДК тяга в 1 эк." sheetId="22" r:id="rId4"/>
    <sheet name="WPU c ДК тяга без эк." sheetId="20" r:id="rId5"/>
    <sheet name="WPU тяга без эк." sheetId="19" r:id="rId6"/>
    <sheet name="WPU c ДК жим в 1 эк." sheetId="16" r:id="rId7"/>
    <sheet name="WPU c ДК жим безэк." sheetId="14" r:id="rId8"/>
    <sheet name="WPU жим в 1 эк." sheetId="15" r:id="rId9"/>
    <sheet name="WPU жим безэк." sheetId="13" r:id="rId10"/>
    <sheet name="WPU пл в мн эк." sheetId="11" r:id="rId11"/>
    <sheet name="WPU c ДК пл в 1 эк." sheetId="10" r:id="rId12"/>
    <sheet name="WPU c ДК пл безэк." sheetId="8" r:id="rId13"/>
    <sheet name="WPU c ДК пл классик." sheetId="6" r:id="rId14"/>
    <sheet name="WPU пл в 1 эк." sheetId="9" r:id="rId15"/>
    <sheet name="WPU пл безэк." sheetId="7" r:id="rId16"/>
    <sheet name="WPU пл классик." sheetId="5" r:id="rId17"/>
  </sheets>
  <definedNames>
    <definedName name="_FilterDatabase" localSheetId="16" hidden="1">'WPU пл классик.'!$A$1:$S$3</definedName>
  </definedNames>
  <calcPr calcId="145621" refMode="R1C1"/>
</workbook>
</file>

<file path=xl/calcChain.xml><?xml version="1.0" encoding="utf-8"?>
<calcChain xmlns="http://schemas.openxmlformats.org/spreadsheetml/2006/main">
  <c r="L35" i="29" l="1"/>
  <c r="K35" i="29"/>
  <c r="D35" i="29"/>
  <c r="L32" i="29"/>
  <c r="K32" i="29"/>
  <c r="D32" i="29"/>
  <c r="L29" i="29"/>
  <c r="K29" i="29"/>
  <c r="D29" i="29"/>
  <c r="L28" i="29"/>
  <c r="K28" i="29"/>
  <c r="D28" i="29"/>
  <c r="L27" i="29"/>
  <c r="K27" i="29"/>
  <c r="D27" i="29"/>
  <c r="L24" i="29"/>
  <c r="K24" i="29"/>
  <c r="D24" i="29"/>
  <c r="L23" i="29"/>
  <c r="K23" i="29"/>
  <c r="D23" i="29"/>
  <c r="L22" i="29"/>
  <c r="K22" i="29"/>
  <c r="D22" i="29"/>
  <c r="L21" i="29"/>
  <c r="K21" i="29"/>
  <c r="D21" i="29"/>
  <c r="L18" i="29"/>
  <c r="K18" i="29"/>
  <c r="D18" i="29"/>
  <c r="L17" i="29"/>
  <c r="K17" i="29"/>
  <c r="D17" i="29"/>
  <c r="L16" i="29"/>
  <c r="K16" i="29"/>
  <c r="D16" i="29"/>
  <c r="L13" i="29"/>
  <c r="K13" i="29"/>
  <c r="D13" i="29"/>
  <c r="L12" i="29"/>
  <c r="K12" i="29"/>
  <c r="D12" i="29"/>
  <c r="L9" i="29"/>
  <c r="K9" i="29"/>
  <c r="D9" i="29"/>
  <c r="L6" i="29"/>
  <c r="K6" i="29"/>
  <c r="D6" i="29"/>
  <c r="J29" i="27"/>
  <c r="I29" i="27"/>
  <c r="D29" i="27"/>
  <c r="J26" i="27"/>
  <c r="I26" i="27"/>
  <c r="D26" i="27"/>
  <c r="J23" i="27"/>
  <c r="I23" i="27"/>
  <c r="D23" i="27"/>
  <c r="J22" i="27"/>
  <c r="I22" i="27"/>
  <c r="D22" i="27"/>
  <c r="J21" i="27"/>
  <c r="I21" i="27"/>
  <c r="D21" i="27"/>
  <c r="J20" i="27"/>
  <c r="I20" i="27"/>
  <c r="D20" i="27"/>
  <c r="J17" i="27"/>
  <c r="I17" i="27"/>
  <c r="D17" i="27"/>
  <c r="J16" i="27"/>
  <c r="I16" i="27"/>
  <c r="D16" i="27"/>
  <c r="J13" i="27"/>
  <c r="I13" i="27"/>
  <c r="D13" i="27"/>
  <c r="J12" i="27"/>
  <c r="I12" i="27"/>
  <c r="D12" i="27"/>
  <c r="J9" i="27"/>
  <c r="I9" i="27"/>
  <c r="D9" i="27"/>
  <c r="J6" i="27"/>
  <c r="I6" i="27"/>
  <c r="D6" i="27"/>
  <c r="J15" i="25"/>
  <c r="I15" i="25"/>
  <c r="D15" i="25"/>
  <c r="J12" i="25"/>
  <c r="I12" i="25"/>
  <c r="D12" i="25"/>
  <c r="J9" i="25"/>
  <c r="I9" i="25"/>
  <c r="D9" i="25"/>
  <c r="J6" i="25"/>
  <c r="I6" i="25"/>
  <c r="D6" i="25"/>
  <c r="L12" i="22"/>
  <c r="K12" i="22"/>
  <c r="D12" i="22"/>
  <c r="L9" i="22"/>
  <c r="K9" i="22"/>
  <c r="D9" i="22"/>
  <c r="L6" i="22"/>
  <c r="K6" i="22"/>
  <c r="D6" i="22"/>
  <c r="L65" i="20"/>
  <c r="K65" i="20"/>
  <c r="D65" i="20"/>
  <c r="L64" i="20"/>
  <c r="K64" i="20"/>
  <c r="D64" i="20"/>
  <c r="L61" i="20"/>
  <c r="K61" i="20"/>
  <c r="D61" i="20"/>
  <c r="L60" i="20"/>
  <c r="K60" i="20"/>
  <c r="D60" i="20"/>
  <c r="L59" i="20"/>
  <c r="K59" i="20"/>
  <c r="D59" i="20"/>
  <c r="L58" i="20"/>
  <c r="K58" i="20"/>
  <c r="D58" i="20"/>
  <c r="L57" i="20"/>
  <c r="K57" i="20"/>
  <c r="D57" i="20"/>
  <c r="L54" i="20"/>
  <c r="K54" i="20"/>
  <c r="D54" i="20"/>
  <c r="L53" i="20"/>
  <c r="K53" i="20"/>
  <c r="D53" i="20"/>
  <c r="L52" i="20"/>
  <c r="K52" i="20"/>
  <c r="D52" i="20"/>
  <c r="L51" i="20"/>
  <c r="K51" i="20"/>
  <c r="D51" i="20"/>
  <c r="L48" i="20"/>
  <c r="K48" i="20"/>
  <c r="D48" i="20"/>
  <c r="L47" i="20"/>
  <c r="K47" i="20"/>
  <c r="D47" i="20"/>
  <c r="L46" i="20"/>
  <c r="K46" i="20"/>
  <c r="D46" i="20"/>
  <c r="L45" i="20"/>
  <c r="K45" i="20"/>
  <c r="D45" i="20"/>
  <c r="L44" i="20"/>
  <c r="K44" i="20"/>
  <c r="D44" i="20"/>
  <c r="L43" i="20"/>
  <c r="K43" i="20"/>
  <c r="D43" i="20"/>
  <c r="L40" i="20"/>
  <c r="K40" i="20"/>
  <c r="D40" i="20"/>
  <c r="L37" i="20"/>
  <c r="K37" i="20"/>
  <c r="D37" i="20"/>
  <c r="L36" i="20"/>
  <c r="K36" i="20"/>
  <c r="D36" i="20"/>
  <c r="L33" i="20"/>
  <c r="K33" i="20"/>
  <c r="D33" i="20"/>
  <c r="L30" i="20"/>
  <c r="K30" i="20"/>
  <c r="D30" i="20"/>
  <c r="L29" i="20"/>
  <c r="K29" i="20"/>
  <c r="D29" i="20"/>
  <c r="L26" i="20"/>
  <c r="K26" i="20"/>
  <c r="D26" i="20"/>
  <c r="L25" i="20"/>
  <c r="K25" i="20"/>
  <c r="D25" i="20"/>
  <c r="L22" i="20"/>
  <c r="K22" i="20"/>
  <c r="D22" i="20"/>
  <c r="L19" i="20"/>
  <c r="K19" i="20"/>
  <c r="D19" i="20"/>
  <c r="L18" i="20"/>
  <c r="K18" i="20"/>
  <c r="D18" i="20"/>
  <c r="L17" i="20"/>
  <c r="K17" i="20"/>
  <c r="D17" i="20"/>
  <c r="L16" i="20"/>
  <c r="K16" i="20"/>
  <c r="D16" i="20"/>
  <c r="L15" i="20"/>
  <c r="K15" i="20"/>
  <c r="D15" i="20"/>
  <c r="L12" i="20"/>
  <c r="K12" i="20"/>
  <c r="D12" i="20"/>
  <c r="L11" i="20"/>
  <c r="K11" i="20"/>
  <c r="D11" i="20"/>
  <c r="L10" i="20"/>
  <c r="K10" i="20"/>
  <c r="D10" i="20"/>
  <c r="L7" i="20"/>
  <c r="K7" i="20"/>
  <c r="D7" i="20"/>
  <c r="L6" i="20"/>
  <c r="K6" i="20"/>
  <c r="D6" i="20"/>
  <c r="L26" i="19"/>
  <c r="K26" i="19"/>
  <c r="D26" i="19"/>
  <c r="L23" i="19"/>
  <c r="K23" i="19"/>
  <c r="D23" i="19"/>
  <c r="L20" i="19"/>
  <c r="K20" i="19"/>
  <c r="D20" i="19"/>
  <c r="L19" i="19"/>
  <c r="K19" i="19"/>
  <c r="D19" i="19"/>
  <c r="L16" i="19"/>
  <c r="K16" i="19"/>
  <c r="D16" i="19"/>
  <c r="L13" i="19"/>
  <c r="K13" i="19"/>
  <c r="D13" i="19"/>
  <c r="L10" i="19"/>
  <c r="K10" i="19"/>
  <c r="D10" i="19"/>
  <c r="L9" i="19"/>
  <c r="K9" i="19"/>
  <c r="D9" i="19"/>
  <c r="L6" i="19"/>
  <c r="K6" i="19"/>
  <c r="D6" i="19"/>
  <c r="L16" i="16"/>
  <c r="K16" i="16"/>
  <c r="D16" i="16"/>
  <c r="L15" i="16"/>
  <c r="K15" i="16"/>
  <c r="D15" i="16"/>
  <c r="L12" i="16"/>
  <c r="K12" i="16"/>
  <c r="D12" i="16"/>
  <c r="L9" i="16"/>
  <c r="K9" i="16"/>
  <c r="D9" i="16"/>
  <c r="L6" i="16"/>
  <c r="K6" i="16"/>
  <c r="D6" i="16"/>
  <c r="L12" i="15"/>
  <c r="K12" i="15"/>
  <c r="D12" i="15"/>
  <c r="L9" i="15"/>
  <c r="K9" i="15"/>
  <c r="D9" i="15"/>
  <c r="L6" i="15"/>
  <c r="K6" i="15"/>
  <c r="D6" i="15"/>
  <c r="L112" i="14"/>
  <c r="K112" i="14"/>
  <c r="D112" i="14"/>
  <c r="L109" i="14"/>
  <c r="K109" i="14"/>
  <c r="D109" i="14"/>
  <c r="L106" i="14"/>
  <c r="K106" i="14"/>
  <c r="D106" i="14"/>
  <c r="L105" i="14"/>
  <c r="K105" i="14"/>
  <c r="D105" i="14"/>
  <c r="L104" i="14"/>
  <c r="K104" i="14"/>
  <c r="D104" i="14"/>
  <c r="L103" i="14"/>
  <c r="K103" i="14"/>
  <c r="D103" i="14"/>
  <c r="L102" i="14"/>
  <c r="K102" i="14"/>
  <c r="D102" i="14"/>
  <c r="L101" i="14"/>
  <c r="K101" i="14"/>
  <c r="D101" i="14"/>
  <c r="L98" i="14"/>
  <c r="K98" i="14"/>
  <c r="D98" i="14"/>
  <c r="L97" i="14"/>
  <c r="K97" i="14"/>
  <c r="D97" i="14"/>
  <c r="L96" i="14"/>
  <c r="K96" i="14"/>
  <c r="D96" i="14"/>
  <c r="L95" i="14"/>
  <c r="K95" i="14"/>
  <c r="D95" i="14"/>
  <c r="L94" i="14"/>
  <c r="K94" i="14"/>
  <c r="D94" i="14"/>
  <c r="L93" i="14"/>
  <c r="K93" i="14"/>
  <c r="D93" i="14"/>
  <c r="L92" i="14"/>
  <c r="K92" i="14"/>
  <c r="D92" i="14"/>
  <c r="L91" i="14"/>
  <c r="K91" i="14"/>
  <c r="D91" i="14"/>
  <c r="L90" i="14"/>
  <c r="K90" i="14"/>
  <c r="D90" i="14"/>
  <c r="L87" i="14"/>
  <c r="K87" i="14"/>
  <c r="D87" i="14"/>
  <c r="L86" i="14"/>
  <c r="K86" i="14"/>
  <c r="D86" i="14"/>
  <c r="L85" i="14"/>
  <c r="K85" i="14"/>
  <c r="D85" i="14"/>
  <c r="L84" i="14"/>
  <c r="K84" i="14"/>
  <c r="D84" i="14"/>
  <c r="L83" i="14"/>
  <c r="K83" i="14"/>
  <c r="D83" i="14"/>
  <c r="L82" i="14"/>
  <c r="K82" i="14"/>
  <c r="D82" i="14"/>
  <c r="L81" i="14"/>
  <c r="K81" i="14"/>
  <c r="D81" i="14"/>
  <c r="L80" i="14"/>
  <c r="K80" i="14"/>
  <c r="D80" i="14"/>
  <c r="L79" i="14"/>
  <c r="K79" i="14"/>
  <c r="D79" i="14"/>
  <c r="L78" i="14"/>
  <c r="K78" i="14"/>
  <c r="D78" i="14"/>
  <c r="L77" i="14"/>
  <c r="K77" i="14"/>
  <c r="D77" i="14"/>
  <c r="L76" i="14"/>
  <c r="K76" i="14"/>
  <c r="D76" i="14"/>
  <c r="L75" i="14"/>
  <c r="K75" i="14"/>
  <c r="D75" i="14"/>
  <c r="L74" i="14"/>
  <c r="K74" i="14"/>
  <c r="D74" i="14"/>
  <c r="L71" i="14"/>
  <c r="K71" i="14"/>
  <c r="D71" i="14"/>
  <c r="L70" i="14"/>
  <c r="K70" i="14"/>
  <c r="D70" i="14"/>
  <c r="L69" i="14"/>
  <c r="K69" i="14"/>
  <c r="D69" i="14"/>
  <c r="L68" i="14"/>
  <c r="K68" i="14"/>
  <c r="D68" i="14"/>
  <c r="L67" i="14"/>
  <c r="K67" i="14"/>
  <c r="D67" i="14"/>
  <c r="L66" i="14"/>
  <c r="K66" i="14"/>
  <c r="D66" i="14"/>
  <c r="L65" i="14"/>
  <c r="K65" i="14"/>
  <c r="D65" i="14"/>
  <c r="L64" i="14"/>
  <c r="K64" i="14"/>
  <c r="D64" i="14"/>
  <c r="L63" i="14"/>
  <c r="K63" i="14"/>
  <c r="D63" i="14"/>
  <c r="L62" i="14"/>
  <c r="K62" i="14"/>
  <c r="D62" i="14"/>
  <c r="L61" i="14"/>
  <c r="K61" i="14"/>
  <c r="D61" i="14"/>
  <c r="L60" i="14"/>
  <c r="K60" i="14"/>
  <c r="D60" i="14"/>
  <c r="L59" i="14"/>
  <c r="K59" i="14"/>
  <c r="D59" i="14"/>
  <c r="L58" i="14"/>
  <c r="K58" i="14"/>
  <c r="D58" i="14"/>
  <c r="L55" i="14"/>
  <c r="K55" i="14"/>
  <c r="D55" i="14"/>
  <c r="L54" i="14"/>
  <c r="K54" i="14"/>
  <c r="D54" i="14"/>
  <c r="L53" i="14"/>
  <c r="K53" i="14"/>
  <c r="D53" i="14"/>
  <c r="L52" i="14"/>
  <c r="K52" i="14"/>
  <c r="D52" i="14"/>
  <c r="L51" i="14"/>
  <c r="K51" i="14"/>
  <c r="D51" i="14"/>
  <c r="L50" i="14"/>
  <c r="K50" i="14"/>
  <c r="D50" i="14"/>
  <c r="L49" i="14"/>
  <c r="K49" i="14"/>
  <c r="D49" i="14"/>
  <c r="L46" i="14"/>
  <c r="K46" i="14"/>
  <c r="D46" i="14"/>
  <c r="L45" i="14"/>
  <c r="K45" i="14"/>
  <c r="D45" i="14"/>
  <c r="L44" i="14"/>
  <c r="K44" i="14"/>
  <c r="D44" i="14"/>
  <c r="L43" i="14"/>
  <c r="K43" i="14"/>
  <c r="D43" i="14"/>
  <c r="L42" i="14"/>
  <c r="K42" i="14"/>
  <c r="D42" i="14"/>
  <c r="L41" i="14"/>
  <c r="K41" i="14"/>
  <c r="D41" i="14"/>
  <c r="L38" i="14"/>
  <c r="K38" i="14"/>
  <c r="D38" i="14"/>
  <c r="L37" i="14"/>
  <c r="K37" i="14"/>
  <c r="D37" i="14"/>
  <c r="L36" i="14"/>
  <c r="K36" i="14"/>
  <c r="D36" i="14"/>
  <c r="L35" i="14"/>
  <c r="K35" i="14"/>
  <c r="D35" i="14"/>
  <c r="L32" i="14"/>
  <c r="K32" i="14"/>
  <c r="D32" i="14"/>
  <c r="L29" i="14"/>
  <c r="K29" i="14"/>
  <c r="D29" i="14"/>
  <c r="L28" i="14"/>
  <c r="K28" i="14"/>
  <c r="D28" i="14"/>
  <c r="L25" i="14"/>
  <c r="K25" i="14"/>
  <c r="D25" i="14"/>
  <c r="L24" i="14"/>
  <c r="K24" i="14"/>
  <c r="D24" i="14"/>
  <c r="L23" i="14"/>
  <c r="K23" i="14"/>
  <c r="D23" i="14"/>
  <c r="L22" i="14"/>
  <c r="K22" i="14"/>
  <c r="D22" i="14"/>
  <c r="L19" i="14"/>
  <c r="K19" i="14"/>
  <c r="D19" i="14"/>
  <c r="L18" i="14"/>
  <c r="K18" i="14"/>
  <c r="D18" i="14"/>
  <c r="L17" i="14"/>
  <c r="K17" i="14"/>
  <c r="D17" i="14"/>
  <c r="L16" i="14"/>
  <c r="K16" i="14"/>
  <c r="D16" i="14"/>
  <c r="L15" i="14"/>
  <c r="K15" i="14"/>
  <c r="D15" i="14"/>
  <c r="L12" i="14"/>
  <c r="K12" i="14"/>
  <c r="D12" i="14"/>
  <c r="L11" i="14"/>
  <c r="K11" i="14"/>
  <c r="D11" i="14"/>
  <c r="L8" i="14"/>
  <c r="K8" i="14"/>
  <c r="D8" i="14"/>
  <c r="L7" i="14"/>
  <c r="K7" i="14"/>
  <c r="D7" i="14"/>
  <c r="L6" i="14"/>
  <c r="K6" i="14"/>
  <c r="D6" i="14"/>
  <c r="L59" i="13"/>
  <c r="K59" i="13"/>
  <c r="D59" i="13"/>
  <c r="L58" i="13"/>
  <c r="K58" i="13"/>
  <c r="D58" i="13"/>
  <c r="L57" i="13"/>
  <c r="K57" i="13"/>
  <c r="D57" i="13"/>
  <c r="L54" i="13"/>
  <c r="K54" i="13"/>
  <c r="D54" i="13"/>
  <c r="L53" i="13"/>
  <c r="K53" i="13"/>
  <c r="D53" i="13"/>
  <c r="L52" i="13"/>
  <c r="K52" i="13"/>
  <c r="D52" i="13"/>
  <c r="L51" i="13"/>
  <c r="K51" i="13"/>
  <c r="D51" i="13"/>
  <c r="L50" i="13"/>
  <c r="K50" i="13"/>
  <c r="D50" i="13"/>
  <c r="L47" i="13"/>
  <c r="K47" i="13"/>
  <c r="D47" i="13"/>
  <c r="L46" i="13"/>
  <c r="K46" i="13"/>
  <c r="D46" i="13"/>
  <c r="L45" i="13"/>
  <c r="K45" i="13"/>
  <c r="D45" i="13"/>
  <c r="L44" i="13"/>
  <c r="K44" i="13"/>
  <c r="D44" i="13"/>
  <c r="L41" i="13"/>
  <c r="K41" i="13"/>
  <c r="D41" i="13"/>
  <c r="L40" i="13"/>
  <c r="K40" i="13"/>
  <c r="D40" i="13"/>
  <c r="L39" i="13"/>
  <c r="K39" i="13"/>
  <c r="D39" i="13"/>
  <c r="L38" i="13"/>
  <c r="K38" i="13"/>
  <c r="D38" i="13"/>
  <c r="L37" i="13"/>
  <c r="K37" i="13"/>
  <c r="D37" i="13"/>
  <c r="L36" i="13"/>
  <c r="K36" i="13"/>
  <c r="D36" i="13"/>
  <c r="L35" i="13"/>
  <c r="K35" i="13"/>
  <c r="D35" i="13"/>
  <c r="L34" i="13"/>
  <c r="K34" i="13"/>
  <c r="D34" i="13"/>
  <c r="L33" i="13"/>
  <c r="K33" i="13"/>
  <c r="D33" i="13"/>
  <c r="L30" i="13"/>
  <c r="K30" i="13"/>
  <c r="D30" i="13"/>
  <c r="L27" i="13"/>
  <c r="K27" i="13"/>
  <c r="D27" i="13"/>
  <c r="L26" i="13"/>
  <c r="K26" i="13"/>
  <c r="D26" i="13"/>
  <c r="L25" i="13"/>
  <c r="K25" i="13"/>
  <c r="D25" i="13"/>
  <c r="L24" i="13"/>
  <c r="K24" i="13"/>
  <c r="D24" i="13"/>
  <c r="L23" i="13"/>
  <c r="K23" i="13"/>
  <c r="D23" i="13"/>
  <c r="L22" i="13"/>
  <c r="K22" i="13"/>
  <c r="D22" i="13"/>
  <c r="L19" i="13"/>
  <c r="K19" i="13"/>
  <c r="D19" i="13"/>
  <c r="L16" i="13"/>
  <c r="K16" i="13"/>
  <c r="D16" i="13"/>
  <c r="L13" i="13"/>
  <c r="K13" i="13"/>
  <c r="D13" i="13"/>
  <c r="L10" i="13"/>
  <c r="K10" i="13"/>
  <c r="D10" i="13"/>
  <c r="L7" i="13"/>
  <c r="K7" i="13"/>
  <c r="D7" i="13"/>
  <c r="L6" i="13"/>
  <c r="K6" i="13"/>
  <c r="D6" i="13"/>
  <c r="T7" i="11"/>
  <c r="S7" i="11"/>
  <c r="D7" i="11"/>
  <c r="T6" i="11"/>
  <c r="S6" i="11"/>
  <c r="D6" i="11"/>
  <c r="T6" i="10"/>
  <c r="S6" i="10"/>
  <c r="D6" i="10"/>
  <c r="T10" i="9"/>
  <c r="S10" i="9"/>
  <c r="D10" i="9"/>
  <c r="T9" i="9"/>
  <c r="S9" i="9"/>
  <c r="D9" i="9"/>
  <c r="T6" i="9"/>
  <c r="S6" i="9"/>
  <c r="D6" i="9"/>
  <c r="T48" i="8"/>
  <c r="S48" i="8"/>
  <c r="D48" i="8"/>
  <c r="T47" i="8"/>
  <c r="S47" i="8"/>
  <c r="D47" i="8"/>
  <c r="T44" i="8"/>
  <c r="S44" i="8"/>
  <c r="D44" i="8"/>
  <c r="T43" i="8"/>
  <c r="S43" i="8"/>
  <c r="D43" i="8"/>
  <c r="T42" i="8"/>
  <c r="S42" i="8"/>
  <c r="D42" i="8"/>
  <c r="T41" i="8"/>
  <c r="S41" i="8"/>
  <c r="D41" i="8"/>
  <c r="T38" i="8"/>
  <c r="S38" i="8"/>
  <c r="D38" i="8"/>
  <c r="T35" i="8"/>
  <c r="S35" i="8"/>
  <c r="D35" i="8"/>
  <c r="T34" i="8"/>
  <c r="S34" i="8"/>
  <c r="D34" i="8"/>
  <c r="T33" i="8"/>
  <c r="S33" i="8"/>
  <c r="D33" i="8"/>
  <c r="T32" i="8"/>
  <c r="S32" i="8"/>
  <c r="D32" i="8"/>
  <c r="T29" i="8"/>
  <c r="S29" i="8"/>
  <c r="D29" i="8"/>
  <c r="T28" i="8"/>
  <c r="S28" i="8"/>
  <c r="D28" i="8"/>
  <c r="T27" i="8"/>
  <c r="S27" i="8"/>
  <c r="D27" i="8"/>
  <c r="T26" i="8"/>
  <c r="S26" i="8"/>
  <c r="D26" i="8"/>
  <c r="T25" i="8"/>
  <c r="S25" i="8"/>
  <c r="D25" i="8"/>
  <c r="T22" i="8"/>
  <c r="S22" i="8"/>
  <c r="D22" i="8"/>
  <c r="T21" i="8"/>
  <c r="S21" i="8"/>
  <c r="D21" i="8"/>
  <c r="T18" i="8"/>
  <c r="S18" i="8"/>
  <c r="D18" i="8"/>
  <c r="T15" i="8"/>
  <c r="S15" i="8"/>
  <c r="D15" i="8"/>
  <c r="T12" i="8"/>
  <c r="S12" i="8"/>
  <c r="D12" i="8"/>
  <c r="T9" i="8"/>
  <c r="S9" i="8"/>
  <c r="D9" i="8"/>
  <c r="T6" i="8"/>
  <c r="S6" i="8"/>
  <c r="D6" i="8"/>
  <c r="T49" i="7"/>
  <c r="S49" i="7"/>
  <c r="D49" i="7"/>
  <c r="T46" i="7"/>
  <c r="S46" i="7"/>
  <c r="D46" i="7"/>
  <c r="T45" i="7"/>
  <c r="S45" i="7"/>
  <c r="D45" i="7"/>
  <c r="T44" i="7"/>
  <c r="S44" i="7"/>
  <c r="D44" i="7"/>
  <c r="T41" i="7"/>
  <c r="S41" i="7"/>
  <c r="D41" i="7"/>
  <c r="T40" i="7"/>
  <c r="S40" i="7"/>
  <c r="D40" i="7"/>
  <c r="T39" i="7"/>
  <c r="S39" i="7"/>
  <c r="D39" i="7"/>
  <c r="T36" i="7"/>
  <c r="S36" i="7"/>
  <c r="D36" i="7"/>
  <c r="T35" i="7"/>
  <c r="S35" i="7"/>
  <c r="D35" i="7"/>
  <c r="T34" i="7"/>
  <c r="S34" i="7"/>
  <c r="D34" i="7"/>
  <c r="T31" i="7"/>
  <c r="S31" i="7"/>
  <c r="D31" i="7"/>
  <c r="T30" i="7"/>
  <c r="S30" i="7"/>
  <c r="D30" i="7"/>
  <c r="T29" i="7"/>
  <c r="S29" i="7"/>
  <c r="D29" i="7"/>
  <c r="T28" i="7"/>
  <c r="S28" i="7"/>
  <c r="D28" i="7"/>
  <c r="T25" i="7"/>
  <c r="S25" i="7"/>
  <c r="D25" i="7"/>
  <c r="T22" i="7"/>
  <c r="S22" i="7"/>
  <c r="D22" i="7"/>
  <c r="T21" i="7"/>
  <c r="S21" i="7"/>
  <c r="D21" i="7"/>
  <c r="T18" i="7"/>
  <c r="S18" i="7"/>
  <c r="D18" i="7"/>
  <c r="T15" i="7"/>
  <c r="S15" i="7"/>
  <c r="D15" i="7"/>
  <c r="T12" i="7"/>
  <c r="S12" i="7"/>
  <c r="D12" i="7"/>
  <c r="T9" i="7"/>
  <c r="S9" i="7"/>
  <c r="D9" i="7"/>
  <c r="T6" i="7"/>
  <c r="S6" i="7"/>
  <c r="D6" i="7"/>
  <c r="T37" i="6"/>
  <c r="S37" i="6"/>
  <c r="D37" i="6"/>
  <c r="T34" i="6"/>
  <c r="S34" i="6"/>
  <c r="D34" i="6"/>
  <c r="T33" i="6"/>
  <c r="S33" i="6"/>
  <c r="D33" i="6"/>
  <c r="T30" i="6"/>
  <c r="S30" i="6"/>
  <c r="D30" i="6"/>
  <c r="T29" i="6"/>
  <c r="S29" i="6"/>
  <c r="D29" i="6"/>
  <c r="T26" i="6"/>
  <c r="S26" i="6"/>
  <c r="D26" i="6"/>
  <c r="T25" i="6"/>
  <c r="S25" i="6"/>
  <c r="D25" i="6"/>
  <c r="T22" i="6"/>
  <c r="S22" i="6"/>
  <c r="D22" i="6"/>
  <c r="T21" i="6"/>
  <c r="S21" i="6"/>
  <c r="D21" i="6"/>
  <c r="T18" i="6"/>
  <c r="S18" i="6"/>
  <c r="D18" i="6"/>
  <c r="T15" i="6"/>
  <c r="S15" i="6"/>
  <c r="D15" i="6"/>
  <c r="T12" i="6"/>
  <c r="S12" i="6"/>
  <c r="D12" i="6"/>
  <c r="T9" i="6"/>
  <c r="S9" i="6"/>
  <c r="D9" i="6"/>
  <c r="T6" i="6"/>
  <c r="S6" i="6"/>
  <c r="D6" i="6"/>
  <c r="T13" i="5"/>
  <c r="S13" i="5"/>
  <c r="D13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<sst xmlns="http://schemas.openxmlformats.org/spreadsheetml/2006/main" count="3533" uniqueCount="1193">
  <si>
    <t>ФИО</t>
  </si>
  <si>
    <t>Присед</t>
  </si>
  <si>
    <t>Жим</t>
  </si>
  <si>
    <t>Тяга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</si>
  <si>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</si>
  <si>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</si>
  <si>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</si>
  <si>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</si>
  <si>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</si>
  <si>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</si>
  <si>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</si>
  <si>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</si>
  <si>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Wilks</t>
  </si>
  <si>
    <t>ВЕСОВАЯ КАТЕГОРИЯ   82.5</t>
  </si>
  <si>
    <t>1. Мещеряков Андрей</t>
  </si>
  <si>
    <t>Ветераны 50 - 54 (28.10.1965)/52</t>
  </si>
  <si>
    <t>76,50</t>
  </si>
  <si>
    <t xml:space="preserve">Москва </t>
  </si>
  <si>
    <t xml:space="preserve">Москва/ </t>
  </si>
  <si>
    <t>100,0</t>
  </si>
  <si>
    <t>110,0</t>
  </si>
  <si>
    <t>120,0</t>
  </si>
  <si>
    <t>107,5</t>
  </si>
  <si>
    <t>112,5</t>
  </si>
  <si>
    <t>130,0</t>
  </si>
  <si>
    <t>140,0</t>
  </si>
  <si>
    <t xml:space="preserve">Лазариди Г.К. </t>
  </si>
  <si>
    <t>ВЕСОВАЯ КАТЕГОРИЯ   90</t>
  </si>
  <si>
    <t>1. Батанов Сергей</t>
  </si>
  <si>
    <t>Открытая (14.07.1987)/31</t>
  </si>
  <si>
    <t>86,30</t>
  </si>
  <si>
    <t xml:space="preserve">Московская </t>
  </si>
  <si>
    <t xml:space="preserve">Реутов/Московская область </t>
  </si>
  <si>
    <t>160,0</t>
  </si>
  <si>
    <t>170,0</t>
  </si>
  <si>
    <t>175,0</t>
  </si>
  <si>
    <t>125,0</t>
  </si>
  <si>
    <t>127,5</t>
  </si>
  <si>
    <t>180,0</t>
  </si>
  <si>
    <t>ВЕСОВАЯ КАТЕГОРИЯ   100</t>
  </si>
  <si>
    <t>Открытая (02.09.1981)/37</t>
  </si>
  <si>
    <t>91,90</t>
  </si>
  <si>
    <t xml:space="preserve">Лично </t>
  </si>
  <si>
    <t xml:space="preserve">Ивантеевка/Московская область </t>
  </si>
  <si>
    <t>220,0</t>
  </si>
  <si>
    <t>230,0</t>
  </si>
  <si>
    <t>235,0</t>
  </si>
  <si>
    <t>150,0</t>
  </si>
  <si>
    <t>155,0</t>
  </si>
  <si>
    <t>240,0</t>
  </si>
  <si>
    <t xml:space="preserve">Брехов Р.О. </t>
  </si>
  <si>
    <t>2. Никитин Кирилл</t>
  </si>
  <si>
    <t>Открытая (30.05.1992)/26</t>
  </si>
  <si>
    <t>99,50</t>
  </si>
  <si>
    <t>142,5</t>
  </si>
  <si>
    <t>115,0</t>
  </si>
  <si>
    <t xml:space="preserve">Ельтищев С.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</si>
  <si>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</si>
  <si>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</si>
  <si>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</si>
  <si>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</si>
  <si>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</si>
  <si>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</si>
  <si>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</si>
  <si>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</si>
  <si>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</si>
  <si>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</si>
  <si>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</si>
  <si>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</si>
  <si>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</si>
  <si>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90,0</t>
  </si>
  <si>
    <t xml:space="preserve">Ветераны </t>
  </si>
  <si>
    <t xml:space="preserve">Ветераны 50 - 54 </t>
  </si>
  <si>
    <t>82,5</t>
  </si>
  <si>
    <t>ВЕСОВАЯ КАТЕГОРИЯ   48</t>
  </si>
  <si>
    <t>1. Карпухина Ярослава</t>
  </si>
  <si>
    <t>Юниорки 20 - 23 (05.10.1994)/23</t>
  </si>
  <si>
    <t>46,80</t>
  </si>
  <si>
    <t xml:space="preserve">Орехово-Зуево/Московская облас </t>
  </si>
  <si>
    <t>65,0</t>
  </si>
  <si>
    <t>75,0</t>
  </si>
  <si>
    <t>85,0</t>
  </si>
  <si>
    <t>32,5</t>
  </si>
  <si>
    <t>37,5</t>
  </si>
  <si>
    <t>42,5</t>
  </si>
  <si>
    <t>45,0</t>
  </si>
  <si>
    <t>77,5</t>
  </si>
  <si>
    <t>95,0</t>
  </si>
  <si>
    <t xml:space="preserve">Юдаев А. </t>
  </si>
  <si>
    <t>ВЕСОВАЯ КАТЕГОРИЯ   52</t>
  </si>
  <si>
    <t>1. Сидорова Виктория</t>
  </si>
  <si>
    <t>Открытая (26.08.1993)/25</t>
  </si>
  <si>
    <t>50,30</t>
  </si>
  <si>
    <t>67,5</t>
  </si>
  <si>
    <t>70,0</t>
  </si>
  <si>
    <t>72,5</t>
  </si>
  <si>
    <t>35,0</t>
  </si>
  <si>
    <t>40,0</t>
  </si>
  <si>
    <t xml:space="preserve">. </t>
  </si>
  <si>
    <t>ВЕСОВАЯ КАТЕГОРИЯ   56</t>
  </si>
  <si>
    <t>1. Шишканова Светлана</t>
  </si>
  <si>
    <t>Открытая (07.08.1973)/45</t>
  </si>
  <si>
    <t>55,90</t>
  </si>
  <si>
    <t>92,5</t>
  </si>
  <si>
    <t>97,5</t>
  </si>
  <si>
    <t>102,5</t>
  </si>
  <si>
    <t>52,5</t>
  </si>
  <si>
    <t>122,5</t>
  </si>
  <si>
    <t xml:space="preserve">Марченко В.В. </t>
  </si>
  <si>
    <t>ВЕСОВАЯ КАТЕГОРИЯ   67.5</t>
  </si>
  <si>
    <t>1. Сапронова Марина</t>
  </si>
  <si>
    <t>Открытая (15.10.1986)/31</t>
  </si>
  <si>
    <t>66,00</t>
  </si>
  <si>
    <t>47,5</t>
  </si>
  <si>
    <t>50,0</t>
  </si>
  <si>
    <t>105,0</t>
  </si>
  <si>
    <t xml:space="preserve">Сомин А.В. </t>
  </si>
  <si>
    <t>ВЕСОВАЯ КАТЕГОРИЯ   75</t>
  </si>
  <si>
    <t>1. Прадед Александр</t>
  </si>
  <si>
    <t>Открытая (01.07.1984)/34</t>
  </si>
  <si>
    <t>74,20</t>
  </si>
  <si>
    <t>187,5</t>
  </si>
  <si>
    <t>135,0</t>
  </si>
  <si>
    <t>185,0</t>
  </si>
  <si>
    <t>192,5</t>
  </si>
  <si>
    <t>200,0</t>
  </si>
  <si>
    <t xml:space="preserve">Прадед Д.В. </t>
  </si>
  <si>
    <t>1. Литвинюк Александр</t>
  </si>
  <si>
    <t>Открытая (23.07.1990)/28</t>
  </si>
  <si>
    <t>80,00</t>
  </si>
  <si>
    <t>147,5</t>
  </si>
  <si>
    <t>117,5</t>
  </si>
  <si>
    <t>167,5</t>
  </si>
  <si>
    <t>172,5</t>
  </si>
  <si>
    <t>1. Семенов Александр</t>
  </si>
  <si>
    <t>Ветераны 40 - 44 (03.02.1977)/41</t>
  </si>
  <si>
    <t>78,40</t>
  </si>
  <si>
    <t>165,0</t>
  </si>
  <si>
    <t>Воротников Алексей</t>
  </si>
  <si>
    <t>1. Воротников Алексей</t>
  </si>
  <si>
    <t>Открытая (08.10.1980)/37</t>
  </si>
  <si>
    <t>82,90</t>
  </si>
  <si>
    <t>205,0</t>
  </si>
  <si>
    <t>215,0</t>
  </si>
  <si>
    <t>225,0</t>
  </si>
  <si>
    <t xml:space="preserve"> </t>
  </si>
  <si>
    <t>2. Андреев Антон</t>
  </si>
  <si>
    <t>Открытая (31.05.1993)/25</t>
  </si>
  <si>
    <t>88,90</t>
  </si>
  <si>
    <t>190,0</t>
  </si>
  <si>
    <t>1. Тарасов Антон</t>
  </si>
  <si>
    <t>Открытая (09.11.1986)/31</t>
  </si>
  <si>
    <t>97,80</t>
  </si>
  <si>
    <t>245,0</t>
  </si>
  <si>
    <t>2. Мищенко Сергей</t>
  </si>
  <si>
    <t>Открытая (21.07.1988)/30</t>
  </si>
  <si>
    <t>98,80</t>
  </si>
  <si>
    <t>250,0</t>
  </si>
  <si>
    <t>ВЕСОВАЯ КАТЕГОРИЯ   110</t>
  </si>
  <si>
    <t>1. Елистратов Максим</t>
  </si>
  <si>
    <t>Открытая (12.07.1994)/24</t>
  </si>
  <si>
    <t>101,70</t>
  </si>
  <si>
    <t>212,5</t>
  </si>
  <si>
    <t>222,5</t>
  </si>
  <si>
    <t>137,5</t>
  </si>
  <si>
    <t>242,5</t>
  </si>
  <si>
    <t>252,5</t>
  </si>
  <si>
    <t xml:space="preserve">Абаев М. </t>
  </si>
  <si>
    <t>2. Кафтайлов Антон</t>
  </si>
  <si>
    <t>Открытая (16.03.1992)/26</t>
  </si>
  <si>
    <t>109,90</t>
  </si>
  <si>
    <t>145,0</t>
  </si>
  <si>
    <t xml:space="preserve">Афанасьев Н. </t>
  </si>
  <si>
    <t>ВЕСОВАЯ КАТЕГОРИЯ   140+</t>
  </si>
  <si>
    <t>1. Скачков Дмитрий</t>
  </si>
  <si>
    <t>Ветераны 40 - 44 (22.02.1977)/41</t>
  </si>
  <si>
    <t>146,60</t>
  </si>
  <si>
    <t>210,0</t>
  </si>
  <si>
    <t>280,0</t>
  </si>
  <si>
    <t>290,0</t>
  </si>
  <si>
    <t>295,0</t>
  </si>
  <si>
    <t xml:space="preserve">Мозголов А.С. </t>
  </si>
  <si>
    <t xml:space="preserve">Женщины </t>
  </si>
  <si>
    <t>56,0</t>
  </si>
  <si>
    <t>277,5</t>
  </si>
  <si>
    <t>257,5</t>
  </si>
  <si>
    <t>590,0</t>
  </si>
  <si>
    <t>394,1200</t>
  </si>
  <si>
    <t>140+</t>
  </si>
  <si>
    <t>1. Тихая Елена</t>
  </si>
  <si>
    <t>Открытая (28.09.1982)/36</t>
  </si>
  <si>
    <t>45,90</t>
  </si>
  <si>
    <t>60,0</t>
  </si>
  <si>
    <t>62,5</t>
  </si>
  <si>
    <t>30,0</t>
  </si>
  <si>
    <t>1. Пырина Мария</t>
  </si>
  <si>
    <t>Юниорки 20 - 23 (28.08.1997)/21</t>
  </si>
  <si>
    <t>49,90</t>
  </si>
  <si>
    <t>80,0</t>
  </si>
  <si>
    <t>1. Блохина Виктория</t>
  </si>
  <si>
    <t>Открытая (16.07.1988)/30</t>
  </si>
  <si>
    <t>60,50</t>
  </si>
  <si>
    <t>ВЕСОВАЯ КАТЕГОРИЯ   60</t>
  </si>
  <si>
    <t>1. Ахтырцев Артем</t>
  </si>
  <si>
    <t>Юноши 14 - 15 (29.07.2003)/15</t>
  </si>
  <si>
    <t>58,70</t>
  </si>
  <si>
    <t xml:space="preserve">Балашиха/Московская область </t>
  </si>
  <si>
    <t>1. Кондратьев Валерий</t>
  </si>
  <si>
    <t>Открытая (04.09.1990)/28</t>
  </si>
  <si>
    <t>62,40</t>
  </si>
  <si>
    <t>1. Кутлахметов Владислав</t>
  </si>
  <si>
    <t>Юноши 16 - 19 (24.06.2002)/16</t>
  </si>
  <si>
    <t>72,10</t>
  </si>
  <si>
    <t>55,0</t>
  </si>
  <si>
    <t>1. Косарев Руслан</t>
  </si>
  <si>
    <t>Открытая (29.11.1990)/27</t>
  </si>
  <si>
    <t>73,80</t>
  </si>
  <si>
    <t>227,5</t>
  </si>
  <si>
    <t>1. Одинаев Комрон</t>
  </si>
  <si>
    <t>Открытая (15.03.1993)/25</t>
  </si>
  <si>
    <t>82,50</t>
  </si>
  <si>
    <t xml:space="preserve">Видное/Московская область </t>
  </si>
  <si>
    <t>Павлов Дмитрий</t>
  </si>
  <si>
    <t>1. Павлов Дмитрий</t>
  </si>
  <si>
    <t>Открытая (15.11.1991)/26</t>
  </si>
  <si>
    <t>89,10</t>
  </si>
  <si>
    <t>300,0</t>
  </si>
  <si>
    <t>307,5</t>
  </si>
  <si>
    <t>315,0</t>
  </si>
  <si>
    <t>195,0</t>
  </si>
  <si>
    <t>317,5</t>
  </si>
  <si>
    <t>2. Ярлыков Максим</t>
  </si>
  <si>
    <t>Открытая (16.10.1984)/33</t>
  </si>
  <si>
    <t>89,20</t>
  </si>
  <si>
    <t xml:space="preserve">Мытищи/Московская область </t>
  </si>
  <si>
    <t>262,5</t>
  </si>
  <si>
    <t>3. Пертенава Дмитрий</t>
  </si>
  <si>
    <t>Открытая (25.03.1990)/28</t>
  </si>
  <si>
    <t>88,80</t>
  </si>
  <si>
    <t>217,5</t>
  </si>
  <si>
    <t xml:space="preserve">Сапсай П. </t>
  </si>
  <si>
    <t>1. Медведев Андрей</t>
  </si>
  <si>
    <t>Ветераны 60 - 64 (22.11.1954)/63</t>
  </si>
  <si>
    <t>86,10</t>
  </si>
  <si>
    <t xml:space="preserve">Озёры/Московская область </t>
  </si>
  <si>
    <t>1. Качаев Иван</t>
  </si>
  <si>
    <t>Юниоры 20 - 23 (05.11.1996)/21</t>
  </si>
  <si>
    <t>1. Крошкин Роман</t>
  </si>
  <si>
    <t>Открытая (09.02.1981)/37</t>
  </si>
  <si>
    <t>95,20</t>
  </si>
  <si>
    <t xml:space="preserve">Подольск/Московская область </t>
  </si>
  <si>
    <t>255,0</t>
  </si>
  <si>
    <t>270,0</t>
  </si>
  <si>
    <t>152,5</t>
  </si>
  <si>
    <t>282,5</t>
  </si>
  <si>
    <t xml:space="preserve">Филиппов И. </t>
  </si>
  <si>
    <t>2. Ковшин Эдуард</t>
  </si>
  <si>
    <t>Открытая (19.01.1990)/28</t>
  </si>
  <si>
    <t>98,90</t>
  </si>
  <si>
    <t>197,5</t>
  </si>
  <si>
    <t xml:space="preserve">Исаев А. </t>
  </si>
  <si>
    <t>Котов Александр</t>
  </si>
  <si>
    <t>1. Котов Александр</t>
  </si>
  <si>
    <t>Открытая (21.08.1987)/31</t>
  </si>
  <si>
    <t>104,60</t>
  </si>
  <si>
    <t>305,0</t>
  </si>
  <si>
    <t>325,0</t>
  </si>
  <si>
    <t>310,0</t>
  </si>
  <si>
    <t>2. Субботин Никита</t>
  </si>
  <si>
    <t>Открытая (11.04.1984)/34</t>
  </si>
  <si>
    <t>107,70</t>
  </si>
  <si>
    <t>237,5</t>
  </si>
  <si>
    <t>1. Старов Дмитрий</t>
  </si>
  <si>
    <t>Ветераны 45 - 49 (01.02.1973)/45</t>
  </si>
  <si>
    <t>109,00</t>
  </si>
  <si>
    <t xml:space="preserve">- </t>
  </si>
  <si>
    <t>ВЕСОВАЯ КАТЕГОРИЯ   125</t>
  </si>
  <si>
    <t>Дрожжин Андрей</t>
  </si>
  <si>
    <t>1. Дрожжин Андрей</t>
  </si>
  <si>
    <t>Открытая (21.11.1977)/40</t>
  </si>
  <si>
    <t>115,40</t>
  </si>
  <si>
    <t xml:space="preserve">Хотьково/Московская область </t>
  </si>
  <si>
    <t>320,0</t>
  </si>
  <si>
    <t>275,0</t>
  </si>
  <si>
    <t xml:space="preserve">Мамичева Е. </t>
  </si>
  <si>
    <t>Ветераны 40 - 44 (21.11.1977)/40</t>
  </si>
  <si>
    <t>1. Чичикин Андрей</t>
  </si>
  <si>
    <t>Ветераны 60 - 64 (18.05.1957)/61</t>
  </si>
  <si>
    <t>124,90</t>
  </si>
  <si>
    <t xml:space="preserve">Клин/Московская область </t>
  </si>
  <si>
    <t>ВЕСОВАЯ КАТЕГОРИЯ   140</t>
  </si>
  <si>
    <t>1. Коровкин Сергей</t>
  </si>
  <si>
    <t>Юноши 16 - 19 (15.02.2001)/17</t>
  </si>
  <si>
    <t>138,70</t>
  </si>
  <si>
    <t>260,0</t>
  </si>
  <si>
    <t>350,0</t>
  </si>
  <si>
    <t>837,5</t>
  </si>
  <si>
    <t>537,4238</t>
  </si>
  <si>
    <t>820,0</t>
  </si>
  <si>
    <t>490,6880</t>
  </si>
  <si>
    <t>830,0</t>
  </si>
  <si>
    <t>481,8150</t>
  </si>
  <si>
    <t>380,0</t>
  </si>
  <si>
    <t>1. Фатькина Оксана</t>
  </si>
  <si>
    <t>Ветераны 45 - 49 (25.04.1973)/45</t>
  </si>
  <si>
    <t>51,60</t>
  </si>
  <si>
    <t>87,5</t>
  </si>
  <si>
    <t>1. Гусева Екатерина</t>
  </si>
  <si>
    <t>Открытая (17.11.1984)/33</t>
  </si>
  <si>
    <t>55,60</t>
  </si>
  <si>
    <t xml:space="preserve">Рябухин В.В. </t>
  </si>
  <si>
    <t>1. Умнова Елена</t>
  </si>
  <si>
    <t>Открытая (19.03.1991)/27</t>
  </si>
  <si>
    <t>61,30</t>
  </si>
  <si>
    <t>1. Старовa Олеся</t>
  </si>
  <si>
    <t>Девушки 16 - 19 (29.09.2000)/18</t>
  </si>
  <si>
    <t>74,30</t>
  </si>
  <si>
    <t xml:space="preserve">Старов Д.А. </t>
  </si>
  <si>
    <t>1. Галченков Владимир</t>
  </si>
  <si>
    <t>Открытая (22.07.1985)/33</t>
  </si>
  <si>
    <t>64,80</t>
  </si>
  <si>
    <t>-. Кочмарук Дмитрий</t>
  </si>
  <si>
    <t>Юноши 16 - 19 (26.03.2000)/18</t>
  </si>
  <si>
    <t>74,50</t>
  </si>
  <si>
    <t>162,5</t>
  </si>
  <si>
    <t xml:space="preserve">Власова Н.В. </t>
  </si>
  <si>
    <t>-. Жевтунов Владимир</t>
  </si>
  <si>
    <t>Открытая (11.05.1988)/30</t>
  </si>
  <si>
    <t>73,10</t>
  </si>
  <si>
    <t>1. Поляков Артем</t>
  </si>
  <si>
    <t>Юниоры 20 - 23 (05.12.1994)/23</t>
  </si>
  <si>
    <t>79,70</t>
  </si>
  <si>
    <t>2. Лебедев Михаил</t>
  </si>
  <si>
    <t>Юниоры 20 - 23 (01.02.1996)/22</t>
  </si>
  <si>
    <t>80,30</t>
  </si>
  <si>
    <t xml:space="preserve">Химки/Московская область </t>
  </si>
  <si>
    <t>207,5</t>
  </si>
  <si>
    <t xml:space="preserve">Федоренко А.И. </t>
  </si>
  <si>
    <t>1. Белов Илья</t>
  </si>
  <si>
    <t>Открытая (26.12.1989)/28</t>
  </si>
  <si>
    <t>82,30</t>
  </si>
  <si>
    <t xml:space="preserve">Орехово-Зуево/Московская область </t>
  </si>
  <si>
    <t>2. Каземиров Владимир</t>
  </si>
  <si>
    <t>Открытая (28.09.1986)/32</t>
  </si>
  <si>
    <t>81,50</t>
  </si>
  <si>
    <t xml:space="preserve">Обухово/Московская область </t>
  </si>
  <si>
    <t>3. Апатенко Константин</t>
  </si>
  <si>
    <t>Открытая (04.08.1990)/28</t>
  </si>
  <si>
    <t>78,60</t>
  </si>
  <si>
    <t>Юдаев Александр</t>
  </si>
  <si>
    <t>1. Юдаев Александр</t>
  </si>
  <si>
    <t>Открытая (10.02.1994)/24</t>
  </si>
  <si>
    <t>87,40</t>
  </si>
  <si>
    <t xml:space="preserve">Тульская </t>
  </si>
  <si>
    <t xml:space="preserve">Тула/Тульская область </t>
  </si>
  <si>
    <t>Тарбонов Юрий</t>
  </si>
  <si>
    <t>2. Тарбонов Юрий</t>
  </si>
  <si>
    <t>Открытая (26.11.1987)/30</t>
  </si>
  <si>
    <t>89,40</t>
  </si>
  <si>
    <t xml:space="preserve">Щелково/Московская область </t>
  </si>
  <si>
    <t>177,5</t>
  </si>
  <si>
    <t>3. Черненко Александр</t>
  </si>
  <si>
    <t>Открытая (30.06.1995)/23</t>
  </si>
  <si>
    <t>85,80</t>
  </si>
  <si>
    <t>1. Тушин Алексей</t>
  </si>
  <si>
    <t>Ветераны 50 - 54 (03.05.1964)/54</t>
  </si>
  <si>
    <t>89,00</t>
  </si>
  <si>
    <t>132,5</t>
  </si>
  <si>
    <t>1. Быстров Ростислав</t>
  </si>
  <si>
    <t>Открытая (03.01.1988)/30</t>
  </si>
  <si>
    <t>92,00</t>
  </si>
  <si>
    <t>1. Коновалов Алексей</t>
  </si>
  <si>
    <t>Открытая (06.07.1992)/26</t>
  </si>
  <si>
    <t>102,70</t>
  </si>
  <si>
    <t>2. Строилов Михаил</t>
  </si>
  <si>
    <t>Открытая (09.01.1976)/42</t>
  </si>
  <si>
    <t>107,20</t>
  </si>
  <si>
    <t xml:space="preserve">Мудрогелов Р.А. </t>
  </si>
  <si>
    <t>1. Рак Иван</t>
  </si>
  <si>
    <t>Ветераны 40 - 44 (27.08.1974)/44</t>
  </si>
  <si>
    <t>109,40</t>
  </si>
  <si>
    <t xml:space="preserve">Дмитров/Московская область </t>
  </si>
  <si>
    <t xml:space="preserve">Евстигнеев М. </t>
  </si>
  <si>
    <t>Ветераны 40 - 44 (09.01.1976)/42</t>
  </si>
  <si>
    <t>Петрив Вадим</t>
  </si>
  <si>
    <t>1. Петрив Вадим</t>
  </si>
  <si>
    <t>Открытая (29.12.1981)/36</t>
  </si>
  <si>
    <t>122,50</t>
  </si>
  <si>
    <t xml:space="preserve">Дедовск/Московская область </t>
  </si>
  <si>
    <t>2. Перепичай Василий</t>
  </si>
  <si>
    <t>Открытая (27.02.1981)/37</t>
  </si>
  <si>
    <t>123,70</t>
  </si>
  <si>
    <t>660,0</t>
  </si>
  <si>
    <t>427,8780</t>
  </si>
  <si>
    <t>695,0</t>
  </si>
  <si>
    <t>397,7485</t>
  </si>
  <si>
    <t>592,5</t>
  </si>
  <si>
    <t>379,5555</t>
  </si>
  <si>
    <t>600,0</t>
  </si>
  <si>
    <t>1. Тарасов Артем</t>
  </si>
  <si>
    <t>Открытая (31.07.1992)/26</t>
  </si>
  <si>
    <t>1. Козлов Александр</t>
  </si>
  <si>
    <t>Открытая (28.08.1994)/24</t>
  </si>
  <si>
    <t>93,30</t>
  </si>
  <si>
    <t xml:space="preserve">Дрезна/Московская область </t>
  </si>
  <si>
    <t>340,0</t>
  </si>
  <si>
    <t>265,0</t>
  </si>
  <si>
    <t>285,0</t>
  </si>
  <si>
    <t xml:space="preserve">Ушков И.Д. </t>
  </si>
  <si>
    <t>-. Носов Александр</t>
  </si>
  <si>
    <t>Открытая (31.01.1985)/33</t>
  </si>
  <si>
    <t>94,90</t>
  </si>
  <si>
    <t xml:space="preserve">Электросталь/Московская область </t>
  </si>
  <si>
    <t>267,5</t>
  </si>
  <si>
    <t xml:space="preserve">Карасев А.П. </t>
  </si>
  <si>
    <t>1. Блинкова Наталья</t>
  </si>
  <si>
    <t>Открытая (20.03.1991)/27</t>
  </si>
  <si>
    <t>56,00</t>
  </si>
  <si>
    <t xml:space="preserve">Мавренков С.В. </t>
  </si>
  <si>
    <t>Продвижение 2018
WPU Пауэрлифтинг в Многослойной экипировке
Москва/ 29 - 30 сентября 2018 г.</t>
  </si>
  <si>
    <t>-. Мавренков Сергей</t>
  </si>
  <si>
    <t>Открытая (05.11.1966)/51</t>
  </si>
  <si>
    <t>100,00</t>
  </si>
  <si>
    <t>Ветераны 50 - 54 (05.11.1966)/51</t>
  </si>
  <si>
    <t>1. Макунина Маргарита</t>
  </si>
  <si>
    <t>Ветераны 45 - 49 (07.03.1969)/49</t>
  </si>
  <si>
    <t>57,50</t>
  </si>
  <si>
    <t>57,5</t>
  </si>
  <si>
    <t>1. Медведева Елена</t>
  </si>
  <si>
    <t>Ветераны 55 - 59 (10.10.1962)/55</t>
  </si>
  <si>
    <t>59,80</t>
  </si>
  <si>
    <t>1. Шевелёва Анастасия</t>
  </si>
  <si>
    <t>Открытая (20.04.1989)/29</t>
  </si>
  <si>
    <t>64,60</t>
  </si>
  <si>
    <t>1. Баранова Ольга</t>
  </si>
  <si>
    <t>Ветераны 40 - 44 (21.05.1976)/42</t>
  </si>
  <si>
    <t>72,20</t>
  </si>
  <si>
    <t>1. Приклонских Вероника</t>
  </si>
  <si>
    <t>Открытая (20.01.1982)/36</t>
  </si>
  <si>
    <t>1. Маринкевич Илья</t>
  </si>
  <si>
    <t>Юноши 14 - 15 (03.08.2003)/15</t>
  </si>
  <si>
    <t>67,10</t>
  </si>
  <si>
    <t>1. Шостак Алексей</t>
  </si>
  <si>
    <t>Открытая (16.08.1989)/29</t>
  </si>
  <si>
    <t>72,60</t>
  </si>
  <si>
    <t xml:space="preserve">Наро-Фоминск/Московская область </t>
  </si>
  <si>
    <t>2. Латушкин Артем</t>
  </si>
  <si>
    <t>Открытая (04.12.1982)/35</t>
  </si>
  <si>
    <t>74,40</t>
  </si>
  <si>
    <t>3. Петракович Николай</t>
  </si>
  <si>
    <t>Открытая (17.08.1979)/39</t>
  </si>
  <si>
    <t>4. Кулаков Владимир</t>
  </si>
  <si>
    <t>Открытая (24.12.1955)/62</t>
  </si>
  <si>
    <t>73,30</t>
  </si>
  <si>
    <t>1. Кулаков Владимир</t>
  </si>
  <si>
    <t>Ветераны 60 - 64 (24.12.1955)/62</t>
  </si>
  <si>
    <t>1. Ионов Николай</t>
  </si>
  <si>
    <t>Ветераны 65 - 69 (20.05.1949)/69</t>
  </si>
  <si>
    <t>70,80</t>
  </si>
  <si>
    <t xml:space="preserve">Хуснетдинова Т.И. </t>
  </si>
  <si>
    <t>1. Малярский Николай</t>
  </si>
  <si>
    <t>Открытая (03.06.1986)/32</t>
  </si>
  <si>
    <t>80,90</t>
  </si>
  <si>
    <t xml:space="preserve">Молочков А.А. </t>
  </si>
  <si>
    <t>1. Медведев Константин</t>
  </si>
  <si>
    <t>Юниоры 20 - 23 (03.06.1997)/21</t>
  </si>
  <si>
    <t xml:space="preserve">Медведева Е. </t>
  </si>
  <si>
    <t>Тимченко Сергей</t>
  </si>
  <si>
    <t>1. Тимченко Сергей</t>
  </si>
  <si>
    <t>Открытая (23.12.1979)/38</t>
  </si>
  <si>
    <t>89,30</t>
  </si>
  <si>
    <t xml:space="preserve">Тимченко Ю. </t>
  </si>
  <si>
    <t>2. Баймешев Эдуард</t>
  </si>
  <si>
    <t>Открытая (26.08.1991)/27</t>
  </si>
  <si>
    <t>86,90</t>
  </si>
  <si>
    <t>182,5</t>
  </si>
  <si>
    <t xml:space="preserve">Машкевич В.Л. </t>
  </si>
  <si>
    <t>3. Крылов Александр</t>
  </si>
  <si>
    <t>Открытая (29.01.1985)/33</t>
  </si>
  <si>
    <t>88,50</t>
  </si>
  <si>
    <t>4. Ермаков Константин</t>
  </si>
  <si>
    <t>Открытая (31.12.1984)/33</t>
  </si>
  <si>
    <t>88,70</t>
  </si>
  <si>
    <t>157,5</t>
  </si>
  <si>
    <t xml:space="preserve">Болдин И. </t>
  </si>
  <si>
    <t>5. Никитин Сергей</t>
  </si>
  <si>
    <t>Открытая (08.09.1990)/28</t>
  </si>
  <si>
    <t>87,60</t>
  </si>
  <si>
    <t>-. Елов Владимир</t>
  </si>
  <si>
    <t>Открытая (04.03.1991)/27</t>
  </si>
  <si>
    <t>88,20</t>
  </si>
  <si>
    <t>1. Карезин Дмитрий</t>
  </si>
  <si>
    <t>Ветераны 45 - 49 (07.01.1970)/48</t>
  </si>
  <si>
    <t>87,20</t>
  </si>
  <si>
    <t xml:space="preserve">Ногинск/Московская область </t>
  </si>
  <si>
    <t xml:space="preserve">Занегин Н.Г. </t>
  </si>
  <si>
    <t>Хуснетдинов Амир</t>
  </si>
  <si>
    <t>1. Хуснетдинов Амир</t>
  </si>
  <si>
    <t>Ветераны 70 - 74 (01.03.1948)/70</t>
  </si>
  <si>
    <t>1. Иванов Андрей</t>
  </si>
  <si>
    <t>Юноши 14 - 15 (05.05.2003)/15</t>
  </si>
  <si>
    <t>96,80</t>
  </si>
  <si>
    <t>Снежков Илья</t>
  </si>
  <si>
    <t>1. Снежков Илья</t>
  </si>
  <si>
    <t>Открытая (06.12.1989)/28</t>
  </si>
  <si>
    <t>96,40</t>
  </si>
  <si>
    <t xml:space="preserve">Зеленоград/Московская область </t>
  </si>
  <si>
    <t>2. Полунин Федор</t>
  </si>
  <si>
    <t>Открытая (15.06.1988)/30</t>
  </si>
  <si>
    <t>97,90</t>
  </si>
  <si>
    <t>1. Гринберг Игорс</t>
  </si>
  <si>
    <t>Ветераны 45 - 49 (24.08.1969)/49</t>
  </si>
  <si>
    <t>97,60</t>
  </si>
  <si>
    <t xml:space="preserve">Туляков Н.Г. </t>
  </si>
  <si>
    <t>1. Калашников Андрей</t>
  </si>
  <si>
    <t>Открытая (24.07.1980)/38</t>
  </si>
  <si>
    <t>109,60</t>
  </si>
  <si>
    <t xml:space="preserve">Краснозаводск/Московская область </t>
  </si>
  <si>
    <t xml:space="preserve">Пауесов А.И. </t>
  </si>
  <si>
    <t>2. Якушев Олег</t>
  </si>
  <si>
    <t>Открытая (28.07.1989)/29</t>
  </si>
  <si>
    <t>102,40</t>
  </si>
  <si>
    <t>3. Рудецких Андрей</t>
  </si>
  <si>
    <t>Открытая (17.11.1978)/39</t>
  </si>
  <si>
    <t>109,50</t>
  </si>
  <si>
    <t xml:space="preserve">Лазариди Г. </t>
  </si>
  <si>
    <t>-. Трухачев Игорь</t>
  </si>
  <si>
    <t>Открытая (31.10.1988)/29</t>
  </si>
  <si>
    <t>108,30</t>
  </si>
  <si>
    <t>1. Шабалин Александр</t>
  </si>
  <si>
    <t>Ветераны 45 - 49 (07.09.1971)/47</t>
  </si>
  <si>
    <t>102,60</t>
  </si>
  <si>
    <t>Князев Виктор</t>
  </si>
  <si>
    <t>1. Князев Виктор</t>
  </si>
  <si>
    <t>Открытая (31.07.1990)/28</t>
  </si>
  <si>
    <t>111,10</t>
  </si>
  <si>
    <t xml:space="preserve">Селин В. </t>
  </si>
  <si>
    <t>2. Зуйков Евгений</t>
  </si>
  <si>
    <t>Открытая (10.05.1994)/24</t>
  </si>
  <si>
    <t>121,20</t>
  </si>
  <si>
    <t xml:space="preserve">Звенигород/Московская область </t>
  </si>
  <si>
    <t xml:space="preserve">Беловал Е. </t>
  </si>
  <si>
    <t>3. Яничев Александр</t>
  </si>
  <si>
    <t>Открытая (13.05.1977)/41</t>
  </si>
  <si>
    <t>123,60</t>
  </si>
  <si>
    <t xml:space="preserve">Шостак А.С. </t>
  </si>
  <si>
    <t xml:space="preserve">Ветераны 55 - 59 </t>
  </si>
  <si>
    <t>142,6225</t>
  </si>
  <si>
    <t>129,7800</t>
  </si>
  <si>
    <t>129,0740</t>
  </si>
  <si>
    <t xml:space="preserve">Ветераны 70 - 74 </t>
  </si>
  <si>
    <t>155,5306</t>
  </si>
  <si>
    <t>Результат</t>
  </si>
  <si>
    <t>1. Дьяченко Маргарита</t>
  </si>
  <si>
    <t>Юниорки 20 - 23 (26.01.1995)/23</t>
  </si>
  <si>
    <t xml:space="preserve">Лохадынов А.С. </t>
  </si>
  <si>
    <t>1. Грибахо Оксана</t>
  </si>
  <si>
    <t>Открытая (30.12.1990)/27</t>
  </si>
  <si>
    <t>45,70</t>
  </si>
  <si>
    <t xml:space="preserve">Чуриков В. </t>
  </si>
  <si>
    <t>2. Щербинина Олеся</t>
  </si>
  <si>
    <t>Открытая (23.10.1986)/31</t>
  </si>
  <si>
    <t>47,50</t>
  </si>
  <si>
    <t xml:space="preserve">Бурец Е.Е. </t>
  </si>
  <si>
    <t>1. Мельникова Анна</t>
  </si>
  <si>
    <t>Девушки 16 - 19 (02.02.1999)/19</t>
  </si>
  <si>
    <t>52,00</t>
  </si>
  <si>
    <t xml:space="preserve">Ивлиев Л.Н. </t>
  </si>
  <si>
    <t>1. Евдокимова Елена</t>
  </si>
  <si>
    <t>Ветераны 45 - 49 (06.05.1970)/48</t>
  </si>
  <si>
    <t>50,50</t>
  </si>
  <si>
    <t xml:space="preserve">Сорокин С.В. </t>
  </si>
  <si>
    <t>1. Павлова Анастасия</t>
  </si>
  <si>
    <t>Юниорки 20 - 23 (19.05.1998)/20</t>
  </si>
  <si>
    <t>55,10</t>
  </si>
  <si>
    <t xml:space="preserve">Волков В.Л. </t>
  </si>
  <si>
    <t>2. Сенькина Лина</t>
  </si>
  <si>
    <t>Юниорки 20 - 23 (28.04.1995)/23</t>
  </si>
  <si>
    <t>54,30</t>
  </si>
  <si>
    <t xml:space="preserve">Балугин Н.В. </t>
  </si>
  <si>
    <t>1. Киселева Любовь</t>
  </si>
  <si>
    <t>Открытая (25.06.1982)/36</t>
  </si>
  <si>
    <t>55,30</t>
  </si>
  <si>
    <t xml:space="preserve">Абдуллин М.Р. </t>
  </si>
  <si>
    <t>2. Быстрова Дарья</t>
  </si>
  <si>
    <t>Открытая (07.03.1990)/28</t>
  </si>
  <si>
    <t>54,60</t>
  </si>
  <si>
    <t xml:space="preserve">Даньшин А.И. </t>
  </si>
  <si>
    <t>-. Смирнова Никита</t>
  </si>
  <si>
    <t>Открытая (28.08.1986)/32</t>
  </si>
  <si>
    <t>54,80</t>
  </si>
  <si>
    <t>1. Кукушкина Анна</t>
  </si>
  <si>
    <t>Юниорки 20 - 23 (20.12.1995)/22</t>
  </si>
  <si>
    <t>58,60</t>
  </si>
  <si>
    <t>Таскаева Екатерина</t>
  </si>
  <si>
    <t>1. Таскаева Екатерина</t>
  </si>
  <si>
    <t>Открытая (22.12.1993)/24</t>
  </si>
  <si>
    <t>Кричмар Ольга</t>
  </si>
  <si>
    <t>2. Кричмар Ольга</t>
  </si>
  <si>
    <t>Открытая (09.03.1982)/36</t>
  </si>
  <si>
    <t>59,10</t>
  </si>
  <si>
    <t xml:space="preserve">Чекренев А.В. </t>
  </si>
  <si>
    <t>3. Пивкина Татьяна</t>
  </si>
  <si>
    <t>Открытая (11.02.1992)/26</t>
  </si>
  <si>
    <t>1. Данилова Мария</t>
  </si>
  <si>
    <t>Девушки 16 - 19 (27.06.2000)/18</t>
  </si>
  <si>
    <t>66,70</t>
  </si>
  <si>
    <t>-. Сергеева Наталья</t>
  </si>
  <si>
    <t>Открытая (27.10.1985)/32</t>
  </si>
  <si>
    <t>67,50</t>
  </si>
  <si>
    <t>1. Логинова Анастасия</t>
  </si>
  <si>
    <t>Юниорки 20 - 23 (04.04.1995)/23</t>
  </si>
  <si>
    <t>80,70</t>
  </si>
  <si>
    <t>1. Ходкин Дмитрий</t>
  </si>
  <si>
    <t>Юноши 14 - 15 (20.12.2002)/15</t>
  </si>
  <si>
    <t>66,20</t>
  </si>
  <si>
    <t xml:space="preserve">Лазарев В. </t>
  </si>
  <si>
    <t>1. Фатькин Ярослав</t>
  </si>
  <si>
    <t>Юноши 16 - 19 (24.08.2000)/18</t>
  </si>
  <si>
    <t>63,00</t>
  </si>
  <si>
    <t>1. Кузнецов Александр</t>
  </si>
  <si>
    <t>Открытая (04.01.1992)/26</t>
  </si>
  <si>
    <t>65,50</t>
  </si>
  <si>
    <t xml:space="preserve">Ясногорск/Тульская область </t>
  </si>
  <si>
    <t>2. Никитин Валентин</t>
  </si>
  <si>
    <t>Открытая (18.09.1994)/24</t>
  </si>
  <si>
    <t>66,40</t>
  </si>
  <si>
    <t xml:space="preserve">Волгоградская </t>
  </si>
  <si>
    <t xml:space="preserve">Волгоград/Волгоградская област </t>
  </si>
  <si>
    <t>1. Берлизов Дмитрий</t>
  </si>
  <si>
    <t>Юниоры 20 - 23 (22.01.1996)/22</t>
  </si>
  <si>
    <t>72,50</t>
  </si>
  <si>
    <t xml:space="preserve">Рак И. </t>
  </si>
  <si>
    <t>2. Липчанский Эдуард</t>
  </si>
  <si>
    <t>Юниоры 20 - 23 (15.01.1997)/21</t>
  </si>
  <si>
    <t>70,70</t>
  </si>
  <si>
    <t>1. Румянцев Александр</t>
  </si>
  <si>
    <t>Открытая (26.06.1991)/27</t>
  </si>
  <si>
    <t>70,00</t>
  </si>
  <si>
    <t xml:space="preserve">Селятино/Московская область </t>
  </si>
  <si>
    <t xml:space="preserve">Тимченко С.С. </t>
  </si>
  <si>
    <t>-. Пекарский Николай</t>
  </si>
  <si>
    <t>Открытая (16.12.1989)/28</t>
  </si>
  <si>
    <t>73,00</t>
  </si>
  <si>
    <t xml:space="preserve">Фролов В.И. </t>
  </si>
  <si>
    <t>1. Кобец Владимир</t>
  </si>
  <si>
    <t>Ветераны 50 - 54 (26.07.1966)/52</t>
  </si>
  <si>
    <t>75,00</t>
  </si>
  <si>
    <t>Манусевич Владимир</t>
  </si>
  <si>
    <t>1. Манусевич Владимир</t>
  </si>
  <si>
    <t>Ветераны 70 - 74 (26.03.1946)/72</t>
  </si>
  <si>
    <t>74,80</t>
  </si>
  <si>
    <t>1. Бигеев Тимур</t>
  </si>
  <si>
    <t>Открытая (01.08.1989)/29</t>
  </si>
  <si>
    <t>79,60</t>
  </si>
  <si>
    <t xml:space="preserve">Черненок В.В. </t>
  </si>
  <si>
    <t>2. Холодный Станислав</t>
  </si>
  <si>
    <t>Открытая (09.07.1987)/31</t>
  </si>
  <si>
    <t>80,20</t>
  </si>
  <si>
    <t xml:space="preserve">Лобня/Московская область </t>
  </si>
  <si>
    <t>3. Царев Александр</t>
  </si>
  <si>
    <t>Открытая (01.03.1991)/27</t>
  </si>
  <si>
    <t>80,10</t>
  </si>
  <si>
    <t>-. Проняев Григорий</t>
  </si>
  <si>
    <t>Открытая (10.01.1993)/25</t>
  </si>
  <si>
    <t xml:space="preserve">Умаров Р. Б. </t>
  </si>
  <si>
    <t>-. Арапов Алексей</t>
  </si>
  <si>
    <t>Ветераны 45 - 49 (03.06.1969)/49</t>
  </si>
  <si>
    <t xml:space="preserve">Тверской А. </t>
  </si>
  <si>
    <t>1. Кондрашев Сергей</t>
  </si>
  <si>
    <t>Ветераны 55 - 59 (16.09.1963)/55</t>
  </si>
  <si>
    <t>81,10</t>
  </si>
  <si>
    <t xml:space="preserve">Одинцово/Московская область </t>
  </si>
  <si>
    <t>1. Дрыгин Владлен</t>
  </si>
  <si>
    <t>Ветераны 60 - 64 (18.02.1956)/62</t>
  </si>
  <si>
    <t>81,80</t>
  </si>
  <si>
    <t xml:space="preserve">Ракчеева А.О. </t>
  </si>
  <si>
    <t>1. Торопин Алексей</t>
  </si>
  <si>
    <t>Юноши 16 - 19 (30.10.2001)/16</t>
  </si>
  <si>
    <t xml:space="preserve">Аксёнов А. </t>
  </si>
  <si>
    <t>1. Богоутдинов Рустам</t>
  </si>
  <si>
    <t>Открытая (05.06.1982)/36</t>
  </si>
  <si>
    <t>86,60</t>
  </si>
  <si>
    <t>2. Кузин Владимир</t>
  </si>
  <si>
    <t>Открытая (16.03.1986)/32</t>
  </si>
  <si>
    <t xml:space="preserve">Котов А. </t>
  </si>
  <si>
    <t>3. Шабуров Юрий</t>
  </si>
  <si>
    <t>87,30</t>
  </si>
  <si>
    <t>4. Тришин Евгений</t>
  </si>
  <si>
    <t>Открытая (20.03.1986)/32</t>
  </si>
  <si>
    <t>89,80</t>
  </si>
  <si>
    <t>5. Соловьев Евгений</t>
  </si>
  <si>
    <t>Открытая (07.07.1989)/29</t>
  </si>
  <si>
    <t xml:space="preserve">Волков В. </t>
  </si>
  <si>
    <t>6. Горянинов Денис</t>
  </si>
  <si>
    <t>Открытая (29.12.1989)/28</t>
  </si>
  <si>
    <t xml:space="preserve">Парыгина О. </t>
  </si>
  <si>
    <t>7. Суяргулов Альберт</t>
  </si>
  <si>
    <t>Открытая (15.05.1984)/34</t>
  </si>
  <si>
    <t xml:space="preserve">Томилино/Московская область </t>
  </si>
  <si>
    <t>-. Храбров Антон</t>
  </si>
  <si>
    <t>Открытая (15.07.1992)/26</t>
  </si>
  <si>
    <t>86,80</t>
  </si>
  <si>
    <t xml:space="preserve">Истра/Московская область </t>
  </si>
  <si>
    <t>1. Нараулов Александр</t>
  </si>
  <si>
    <t>Ветераны 40 - 44 (09.09.1978)/40</t>
  </si>
  <si>
    <t>88,30</t>
  </si>
  <si>
    <t>1. Терехов Анатолий</t>
  </si>
  <si>
    <t>Ветераны 45 - 49 (20.03.1971)/47</t>
  </si>
  <si>
    <t>86,20</t>
  </si>
  <si>
    <t xml:space="preserve">Раменское/Московская область </t>
  </si>
  <si>
    <t>2. Медведев Василий</t>
  </si>
  <si>
    <t>Ветераны 45 - 49 (03.03.1970)/48</t>
  </si>
  <si>
    <t>3. Любач Юрий</t>
  </si>
  <si>
    <t>Ветераны 45 - 49 (23.10.1968)/49</t>
  </si>
  <si>
    <t>88,60</t>
  </si>
  <si>
    <t xml:space="preserve">Носов А.И. </t>
  </si>
  <si>
    <t>-. Рычков Сергей</t>
  </si>
  <si>
    <t>Ветераны 45 - 49 (26.03.1973)/45</t>
  </si>
  <si>
    <t>85,90</t>
  </si>
  <si>
    <t>1. Лапченко Даниил</t>
  </si>
  <si>
    <t>Юноши 14 - 15 (09.09.2005)/13</t>
  </si>
  <si>
    <t xml:space="preserve">Терехов А. </t>
  </si>
  <si>
    <t>1. Нурыкин Владислав</t>
  </si>
  <si>
    <t>Юноши 16 - 19 (15.11.1999)/18</t>
  </si>
  <si>
    <t>90,80</t>
  </si>
  <si>
    <t>1. Ефременков Владимир</t>
  </si>
  <si>
    <t>Юниоры 20 - 23 (26.12.1996)/21</t>
  </si>
  <si>
    <t>99,40</t>
  </si>
  <si>
    <t xml:space="preserve">Панов В.Г. </t>
  </si>
  <si>
    <t>1. Розмирец Руслан</t>
  </si>
  <si>
    <t>Открытая (26.08.1976)/42</t>
  </si>
  <si>
    <t>97,70</t>
  </si>
  <si>
    <t xml:space="preserve">Чурин Ю. </t>
  </si>
  <si>
    <t>2. Сёмочкин Владимир</t>
  </si>
  <si>
    <t>Открытая (23.09.1986)/32</t>
  </si>
  <si>
    <t>98,40</t>
  </si>
  <si>
    <t>3. Солдатов Игорь</t>
  </si>
  <si>
    <t>Открытая (24.01.1985)/33</t>
  </si>
  <si>
    <t>99,90</t>
  </si>
  <si>
    <t xml:space="preserve">Владимир/Владимирская область </t>
  </si>
  <si>
    <t>4. Наумов Андрей</t>
  </si>
  <si>
    <t>Открытая (07.10.1981)/36</t>
  </si>
  <si>
    <t>5. Соколов Павел</t>
  </si>
  <si>
    <t>Открытая (01.06.1990)/28</t>
  </si>
  <si>
    <t>91,30</t>
  </si>
  <si>
    <t xml:space="preserve">Лыткарино/Московская область </t>
  </si>
  <si>
    <t>6. Даньшин Артём</t>
  </si>
  <si>
    <t>Открытая (03.10.1992)/25</t>
  </si>
  <si>
    <t>-. Лопатин Олег</t>
  </si>
  <si>
    <t>Открытая (15.06.1983)/35</t>
  </si>
  <si>
    <t xml:space="preserve">Владимирская </t>
  </si>
  <si>
    <t xml:space="preserve">Солдатов И. </t>
  </si>
  <si>
    <t>Ветераны 40 - 44 (26.08.1976)/42</t>
  </si>
  <si>
    <t>2. Ремин Кирилл</t>
  </si>
  <si>
    <t>Ветераны 40 - 44 (13.08.1975)/43</t>
  </si>
  <si>
    <t xml:space="preserve">Пушнин М. </t>
  </si>
  <si>
    <t>3. Ладонцев Алексей</t>
  </si>
  <si>
    <t>Ветераны 40 - 44 (17.11.1973)/44</t>
  </si>
  <si>
    <t>99,20</t>
  </si>
  <si>
    <t>1. Сайфулин Руслан</t>
  </si>
  <si>
    <t>Ветераны 45 - 49 (20.01.1972)/46</t>
  </si>
  <si>
    <t>95,90</t>
  </si>
  <si>
    <t xml:space="preserve">Бурлаков Д.Б. </t>
  </si>
  <si>
    <t>1. Полоян Сурен</t>
  </si>
  <si>
    <t>Юниоры 20 - 23 (19.08.1995)/23</t>
  </si>
  <si>
    <t xml:space="preserve">Санкт-Петербург </t>
  </si>
  <si>
    <t xml:space="preserve">Санкт-Петербург/ </t>
  </si>
  <si>
    <t xml:space="preserve">Суровецкий А.Е. </t>
  </si>
  <si>
    <t>Репин Александр</t>
  </si>
  <si>
    <t>1. Репин Александр</t>
  </si>
  <si>
    <t>Открытая (06.02.1987)/31</t>
  </si>
  <si>
    <t>108,90</t>
  </si>
  <si>
    <t>2. Журкин Ян</t>
  </si>
  <si>
    <t>Открытая (05.11.1985)/32</t>
  </si>
  <si>
    <t>104,40</t>
  </si>
  <si>
    <t xml:space="preserve">Чевордаев В.А. </t>
  </si>
  <si>
    <t>-. Железнов Дмитрий</t>
  </si>
  <si>
    <t>Открытая (24.01.1993)/25</t>
  </si>
  <si>
    <t>110,00</t>
  </si>
  <si>
    <t xml:space="preserve">Бронницы/Московская область </t>
  </si>
  <si>
    <t xml:space="preserve">Кочетков И.А., Железнов М.С. </t>
  </si>
  <si>
    <t>1. Любочкин Сергей</t>
  </si>
  <si>
    <t>Ветераны 40 - 44 (19.06.1977)/41</t>
  </si>
  <si>
    <t>109,80</t>
  </si>
  <si>
    <t>1. Буханцев Павел</t>
  </si>
  <si>
    <t>Ветераны 45 - 49 (02.08.1969)/49</t>
  </si>
  <si>
    <t>108,70</t>
  </si>
  <si>
    <t xml:space="preserve">Кондаков А. </t>
  </si>
  <si>
    <t>2. Киреев Дмитрий</t>
  </si>
  <si>
    <t>Ветераны 45 - 49 (25.08.1969)/49</t>
  </si>
  <si>
    <t>106,30</t>
  </si>
  <si>
    <t>1. Реутов Владимир</t>
  </si>
  <si>
    <t>Ветераны 50 - 54 (11.08.1968)/50</t>
  </si>
  <si>
    <t>108,20</t>
  </si>
  <si>
    <t>Терихов Анатолий</t>
  </si>
  <si>
    <t>1. Терихов Анатолий</t>
  </si>
  <si>
    <t>Ветераны 55 - 59 (10.06.1962)/56</t>
  </si>
  <si>
    <t>108,40</t>
  </si>
  <si>
    <t>1. Демидов Дмитрий</t>
  </si>
  <si>
    <t>Юноши 16 - 19 (04.10.1998)/19</t>
  </si>
  <si>
    <t>118,50</t>
  </si>
  <si>
    <t>Селезнев Владимир</t>
  </si>
  <si>
    <t>1. Селезнев Владимир</t>
  </si>
  <si>
    <t>Открытая (09.05.1977)/41</t>
  </si>
  <si>
    <t>122,30</t>
  </si>
  <si>
    <t>2. Киреёнок Василий</t>
  </si>
  <si>
    <t>Открытая (14.12.1978)/39</t>
  </si>
  <si>
    <t>118,70</t>
  </si>
  <si>
    <t xml:space="preserve">Щелково-3/Московская </t>
  </si>
  <si>
    <t>-. Фролов Александр</t>
  </si>
  <si>
    <t>Открытая (17.01.1988)/30</t>
  </si>
  <si>
    <t>121,80</t>
  </si>
  <si>
    <t>Ветераны 40 - 44 (09.05.1977)/41</t>
  </si>
  <si>
    <t>-. Захаров Сергей</t>
  </si>
  <si>
    <t>Ветераны 40 - 44 (27.09.1974)/44</t>
  </si>
  <si>
    <t>117,30</t>
  </si>
  <si>
    <t xml:space="preserve">Воскресенск/Московская область </t>
  </si>
  <si>
    <t xml:space="preserve">Краснов Н.Н. </t>
  </si>
  <si>
    <t>Каныгин Сергей</t>
  </si>
  <si>
    <t>1. Каныгин Сергей</t>
  </si>
  <si>
    <t>Ветераны 50 - 54 (24.01.1966)/52</t>
  </si>
  <si>
    <t>138,00</t>
  </si>
  <si>
    <t>Мишуренков Роман</t>
  </si>
  <si>
    <t>1. Мишуренков Роман</t>
  </si>
  <si>
    <t>Открытая (16.02.1982)/36</t>
  </si>
  <si>
    <t>140,40</t>
  </si>
  <si>
    <t>92,2000</t>
  </si>
  <si>
    <t>122,8920</t>
  </si>
  <si>
    <t>106,2540</t>
  </si>
  <si>
    <t>105,9125</t>
  </si>
  <si>
    <t>123,9560</t>
  </si>
  <si>
    <t>119,5818</t>
  </si>
  <si>
    <t>114,1785</t>
  </si>
  <si>
    <t>1. Карпов Денис</t>
  </si>
  <si>
    <t>Открытая (20.04.1981)/37</t>
  </si>
  <si>
    <t>98,70</t>
  </si>
  <si>
    <t xml:space="preserve">Соколов Н.Д. </t>
  </si>
  <si>
    <t>Брехов Роман</t>
  </si>
  <si>
    <t>1. Брехов Роман</t>
  </si>
  <si>
    <t>Открытая (24.02.1990)/28</t>
  </si>
  <si>
    <t>250,5</t>
  </si>
  <si>
    <t xml:space="preserve">Соловьёв В. </t>
  </si>
  <si>
    <t>-. Шабалин Дмитрий</t>
  </si>
  <si>
    <t>Ветераны 45 - 49 (19.01.1969)/49</t>
  </si>
  <si>
    <t>132,50</t>
  </si>
  <si>
    <t>156,0055</t>
  </si>
  <si>
    <t>1. Добрянский Денис</t>
  </si>
  <si>
    <t>Открытая (06.12.1977)/40</t>
  </si>
  <si>
    <t>-. Майоров Владимир</t>
  </si>
  <si>
    <t>Открытая (14.08.1987)/31</t>
  </si>
  <si>
    <t>98,00</t>
  </si>
  <si>
    <t>1. Евстигнеев Михаил</t>
  </si>
  <si>
    <t>Открытая (21.06.1976)/42</t>
  </si>
  <si>
    <t>104,00</t>
  </si>
  <si>
    <t xml:space="preserve">Козлов В.В. </t>
  </si>
  <si>
    <t>Ветераны 40 - 44 (21.06.1976)/42</t>
  </si>
  <si>
    <t>1. Борисова Ирина</t>
  </si>
  <si>
    <t>Открытая (07.12.1981)/36</t>
  </si>
  <si>
    <t>60,60</t>
  </si>
  <si>
    <t xml:space="preserve">Мишенин С.В. </t>
  </si>
  <si>
    <t>1. Сафарова Наталья</t>
  </si>
  <si>
    <t>Открытая (03.05.1988)/30</t>
  </si>
  <si>
    <t xml:space="preserve">Лохадынов А. </t>
  </si>
  <si>
    <t>1. Лаврищева Наталья</t>
  </si>
  <si>
    <t>Ветераны 40 - 44 (09.09.1974)/44</t>
  </si>
  <si>
    <t>70,30</t>
  </si>
  <si>
    <t>1. Космос Дмитрий</t>
  </si>
  <si>
    <t>Открытая (25.07.1994)/24</t>
  </si>
  <si>
    <t>1. Кабашов Дмитрий</t>
  </si>
  <si>
    <t>Юниоры 20 - 23 (06.11.1996)/21</t>
  </si>
  <si>
    <t>81,00</t>
  </si>
  <si>
    <t xml:space="preserve">Прадед А. </t>
  </si>
  <si>
    <t>1. Щекунов Алексей</t>
  </si>
  <si>
    <t>Открытая (17.07.1984)/34</t>
  </si>
  <si>
    <t>88,00</t>
  </si>
  <si>
    <t>1. Сагитов Марат</t>
  </si>
  <si>
    <t>Ветераны 45 - 49 (05.03.1971)/47</t>
  </si>
  <si>
    <t>85,20</t>
  </si>
  <si>
    <t>1. Рождествин Владимир</t>
  </si>
  <si>
    <t>Открытая (12.02.1984)/34</t>
  </si>
  <si>
    <t>103,30</t>
  </si>
  <si>
    <t xml:space="preserve">Щекунов А.А. </t>
  </si>
  <si>
    <t>1. Стасенко Герман</t>
  </si>
  <si>
    <t>Ветераны 45 - 49 (28.08.1969)/49</t>
  </si>
  <si>
    <t>1. Лукасевич Мария</t>
  </si>
  <si>
    <t>Открытая (28.04.1989)/29</t>
  </si>
  <si>
    <t>47,70</t>
  </si>
  <si>
    <t>2. Деомидова Елена</t>
  </si>
  <si>
    <t>Открытая (07.04.1984)/34</t>
  </si>
  <si>
    <t>47,30</t>
  </si>
  <si>
    <t xml:space="preserve">Устинов Н.Н </t>
  </si>
  <si>
    <t>1. Чобану Елена</t>
  </si>
  <si>
    <t>Открытая (14.12.1990)/27</t>
  </si>
  <si>
    <t>51,30</t>
  </si>
  <si>
    <t>2. Булкина Мария</t>
  </si>
  <si>
    <t>Открытая (24.07.1984)/34</t>
  </si>
  <si>
    <t xml:space="preserve">Овчаров С. </t>
  </si>
  <si>
    <t>3. Романенкова Евгения</t>
  </si>
  <si>
    <t>Открытая (27.11.1987)/30</t>
  </si>
  <si>
    <t>49,50</t>
  </si>
  <si>
    <t>1. Демина Лариса</t>
  </si>
  <si>
    <t>Девушки 16 - 19 (27.07.2001)/17</t>
  </si>
  <si>
    <t xml:space="preserve">Афонасьев Н. </t>
  </si>
  <si>
    <t>Левенкова Наталья</t>
  </si>
  <si>
    <t>1. Левенкова Наталья</t>
  </si>
  <si>
    <t>Открытая (16.09.1988)/30</t>
  </si>
  <si>
    <t>54,40</t>
  </si>
  <si>
    <t>2. Демина Лариса</t>
  </si>
  <si>
    <t>Открытая (27.07.2001)/17</t>
  </si>
  <si>
    <t>1. Мигаева Лидия</t>
  </si>
  <si>
    <t>Ветераны 40 - 44 (20.10.1974)/43</t>
  </si>
  <si>
    <t xml:space="preserve">Акиньшин П.С. </t>
  </si>
  <si>
    <t>1. Утятникова Ирина</t>
  </si>
  <si>
    <t>Юниорки 20 - 23 (14.07.1998)/20</t>
  </si>
  <si>
    <t>59,70</t>
  </si>
  <si>
    <t>1. Жаткина Татьяна</t>
  </si>
  <si>
    <t>Открытая (16.01.1991)/27</t>
  </si>
  <si>
    <t>67,40</t>
  </si>
  <si>
    <t xml:space="preserve">Лазарев В.В., Маркин Н. </t>
  </si>
  <si>
    <t>1. Кафтайлова Наталья</t>
  </si>
  <si>
    <t>Ветераны 55 - 59 (24.08.1960)/58</t>
  </si>
  <si>
    <t>67,20</t>
  </si>
  <si>
    <t xml:space="preserve">Афанасьев Н.Н. </t>
  </si>
  <si>
    <t>1. Федюнина Алиса</t>
  </si>
  <si>
    <t>Юниорки 20 - 23 (24.07.1997)/21</t>
  </si>
  <si>
    <t xml:space="preserve">Мищенко С. </t>
  </si>
  <si>
    <t>1. Васильева Екатерина</t>
  </si>
  <si>
    <t>Ветераны 40 - 44 (07.09.1976)/42</t>
  </si>
  <si>
    <t>1. Лядов Евгений</t>
  </si>
  <si>
    <t>Открытая (16.07.1984)/34</t>
  </si>
  <si>
    <t>65,20</t>
  </si>
  <si>
    <t>1. Исаченко Артем</t>
  </si>
  <si>
    <t>Открытая (16.02.1987)/31</t>
  </si>
  <si>
    <t>71,30</t>
  </si>
  <si>
    <t>Евсеев Сергей</t>
  </si>
  <si>
    <t>1. Евсеев Сергей</t>
  </si>
  <si>
    <t>Открытая (09.10.1990)/27</t>
  </si>
  <si>
    <t>78,20</t>
  </si>
  <si>
    <t xml:space="preserve">Великие Луки/Псковская область </t>
  </si>
  <si>
    <t>260,5</t>
  </si>
  <si>
    <t xml:space="preserve">Евсеев М.И. </t>
  </si>
  <si>
    <t>2. Дмитриев Евгений</t>
  </si>
  <si>
    <t>Открытая (27.06.1993)/25</t>
  </si>
  <si>
    <t>3. Холодный Станислав</t>
  </si>
  <si>
    <t>202,5</t>
  </si>
  <si>
    <t>4. Семенов Роман</t>
  </si>
  <si>
    <t>Открытая (12.07.1988)/30</t>
  </si>
  <si>
    <t>-. Алешин Олег</t>
  </si>
  <si>
    <t>Открытая (15.09.1985)/33</t>
  </si>
  <si>
    <t>81,30</t>
  </si>
  <si>
    <t xml:space="preserve">Морозов Н. </t>
  </si>
  <si>
    <t>1. Гвоздев Алексей</t>
  </si>
  <si>
    <t>Ветераны 45 - 49 (27.03.1972)/46</t>
  </si>
  <si>
    <t>82,20</t>
  </si>
  <si>
    <t>Бубенцов Юрий</t>
  </si>
  <si>
    <t>1. Бубенцов Юрий</t>
  </si>
  <si>
    <t>Открытая (28.07.1988)/30</t>
  </si>
  <si>
    <t>89,90</t>
  </si>
  <si>
    <t xml:space="preserve">Зубков П. </t>
  </si>
  <si>
    <t>2. Храбров Антон</t>
  </si>
  <si>
    <t>1. Кожаткин Дмитрий</t>
  </si>
  <si>
    <t>Ветераны 40 - 44 (10.06.1978)/40</t>
  </si>
  <si>
    <t>88,40</t>
  </si>
  <si>
    <t>1. Буторин Михаил</t>
  </si>
  <si>
    <t>Ветераны 45 - 49 (14.01.1971)/47</t>
  </si>
  <si>
    <t>84,80</t>
  </si>
  <si>
    <t>Моисеев Роман</t>
  </si>
  <si>
    <t>1. Моисеев Роман</t>
  </si>
  <si>
    <t>Открытая (27.11.1990)/27</t>
  </si>
  <si>
    <t>95,70</t>
  </si>
  <si>
    <t xml:space="preserve">Кубинка/Московская область </t>
  </si>
  <si>
    <t>2. Пленкин Денис</t>
  </si>
  <si>
    <t>Открытая (19.05.1974)/44</t>
  </si>
  <si>
    <t>3. Кондрашов Максим</t>
  </si>
  <si>
    <t>Открытая (26.11.1988)/29</t>
  </si>
  <si>
    <t>95,80</t>
  </si>
  <si>
    <t xml:space="preserve">Брехов Р. </t>
  </si>
  <si>
    <t>1. Пленкин Денис</t>
  </si>
  <si>
    <t>Ветераны 40 - 44 (19.05.1974)/44</t>
  </si>
  <si>
    <t>1. Гапошко Андрей</t>
  </si>
  <si>
    <t>Открытая (11.04.1986)/32</t>
  </si>
  <si>
    <t>106,80</t>
  </si>
  <si>
    <t>165,4950</t>
  </si>
  <si>
    <t>173,1750</t>
  </si>
  <si>
    <t>158,1000</t>
  </si>
  <si>
    <t>153,3120</t>
  </si>
  <si>
    <t>1. Колесникова Татьяна</t>
  </si>
  <si>
    <t>Ветераны 40 - 44 (17.03.1978)/40</t>
  </si>
  <si>
    <t>65,40</t>
  </si>
  <si>
    <t xml:space="preserve">Монахова М. А. </t>
  </si>
  <si>
    <t>1. Журавлев Михаил</t>
  </si>
  <si>
    <t>Открытая (09.08.1988)/30</t>
  </si>
  <si>
    <t>1. Беляев Роман</t>
  </si>
  <si>
    <t>Ветераны 40 - 44 (22.01.1976)/42</t>
  </si>
  <si>
    <t>97,10</t>
  </si>
  <si>
    <t>Gloss</t>
  </si>
  <si>
    <t>1. Милохова Алена</t>
  </si>
  <si>
    <t>Открытая (30.01.1991)/27</t>
  </si>
  <si>
    <t>59,20</t>
  </si>
  <si>
    <t>11,0</t>
  </si>
  <si>
    <t>1. Рузибадалов Турсунали</t>
  </si>
  <si>
    <t>Открытая (02.06.1994)/24</t>
  </si>
  <si>
    <t>53,40</t>
  </si>
  <si>
    <t>17,0</t>
  </si>
  <si>
    <t>Заболотников Иван</t>
  </si>
  <si>
    <t>1. Заболотников Иван</t>
  </si>
  <si>
    <t>Открытая (17.06.1979)/39</t>
  </si>
  <si>
    <t>64,10</t>
  </si>
  <si>
    <t xml:space="preserve">Королёв/Московская область </t>
  </si>
  <si>
    <t>123,0</t>
  </si>
  <si>
    <t xml:space="preserve">Никулин Е. </t>
  </si>
  <si>
    <t>1. Иванов Максим</t>
  </si>
  <si>
    <t>Открытая (14.01.1985)/33</t>
  </si>
  <si>
    <t>84,70</t>
  </si>
  <si>
    <t>26,0</t>
  </si>
  <si>
    <t xml:space="preserve">Gloss </t>
  </si>
  <si>
    <t>7995,0</t>
  </si>
  <si>
    <t>6259,6851</t>
  </si>
  <si>
    <t>Жим мн. повт.</t>
  </si>
  <si>
    <t>Вес</t>
  </si>
  <si>
    <t>Повторы</t>
  </si>
  <si>
    <t>Тоннаж</t>
  </si>
  <si>
    <t>1. Кричмар Ольга</t>
  </si>
  <si>
    <t>10,0</t>
  </si>
  <si>
    <t>Грачева Ольга</t>
  </si>
  <si>
    <t>1. Грачева Ольга</t>
  </si>
  <si>
    <t>Открытая (19.09.1978)/40</t>
  </si>
  <si>
    <t>72,00</t>
  </si>
  <si>
    <t>19,0</t>
  </si>
  <si>
    <t xml:space="preserve">Заболотников И.А. </t>
  </si>
  <si>
    <t>Никитин Роман</t>
  </si>
  <si>
    <t>1. Никитин Роман</t>
  </si>
  <si>
    <t>Открытая (20.03.1993)/25</t>
  </si>
  <si>
    <t>71,80</t>
  </si>
  <si>
    <t xml:space="preserve">Луховицы/Московская область </t>
  </si>
  <si>
    <t>2. Балугин Николай</t>
  </si>
  <si>
    <t>Открытая (24.07.1987)/31</t>
  </si>
  <si>
    <t>27,0</t>
  </si>
  <si>
    <t xml:space="preserve">Корнишин В.В. </t>
  </si>
  <si>
    <t>1. Мишин Николай</t>
  </si>
  <si>
    <t>Открытая (22.12.1982)/35</t>
  </si>
  <si>
    <t>76,90</t>
  </si>
  <si>
    <t xml:space="preserve">Чеботарев А.О. </t>
  </si>
  <si>
    <t>2. Дурнев Максим</t>
  </si>
  <si>
    <t>Открытая (20.07.1989)/29</t>
  </si>
  <si>
    <t>Терехин Юрий</t>
  </si>
  <si>
    <t>1. Терехин Юрий</t>
  </si>
  <si>
    <t>Открытая (23.05.1975)/43</t>
  </si>
  <si>
    <t>84,50</t>
  </si>
  <si>
    <t>38,0</t>
  </si>
  <si>
    <t xml:space="preserve">Барышников А. </t>
  </si>
  <si>
    <t>Измайлов Константин</t>
  </si>
  <si>
    <t>2. Измайлов Константин</t>
  </si>
  <si>
    <t>Открытая (04.04.1991)/27</t>
  </si>
  <si>
    <t xml:space="preserve">Заболотников И. </t>
  </si>
  <si>
    <t>1. Меженин Иван</t>
  </si>
  <si>
    <t>Мастера 40 - 49 (08.01.1973)/45</t>
  </si>
  <si>
    <t>Мастера 40 - 49 (03.03.1970)/48</t>
  </si>
  <si>
    <t>1. Наумов Андрей</t>
  </si>
  <si>
    <t>22,0</t>
  </si>
  <si>
    <t>1. Савин Руслан</t>
  </si>
  <si>
    <t>Открытая (26.12.1978)/39</t>
  </si>
  <si>
    <t>125,90</t>
  </si>
  <si>
    <t xml:space="preserve">Никитин С.И. </t>
  </si>
  <si>
    <t>1377,5</t>
  </si>
  <si>
    <t>1184,0301</t>
  </si>
  <si>
    <t>599,8200</t>
  </si>
  <si>
    <t>11600,0</t>
  </si>
  <si>
    <t>8255,7203</t>
  </si>
  <si>
    <t>3230,0</t>
  </si>
  <si>
    <t>2050,8884</t>
  </si>
  <si>
    <t>3150,0</t>
  </si>
  <si>
    <t>1945,7549</t>
  </si>
  <si>
    <t>Попов Максим</t>
  </si>
  <si>
    <t>1. Попов Максим</t>
  </si>
  <si>
    <t>Открытая (03.09.1984)/34</t>
  </si>
  <si>
    <t>61,40</t>
  </si>
  <si>
    <t xml:space="preserve">Устинов Н.Н. </t>
  </si>
  <si>
    <t>-. Елисеев Павел</t>
  </si>
  <si>
    <t>Открытая (29.01.1986)/32</t>
  </si>
  <si>
    <t>81,90</t>
  </si>
  <si>
    <t>Яруков Станислав</t>
  </si>
  <si>
    <t>1. Яруков Станислав</t>
  </si>
  <si>
    <t>Открытая (12.07.1990)/28</t>
  </si>
  <si>
    <t>330,0</t>
  </si>
  <si>
    <t>Ломанов Кирилл</t>
  </si>
  <si>
    <t>2. Ломанов Кирилл</t>
  </si>
  <si>
    <t>Открытая (15.07.1987)/31</t>
  </si>
  <si>
    <t>89,60</t>
  </si>
  <si>
    <t>Кравченко Евгений</t>
  </si>
  <si>
    <t>1. Кравченко Евгений</t>
  </si>
  <si>
    <t>Открытая (03.09.1986)/32</t>
  </si>
  <si>
    <t>94,50</t>
  </si>
  <si>
    <t>370,0</t>
  </si>
  <si>
    <t xml:space="preserve">Калита И.В. </t>
  </si>
  <si>
    <t>Ананьин Алексей</t>
  </si>
  <si>
    <t>2. Ананьин Алексей</t>
  </si>
  <si>
    <t>Открытая (28.09.1976)/42</t>
  </si>
  <si>
    <t>94,00</t>
  </si>
  <si>
    <t>Кляузов Сергей</t>
  </si>
  <si>
    <t>3. Кляузов Сергей</t>
  </si>
  <si>
    <t>Открытая (28.01.1990)/28</t>
  </si>
  <si>
    <t xml:space="preserve">Сергиев Посад/Московская область </t>
  </si>
  <si>
    <t>302,5</t>
  </si>
  <si>
    <t xml:space="preserve">Чумичев С. </t>
  </si>
  <si>
    <t>Ким Михаил</t>
  </si>
  <si>
    <t>1. Ким Михаил</t>
  </si>
  <si>
    <t>Открытая (13.11.1980)/37</t>
  </si>
  <si>
    <t>103,70</t>
  </si>
  <si>
    <t>365,0</t>
  </si>
  <si>
    <t>397,5</t>
  </si>
  <si>
    <t>Курмей Денис</t>
  </si>
  <si>
    <t>2. Курмей Денис</t>
  </si>
  <si>
    <t>Открытая (21.10.1987)/30</t>
  </si>
  <si>
    <t>108,10</t>
  </si>
  <si>
    <t xml:space="preserve">Руза/Московская область </t>
  </si>
  <si>
    <t>362,5</t>
  </si>
  <si>
    <t xml:space="preserve">Губаев Р. </t>
  </si>
  <si>
    <t>Савосин Марат</t>
  </si>
  <si>
    <t>3. Савосин Марат</t>
  </si>
  <si>
    <t>Открытая (23.10.1990)/27</t>
  </si>
  <si>
    <t>105,00</t>
  </si>
  <si>
    <t>312,5</t>
  </si>
  <si>
    <t>Бутко Андрей</t>
  </si>
  <si>
    <t>4. Бутко Андрей</t>
  </si>
  <si>
    <t>Открытая (05.05.1985)/33</t>
  </si>
  <si>
    <t>108,80</t>
  </si>
  <si>
    <t xml:space="preserve">Яхрома/Московская область </t>
  </si>
  <si>
    <t>Марченко Владимир</t>
  </si>
  <si>
    <t>1. Марченко Владимир</t>
  </si>
  <si>
    <t>Открытая (19.10.1984)/33</t>
  </si>
  <si>
    <t>123,90</t>
  </si>
  <si>
    <t xml:space="preserve">Нижний Новгород/Нижегородская </t>
  </si>
  <si>
    <t>360,0</t>
  </si>
  <si>
    <t>385,0</t>
  </si>
  <si>
    <t>Еремин Роман</t>
  </si>
  <si>
    <t>2. Еремин Роман</t>
  </si>
  <si>
    <t>Открытая (25.04.1994)/24</t>
  </si>
  <si>
    <t>115,50</t>
  </si>
  <si>
    <t>335,0</t>
  </si>
  <si>
    <t>345,0</t>
  </si>
  <si>
    <t>-. Марченко Владимир</t>
  </si>
  <si>
    <t>Открытая (22.04.1978)/40</t>
  </si>
  <si>
    <t>114,00</t>
  </si>
  <si>
    <t>Одегов Сергей</t>
  </si>
  <si>
    <t>1. Одегов Сергей</t>
  </si>
  <si>
    <t>Открытая (02.10.1976)/41</t>
  </si>
  <si>
    <t>133,80</t>
  </si>
  <si>
    <t xml:space="preserve">Пермский Край </t>
  </si>
  <si>
    <t xml:space="preserve">Пермь/Пермский край </t>
  </si>
  <si>
    <t>355,0</t>
  </si>
  <si>
    <t>Пирогов Александр</t>
  </si>
  <si>
    <t>1. Пирогов Александр</t>
  </si>
  <si>
    <t>Открытая (16.09.1984)/34</t>
  </si>
  <si>
    <t>152,40</t>
  </si>
  <si>
    <t>382,5</t>
  </si>
  <si>
    <t xml:space="preserve">Коротков М. </t>
  </si>
  <si>
    <t>230,6950</t>
  </si>
  <si>
    <t>219,0730</t>
  </si>
  <si>
    <t>208,2360</t>
  </si>
  <si>
    <t>207,0950</t>
  </si>
  <si>
    <t>205,5240</t>
  </si>
  <si>
    <t>204,6485</t>
  </si>
  <si>
    <t>204,4160</t>
  </si>
  <si>
    <t>204,2770</t>
  </si>
  <si>
    <t>195,1390</t>
  </si>
  <si>
    <t>194,4340</t>
  </si>
  <si>
    <t>193,7500</t>
  </si>
  <si>
    <t>185,3115</t>
  </si>
  <si>
    <t>182,2680</t>
  </si>
  <si>
    <t>168,2925</t>
  </si>
  <si>
    <t>Продвижение 2018
WPU ЭЛИТА Становая тяга
Москва 30 сентября 2018 г.</t>
  </si>
  <si>
    <t>.</t>
  </si>
  <si>
    <t>Продвижение 2018
WPU с ДК Народный жим 1 вес
Москва 30 сентября 2018 г.</t>
  </si>
  <si>
    <t>Продвижение 2018
WPU Народный жим 1 вес
Москва 30 сентября 2018 г.</t>
  </si>
  <si>
    <t>Продвижение 2018
WPU c ДК Становая тяга в Однослойной экипировке
Москва 30 сентября 2018 г.</t>
  </si>
  <si>
    <t>Москва</t>
  </si>
  <si>
    <t>Нижегородская</t>
  </si>
  <si>
    <t>Продвижение 2018
WPU c ДК Становая тяга Безэкипировочная
Москва 30 сентября 2018 г.</t>
  </si>
  <si>
    <t>Продвижение 2018
WPU Становая тяга Безэкипировочная
Москва 30 сентября 2018 г.</t>
  </si>
  <si>
    <t>Продвижение 2018
WPU c ДК Жим лежа в Однослойной экипировке
Москва 30 сентября 2018 г.</t>
  </si>
  <si>
    <t>Продвижение 2018
WPU Жим лежа в Однослойной экипировке
Москва 30 сентября 2018 г.</t>
  </si>
  <si>
    <t>Продвижение 2018
WPU c ДК Жим лежа Безэкипировочный
Москва 30 сентября 2018 г.</t>
  </si>
  <si>
    <t>Продвижение 2018
WPU Жим лежа Безэкипировочный
Москва 30 сентября 2018 г.</t>
  </si>
  <si>
    <t>Продвижение 2018
WPU c ДК Пауэрлифтинг в Однослойной экипировке
Москва 30 сентября 2018 г.</t>
  </si>
  <si>
    <t>Продвижение 2018
WPU c ДК Пауэрлифтинг Безэкипировочный
Москва 30 сентября 2018 г.</t>
  </si>
  <si>
    <t>Продвижение 2018
WPU Пауэрлифтинг в Однослойной экипировке
Москва 30 сентября 2018 г.</t>
  </si>
  <si>
    <t>Продвижение 2018
WPU Пауэрлифтинг Безэкипировочный
Москва 30 сентября 2018 г.</t>
  </si>
  <si>
    <t>Московская</t>
  </si>
  <si>
    <t>Продвижение 2018
WPU c ДК Пауэрлифтинг Классический
Москва 30 сентября 2018 г.</t>
  </si>
  <si>
    <t>Продвижение 2018
WPU Пауэрлифтинг Классический
Москва 30 сентября 2018 г.</t>
  </si>
  <si>
    <t>1. Шевердин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</si>
</sst>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49" fontId="0" fillId="0" borderId="15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49" fontId="0" fillId="0" borderId="14" xfId="0" applyNumberFormat="1" applyFill="1" applyBorder="1" applyAlignment="1">
      <alignment horizontal="left"/>
    </xf>
    <xf numFmtId="49" fontId="0" fillId="0" borderId="16" xfId="0" applyNumberForma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9.5703125" style="4" customWidth="1"/>
    <col min="14" max="16384" width="9.140625" style="3"/>
  </cols>
  <sheetData>
    <row r="1" spans="1:13" s="2" customFormat="1" ht="29.1" customHeight="1" x14ac:dyDescent="0.2">
      <c r="A1" s="42" t="s">
        <v>1172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3</v>
      </c>
      <c r="H3" s="37"/>
      <c r="I3" s="37"/>
      <c r="J3" s="37"/>
      <c r="K3" s="37" t="s">
        <v>552</v>
      </c>
      <c r="L3" s="37" t="s">
        <v>6</v>
      </c>
      <c r="M3" s="39" t="s">
        <v>5</v>
      </c>
    </row>
    <row r="4" spans="1:13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38"/>
      <c r="L4" s="38"/>
      <c r="M4" s="40"/>
    </row>
    <row r="5" spans="1:13" ht="15" x14ac:dyDescent="0.2">
      <c r="A5" s="41" t="s">
        <v>109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x14ac:dyDescent="0.2">
      <c r="A6" s="6" t="s">
        <v>1075</v>
      </c>
      <c r="B6" s="6" t="s">
        <v>1076</v>
      </c>
      <c r="C6" s="6" t="s">
        <v>1077</v>
      </c>
      <c r="D6" s="6" t="str">
        <f>"0,8353"</f>
        <v>0,8353</v>
      </c>
      <c r="E6" s="6" t="s">
        <v>17</v>
      </c>
      <c r="F6" s="6" t="s">
        <v>18</v>
      </c>
      <c r="G6" s="7" t="s">
        <v>45</v>
      </c>
      <c r="H6" s="7" t="s">
        <v>49</v>
      </c>
      <c r="I6" s="7" t="s">
        <v>153</v>
      </c>
      <c r="J6" s="8"/>
      <c r="K6" s="6" t="str">
        <f>"245,0"</f>
        <v>245,0</v>
      </c>
      <c r="L6" s="7" t="str">
        <f>"204,6485"</f>
        <v>204,6485</v>
      </c>
      <c r="M6" s="6" t="s">
        <v>1078</v>
      </c>
    </row>
    <row r="8" spans="1:13" ht="15" x14ac:dyDescent="0.2">
      <c r="A8" s="36" t="s">
        <v>13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3" x14ac:dyDescent="0.2">
      <c r="A9" s="6" t="s">
        <v>1079</v>
      </c>
      <c r="B9" s="6" t="s">
        <v>1080</v>
      </c>
      <c r="C9" s="6" t="s">
        <v>1081</v>
      </c>
      <c r="D9" s="6" t="str">
        <f>"0,6729"</f>
        <v>0,6729</v>
      </c>
      <c r="E9" s="6" t="s">
        <v>17</v>
      </c>
      <c r="F9" s="6" t="s">
        <v>18</v>
      </c>
      <c r="G9" s="8" t="s">
        <v>406</v>
      </c>
      <c r="H9" s="8" t="s">
        <v>406</v>
      </c>
      <c r="I9" s="8"/>
      <c r="J9" s="8"/>
      <c r="K9" s="6" t="str">
        <f>"0.00"</f>
        <v>0.00</v>
      </c>
      <c r="L9" s="7" t="str">
        <f>"0,0000"</f>
        <v>0,0000</v>
      </c>
      <c r="M9" s="6" t="s">
        <v>145</v>
      </c>
    </row>
    <row r="11" spans="1:13" ht="15" x14ac:dyDescent="0.2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3" x14ac:dyDescent="0.2">
      <c r="A12" s="9" t="s">
        <v>1083</v>
      </c>
      <c r="B12" s="9" t="s">
        <v>1084</v>
      </c>
      <c r="C12" s="9" t="s">
        <v>958</v>
      </c>
      <c r="D12" s="9" t="str">
        <f>"0,6388"</f>
        <v>0,6388</v>
      </c>
      <c r="E12" s="9" t="s">
        <v>17</v>
      </c>
      <c r="F12" s="9" t="s">
        <v>18</v>
      </c>
      <c r="G12" s="10" t="s">
        <v>226</v>
      </c>
      <c r="H12" s="10" t="s">
        <v>267</v>
      </c>
      <c r="I12" s="10" t="s">
        <v>282</v>
      </c>
      <c r="J12" s="11" t="s">
        <v>1085</v>
      </c>
      <c r="K12" s="9" t="str">
        <f>"320,0"</f>
        <v>320,0</v>
      </c>
      <c r="L12" s="10" t="str">
        <f>"204,4160"</f>
        <v>204,4160</v>
      </c>
      <c r="M12" s="9" t="s">
        <v>98</v>
      </c>
    </row>
    <row r="13" spans="1:13" x14ac:dyDescent="0.2">
      <c r="A13" s="12" t="s">
        <v>1087</v>
      </c>
      <c r="B13" s="12" t="s">
        <v>1088</v>
      </c>
      <c r="C13" s="12" t="s">
        <v>1089</v>
      </c>
      <c r="D13" s="12" t="str">
        <f>"0,6398"</f>
        <v>0,6398</v>
      </c>
      <c r="E13" s="12" t="s">
        <v>17</v>
      </c>
      <c r="F13" s="12" t="s">
        <v>18</v>
      </c>
      <c r="G13" s="13" t="s">
        <v>265</v>
      </c>
      <c r="H13" s="14" t="s">
        <v>282</v>
      </c>
      <c r="I13" s="14" t="s">
        <v>282</v>
      </c>
      <c r="J13" s="14"/>
      <c r="K13" s="12" t="str">
        <f>"305,0"</f>
        <v>305,0</v>
      </c>
      <c r="L13" s="13" t="str">
        <f>"195,1390"</f>
        <v>195,1390</v>
      </c>
      <c r="M13" s="12" t="s">
        <v>145</v>
      </c>
    </row>
    <row r="15" spans="1:13" ht="15" x14ac:dyDescent="0.2">
      <c r="A15" s="36" t="s">
        <v>39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3" x14ac:dyDescent="0.2">
      <c r="A16" s="9" t="s">
        <v>1091</v>
      </c>
      <c r="B16" s="9" t="s">
        <v>1092</v>
      </c>
      <c r="C16" s="9" t="s">
        <v>1093</v>
      </c>
      <c r="D16" s="9" t="str">
        <f>"0,6235"</f>
        <v>0,6235</v>
      </c>
      <c r="E16" s="9" t="s">
        <v>17</v>
      </c>
      <c r="F16" s="9" t="s">
        <v>18</v>
      </c>
      <c r="G16" s="10" t="s">
        <v>295</v>
      </c>
      <c r="H16" s="10" t="s">
        <v>1094</v>
      </c>
      <c r="I16" s="11" t="s">
        <v>302</v>
      </c>
      <c r="J16" s="11"/>
      <c r="K16" s="9" t="str">
        <f>"370,0"</f>
        <v>370,0</v>
      </c>
      <c r="L16" s="10" t="str">
        <f>"230,6950"</f>
        <v>230,6950</v>
      </c>
      <c r="M16" s="9" t="s">
        <v>1095</v>
      </c>
    </row>
    <row r="17" spans="1:13" x14ac:dyDescent="0.2">
      <c r="A17" s="23" t="s">
        <v>1097</v>
      </c>
      <c r="B17" s="23" t="s">
        <v>1098</v>
      </c>
      <c r="C17" s="23" t="s">
        <v>1099</v>
      </c>
      <c r="D17" s="23" t="str">
        <f>"0,6250"</f>
        <v>0,6250</v>
      </c>
      <c r="E17" s="23" t="s">
        <v>31</v>
      </c>
      <c r="F17" s="23" t="s">
        <v>381</v>
      </c>
      <c r="G17" s="24" t="s">
        <v>180</v>
      </c>
      <c r="H17" s="24" t="s">
        <v>265</v>
      </c>
      <c r="I17" s="24" t="s">
        <v>267</v>
      </c>
      <c r="J17" s="25"/>
      <c r="K17" s="23" t="str">
        <f>"310,0"</f>
        <v>310,0</v>
      </c>
      <c r="L17" s="24" t="str">
        <f>"193,7500"</f>
        <v>193,7500</v>
      </c>
      <c r="M17" s="23" t="s">
        <v>145</v>
      </c>
    </row>
    <row r="18" spans="1:13" x14ac:dyDescent="0.2">
      <c r="A18" s="12" t="s">
        <v>1101</v>
      </c>
      <c r="B18" s="12" t="s">
        <v>1102</v>
      </c>
      <c r="C18" s="12" t="s">
        <v>736</v>
      </c>
      <c r="D18" s="12" t="str">
        <f>"0,6126"</f>
        <v>0,6126</v>
      </c>
      <c r="E18" s="12" t="s">
        <v>31</v>
      </c>
      <c r="F18" s="12" t="s">
        <v>1103</v>
      </c>
      <c r="G18" s="13" t="s">
        <v>407</v>
      </c>
      <c r="H18" s="13" t="s">
        <v>1104</v>
      </c>
      <c r="I18" s="14" t="s">
        <v>282</v>
      </c>
      <c r="J18" s="14"/>
      <c r="K18" s="12" t="str">
        <f>"302,5"</f>
        <v>302,5</v>
      </c>
      <c r="L18" s="13" t="str">
        <f>"185,3115"</f>
        <v>185,3115</v>
      </c>
      <c r="M18" s="12" t="s">
        <v>1105</v>
      </c>
    </row>
    <row r="20" spans="1:13" ht="15" x14ac:dyDescent="0.2">
      <c r="A20" s="36" t="s">
        <v>158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3" x14ac:dyDescent="0.2">
      <c r="A21" s="9" t="s">
        <v>1107</v>
      </c>
      <c r="B21" s="9" t="s">
        <v>1108</v>
      </c>
      <c r="C21" s="9" t="s">
        <v>1109</v>
      </c>
      <c r="D21" s="9" t="str">
        <f>"0,6002"</f>
        <v>0,6002</v>
      </c>
      <c r="E21" s="9" t="s">
        <v>17</v>
      </c>
      <c r="F21" s="9" t="s">
        <v>18</v>
      </c>
      <c r="G21" s="10" t="s">
        <v>1085</v>
      </c>
      <c r="H21" s="10" t="s">
        <v>1110</v>
      </c>
      <c r="I21" s="11" t="s">
        <v>1111</v>
      </c>
      <c r="J21" s="11"/>
      <c r="K21" s="9" t="str">
        <f>"365,0"</f>
        <v>365,0</v>
      </c>
      <c r="L21" s="10" t="str">
        <f>"219,0730"</f>
        <v>219,0730</v>
      </c>
      <c r="M21" s="9" t="s">
        <v>98</v>
      </c>
    </row>
    <row r="22" spans="1:13" x14ac:dyDescent="0.2">
      <c r="A22" s="23" t="s">
        <v>1113</v>
      </c>
      <c r="B22" s="23" t="s">
        <v>1114</v>
      </c>
      <c r="C22" s="23" t="s">
        <v>1115</v>
      </c>
      <c r="D22" s="23" t="str">
        <f>"0,5917"</f>
        <v>0,5917</v>
      </c>
      <c r="E22" s="23" t="s">
        <v>31</v>
      </c>
      <c r="F22" s="23" t="s">
        <v>1116</v>
      </c>
      <c r="G22" s="24" t="s">
        <v>282</v>
      </c>
      <c r="H22" s="24" t="s">
        <v>405</v>
      </c>
      <c r="I22" s="24" t="s">
        <v>295</v>
      </c>
      <c r="J22" s="24" t="s">
        <v>1117</v>
      </c>
      <c r="K22" s="23" t="str">
        <f>"350,0"</f>
        <v>350,0</v>
      </c>
      <c r="L22" s="24" t="str">
        <f>"207,0950"</f>
        <v>207,0950</v>
      </c>
      <c r="M22" s="23" t="s">
        <v>1118</v>
      </c>
    </row>
    <row r="23" spans="1:13" x14ac:dyDescent="0.2">
      <c r="A23" s="23" t="s">
        <v>1120</v>
      </c>
      <c r="B23" s="23" t="s">
        <v>1121</v>
      </c>
      <c r="C23" s="23" t="s">
        <v>1122</v>
      </c>
      <c r="D23" s="23" t="str">
        <f>"0,5976"</f>
        <v>0,5976</v>
      </c>
      <c r="E23" s="23" t="s">
        <v>31</v>
      </c>
      <c r="F23" s="23" t="s">
        <v>250</v>
      </c>
      <c r="G23" s="24" t="s">
        <v>265</v>
      </c>
      <c r="H23" s="25" t="s">
        <v>1123</v>
      </c>
      <c r="I23" s="25" t="s">
        <v>1123</v>
      </c>
      <c r="J23" s="25"/>
      <c r="K23" s="23" t="str">
        <f>"305,0"</f>
        <v>305,0</v>
      </c>
      <c r="L23" s="24" t="str">
        <f>"182,2680"</f>
        <v>182,2680</v>
      </c>
      <c r="M23" s="23" t="s">
        <v>145</v>
      </c>
    </row>
    <row r="24" spans="1:13" x14ac:dyDescent="0.2">
      <c r="A24" s="12" t="s">
        <v>1125</v>
      </c>
      <c r="B24" s="12" t="s">
        <v>1126</v>
      </c>
      <c r="C24" s="12" t="s">
        <v>1127</v>
      </c>
      <c r="D24" s="12" t="str">
        <f>"0,5905"</f>
        <v>0,5905</v>
      </c>
      <c r="E24" s="12" t="s">
        <v>31</v>
      </c>
      <c r="F24" s="12" t="s">
        <v>1128</v>
      </c>
      <c r="G24" s="13" t="s">
        <v>407</v>
      </c>
      <c r="H24" s="14" t="s">
        <v>180</v>
      </c>
      <c r="I24" s="14"/>
      <c r="J24" s="14"/>
      <c r="K24" s="12" t="str">
        <f>"285,0"</f>
        <v>285,0</v>
      </c>
      <c r="L24" s="13" t="str">
        <f>"168,2925"</f>
        <v>168,2925</v>
      </c>
      <c r="M24" s="12" t="s">
        <v>145</v>
      </c>
    </row>
    <row r="26" spans="1:13" ht="15" x14ac:dyDescent="0.2">
      <c r="A26" s="36" t="s">
        <v>276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3" x14ac:dyDescent="0.2">
      <c r="A27" s="9" t="s">
        <v>1130</v>
      </c>
      <c r="B27" s="9" t="s">
        <v>1131</v>
      </c>
      <c r="C27" s="9" t="s">
        <v>1132</v>
      </c>
      <c r="D27" s="9" t="str">
        <f>"0,5709"</f>
        <v>0,5709</v>
      </c>
      <c r="E27" s="34" t="s">
        <v>1178</v>
      </c>
      <c r="F27" s="9" t="s">
        <v>1133</v>
      </c>
      <c r="G27" s="10" t="s">
        <v>1134</v>
      </c>
      <c r="H27" s="11" t="s">
        <v>1135</v>
      </c>
      <c r="I27" s="11" t="s">
        <v>1135</v>
      </c>
      <c r="J27" s="11"/>
      <c r="K27" s="9" t="str">
        <f>"360,0"</f>
        <v>360,0</v>
      </c>
      <c r="L27" s="10" t="str">
        <f>"205,5240"</f>
        <v>205,5240</v>
      </c>
      <c r="M27" s="9" t="s">
        <v>98</v>
      </c>
    </row>
    <row r="28" spans="1:13" x14ac:dyDescent="0.2">
      <c r="A28" s="23" t="s">
        <v>1137</v>
      </c>
      <c r="B28" s="23" t="s">
        <v>1138</v>
      </c>
      <c r="C28" s="23" t="s">
        <v>1139</v>
      </c>
      <c r="D28" s="23" t="str">
        <f>"0,5804"</f>
        <v>0,5804</v>
      </c>
      <c r="E28" s="23" t="s">
        <v>17</v>
      </c>
      <c r="F28" s="23" t="s">
        <v>18</v>
      </c>
      <c r="G28" s="24" t="s">
        <v>282</v>
      </c>
      <c r="H28" s="24" t="s">
        <v>1140</v>
      </c>
      <c r="I28" s="25" t="s">
        <v>1141</v>
      </c>
      <c r="J28" s="25"/>
      <c r="K28" s="23" t="str">
        <f>"335,0"</f>
        <v>335,0</v>
      </c>
      <c r="L28" s="24" t="str">
        <f>"194,4340"</f>
        <v>194,4340</v>
      </c>
      <c r="M28" s="23" t="s">
        <v>145</v>
      </c>
    </row>
    <row r="29" spans="1:13" x14ac:dyDescent="0.2">
      <c r="A29" s="12" t="s">
        <v>1142</v>
      </c>
      <c r="B29" s="12" t="s">
        <v>1143</v>
      </c>
      <c r="C29" s="12" t="s">
        <v>1144</v>
      </c>
      <c r="D29" s="12" t="str">
        <f>"0,5824"</f>
        <v>0,5824</v>
      </c>
      <c r="E29" s="12" t="s">
        <v>17</v>
      </c>
      <c r="F29" s="12" t="s">
        <v>18</v>
      </c>
      <c r="G29" s="14" t="s">
        <v>405</v>
      </c>
      <c r="H29" s="14"/>
      <c r="I29" s="14"/>
      <c r="J29" s="14"/>
      <c r="K29" s="12" t="str">
        <f>"0.00"</f>
        <v>0.00</v>
      </c>
      <c r="L29" s="13" t="str">
        <f>"0,0000"</f>
        <v>0,0000</v>
      </c>
      <c r="M29" s="32" t="s">
        <v>1173</v>
      </c>
    </row>
    <row r="31" spans="1:13" ht="15" x14ac:dyDescent="0.2">
      <c r="A31" s="36" t="s">
        <v>290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3" x14ac:dyDescent="0.2">
      <c r="A32" s="6" t="s">
        <v>1146</v>
      </c>
      <c r="B32" s="6" t="s">
        <v>1147</v>
      </c>
      <c r="C32" s="6" t="s">
        <v>1148</v>
      </c>
      <c r="D32" s="6" t="str">
        <f>"0,5628"</f>
        <v>0,5628</v>
      </c>
      <c r="E32" s="6" t="s">
        <v>1149</v>
      </c>
      <c r="F32" s="6" t="s">
        <v>1150</v>
      </c>
      <c r="G32" s="7" t="s">
        <v>405</v>
      </c>
      <c r="H32" s="7" t="s">
        <v>1151</v>
      </c>
      <c r="I32" s="7" t="s">
        <v>1094</v>
      </c>
      <c r="J32" s="8"/>
      <c r="K32" s="6" t="str">
        <f>"370,0"</f>
        <v>370,0</v>
      </c>
      <c r="L32" s="7" t="str">
        <f>"208,2360"</f>
        <v>208,2360</v>
      </c>
      <c r="M32" s="6" t="s">
        <v>98</v>
      </c>
    </row>
    <row r="34" spans="1:13" ht="15" x14ac:dyDescent="0.2">
      <c r="A34" s="36" t="s">
        <v>173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3" x14ac:dyDescent="0.2">
      <c r="A35" s="6" t="s">
        <v>1153</v>
      </c>
      <c r="B35" s="6" t="s">
        <v>1154</v>
      </c>
      <c r="C35" s="6" t="s">
        <v>1155</v>
      </c>
      <c r="D35" s="6" t="str">
        <f>"0,5521"</f>
        <v>0,5521</v>
      </c>
      <c r="E35" s="6" t="s">
        <v>17</v>
      </c>
      <c r="F35" s="6" t="s">
        <v>18</v>
      </c>
      <c r="G35" s="7" t="s">
        <v>405</v>
      </c>
      <c r="H35" s="7" t="s">
        <v>1094</v>
      </c>
      <c r="I35" s="8" t="s">
        <v>1156</v>
      </c>
      <c r="J35" s="8"/>
      <c r="K35" s="6" t="str">
        <f>"370,0"</f>
        <v>370,0</v>
      </c>
      <c r="L35" s="7" t="str">
        <f>"204,2770"</f>
        <v>204,2770</v>
      </c>
      <c r="M35" s="6" t="s">
        <v>1157</v>
      </c>
    </row>
    <row r="37" spans="1:13" ht="15" x14ac:dyDescent="0.2">
      <c r="E37" s="15" t="s">
        <v>57</v>
      </c>
    </row>
    <row r="38" spans="1:13" ht="15" x14ac:dyDescent="0.2">
      <c r="E38" s="15" t="s">
        <v>58</v>
      </c>
    </row>
    <row r="39" spans="1:13" ht="15" x14ac:dyDescent="0.2">
      <c r="E39" s="15"/>
    </row>
    <row r="41" spans="1:13" ht="18" x14ac:dyDescent="0.25">
      <c r="A41" s="16" t="s">
        <v>62</v>
      </c>
      <c r="B41" s="16"/>
    </row>
    <row r="42" spans="1:13" ht="15" x14ac:dyDescent="0.2">
      <c r="A42" s="17" t="s">
        <v>63</v>
      </c>
      <c r="B42" s="17"/>
    </row>
    <row r="43" spans="1:13" ht="14.25" x14ac:dyDescent="0.2">
      <c r="A43" s="19"/>
      <c r="B43" s="20" t="s">
        <v>64</v>
      </c>
    </row>
    <row r="44" spans="1:13" ht="15" x14ac:dyDescent="0.2">
      <c r="A44" s="21" t="s">
        <v>65</v>
      </c>
      <c r="B44" s="21" t="s">
        <v>66</v>
      </c>
      <c r="C44" s="21" t="s">
        <v>67</v>
      </c>
      <c r="D44" s="21" t="s">
        <v>68</v>
      </c>
      <c r="E44" s="21" t="s">
        <v>69</v>
      </c>
    </row>
    <row r="45" spans="1:13" x14ac:dyDescent="0.2">
      <c r="A45" s="18" t="s">
        <v>1090</v>
      </c>
      <c r="B45" s="4" t="s">
        <v>64</v>
      </c>
      <c r="C45" s="4" t="s">
        <v>19</v>
      </c>
      <c r="D45" s="4" t="s">
        <v>1094</v>
      </c>
      <c r="E45" s="22" t="s">
        <v>1158</v>
      </c>
    </row>
    <row r="46" spans="1:13" x14ac:dyDescent="0.2">
      <c r="A46" s="18" t="s">
        <v>1106</v>
      </c>
      <c r="B46" s="4" t="s">
        <v>64</v>
      </c>
      <c r="C46" s="4" t="s">
        <v>20</v>
      </c>
      <c r="D46" s="4" t="s">
        <v>1110</v>
      </c>
      <c r="E46" s="22" t="s">
        <v>1159</v>
      </c>
    </row>
    <row r="47" spans="1:13" x14ac:dyDescent="0.2">
      <c r="A47" s="18" t="s">
        <v>1145</v>
      </c>
      <c r="B47" s="4" t="s">
        <v>64</v>
      </c>
      <c r="C47" s="4" t="s">
        <v>25</v>
      </c>
      <c r="D47" s="4" t="s">
        <v>1094</v>
      </c>
      <c r="E47" s="22" t="s">
        <v>1160</v>
      </c>
    </row>
    <row r="48" spans="1:13" x14ac:dyDescent="0.2">
      <c r="A48" s="18" t="s">
        <v>1112</v>
      </c>
      <c r="B48" s="4" t="s">
        <v>64</v>
      </c>
      <c r="C48" s="4" t="s">
        <v>20</v>
      </c>
      <c r="D48" s="4" t="s">
        <v>295</v>
      </c>
      <c r="E48" s="22" t="s">
        <v>1161</v>
      </c>
    </row>
    <row r="49" spans="1:5" x14ac:dyDescent="0.2">
      <c r="A49" s="18" t="s">
        <v>1129</v>
      </c>
      <c r="B49" s="4" t="s">
        <v>64</v>
      </c>
      <c r="C49" s="4" t="s">
        <v>36</v>
      </c>
      <c r="D49" s="4" t="s">
        <v>1134</v>
      </c>
      <c r="E49" s="22" t="s">
        <v>1162</v>
      </c>
    </row>
    <row r="50" spans="1:5" x14ac:dyDescent="0.2">
      <c r="A50" s="18" t="s">
        <v>1074</v>
      </c>
      <c r="B50" s="4" t="s">
        <v>64</v>
      </c>
      <c r="C50" s="4" t="s">
        <v>93</v>
      </c>
      <c r="D50" s="4" t="s">
        <v>153</v>
      </c>
      <c r="E50" s="22" t="s">
        <v>1163</v>
      </c>
    </row>
    <row r="51" spans="1:5" x14ac:dyDescent="0.2">
      <c r="A51" s="18" t="s">
        <v>1082</v>
      </c>
      <c r="B51" s="4" t="s">
        <v>64</v>
      </c>
      <c r="C51" s="4" t="s">
        <v>70</v>
      </c>
      <c r="D51" s="4" t="s">
        <v>282</v>
      </c>
      <c r="E51" s="22" t="s">
        <v>1164</v>
      </c>
    </row>
    <row r="52" spans="1:5" x14ac:dyDescent="0.2">
      <c r="A52" s="18" t="s">
        <v>1152</v>
      </c>
      <c r="B52" s="4" t="s">
        <v>64</v>
      </c>
      <c r="C52" s="4" t="s">
        <v>188</v>
      </c>
      <c r="D52" s="4" t="s">
        <v>1094</v>
      </c>
      <c r="E52" s="22" t="s">
        <v>1165</v>
      </c>
    </row>
    <row r="53" spans="1:5" x14ac:dyDescent="0.2">
      <c r="A53" s="18" t="s">
        <v>1086</v>
      </c>
      <c r="B53" s="4" t="s">
        <v>64</v>
      </c>
      <c r="C53" s="4" t="s">
        <v>70</v>
      </c>
      <c r="D53" s="4" t="s">
        <v>265</v>
      </c>
      <c r="E53" s="22" t="s">
        <v>1166</v>
      </c>
    </row>
    <row r="54" spans="1:5" x14ac:dyDescent="0.2">
      <c r="A54" s="18" t="s">
        <v>1136</v>
      </c>
      <c r="B54" s="4" t="s">
        <v>64</v>
      </c>
      <c r="C54" s="4" t="s">
        <v>36</v>
      </c>
      <c r="D54" s="4" t="s">
        <v>1140</v>
      </c>
      <c r="E54" s="22" t="s">
        <v>1167</v>
      </c>
    </row>
    <row r="55" spans="1:5" x14ac:dyDescent="0.2">
      <c r="A55" s="18" t="s">
        <v>1096</v>
      </c>
      <c r="B55" s="4" t="s">
        <v>64</v>
      </c>
      <c r="C55" s="4" t="s">
        <v>19</v>
      </c>
      <c r="D55" s="4" t="s">
        <v>267</v>
      </c>
      <c r="E55" s="22" t="s">
        <v>1168</v>
      </c>
    </row>
    <row r="56" spans="1:5" x14ac:dyDescent="0.2">
      <c r="A56" s="18" t="s">
        <v>1100</v>
      </c>
      <c r="B56" s="4" t="s">
        <v>64</v>
      </c>
      <c r="C56" s="4" t="s">
        <v>19</v>
      </c>
      <c r="D56" s="4" t="s">
        <v>1104</v>
      </c>
      <c r="E56" s="22" t="s">
        <v>1169</v>
      </c>
    </row>
    <row r="57" spans="1:5" x14ac:dyDescent="0.2">
      <c r="A57" s="18" t="s">
        <v>1119</v>
      </c>
      <c r="B57" s="4" t="s">
        <v>64</v>
      </c>
      <c r="C57" s="4" t="s">
        <v>20</v>
      </c>
      <c r="D57" s="4" t="s">
        <v>265</v>
      </c>
      <c r="E57" s="22" t="s">
        <v>1170</v>
      </c>
    </row>
    <row r="58" spans="1:5" x14ac:dyDescent="0.2">
      <c r="A58" s="18" t="s">
        <v>1124</v>
      </c>
      <c r="B58" s="4" t="s">
        <v>64</v>
      </c>
      <c r="C58" s="4" t="s">
        <v>20</v>
      </c>
      <c r="D58" s="4" t="s">
        <v>407</v>
      </c>
      <c r="E58" s="22" t="s">
        <v>1171</v>
      </c>
    </row>
  </sheetData>
  <mergeCells count="19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15:L15"/>
    <mergeCell ref="A20:L20"/>
    <mergeCell ref="A26:L26"/>
    <mergeCell ref="A31:L31"/>
    <mergeCell ref="A34:L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63" workbookViewId="0">
      <selection activeCell="A76" sqref="A76:XFD80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10" width="5.5703125" style="3" bestFit="1" customWidth="1"/>
    <col min="11" max="11" width="11" style="4" customWidth="1"/>
    <col min="12" max="12" width="8.5703125" style="3" bestFit="1" customWidth="1"/>
    <col min="13" max="13" width="17.7109375" style="4" bestFit="1" customWidth="1"/>
    <col min="14" max="16384" width="9.140625" style="3"/>
  </cols>
  <sheetData>
    <row r="1" spans="1:13" s="2" customFormat="1" ht="29.1" customHeight="1" x14ac:dyDescent="0.2">
      <c r="A1" s="42" t="s">
        <v>1184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2</v>
      </c>
      <c r="H3" s="37"/>
      <c r="I3" s="37"/>
      <c r="J3" s="37"/>
      <c r="K3" s="37" t="s">
        <v>552</v>
      </c>
      <c r="L3" s="37" t="s">
        <v>6</v>
      </c>
      <c r="M3" s="39" t="s">
        <v>5</v>
      </c>
    </row>
    <row r="4" spans="1:13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38"/>
      <c r="L4" s="38"/>
      <c r="M4" s="40"/>
    </row>
    <row r="5" spans="1:13" ht="15" x14ac:dyDescent="0.2">
      <c r="A5" s="41" t="s">
        <v>202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x14ac:dyDescent="0.2">
      <c r="A6" s="9" t="s">
        <v>424</v>
      </c>
      <c r="B6" s="9" t="s">
        <v>425</v>
      </c>
      <c r="C6" s="9" t="s">
        <v>426</v>
      </c>
      <c r="D6" s="9" t="str">
        <f>"1,1525"</f>
        <v>1,1525</v>
      </c>
      <c r="E6" s="34" t="s">
        <v>31</v>
      </c>
      <c r="F6" s="9" t="s">
        <v>244</v>
      </c>
      <c r="G6" s="10" t="s">
        <v>114</v>
      </c>
      <c r="H6" s="10" t="s">
        <v>427</v>
      </c>
      <c r="I6" s="10" t="s">
        <v>193</v>
      </c>
      <c r="J6" s="11"/>
      <c r="K6" s="9" t="str">
        <f>"62,5"</f>
        <v>62,5</v>
      </c>
      <c r="L6" s="10" t="str">
        <f>"80,1708"</f>
        <v>80,1708</v>
      </c>
      <c r="M6" s="9" t="s">
        <v>98</v>
      </c>
    </row>
    <row r="7" spans="1:13" x14ac:dyDescent="0.2">
      <c r="A7" s="12" t="s">
        <v>428</v>
      </c>
      <c r="B7" s="12" t="s">
        <v>429</v>
      </c>
      <c r="C7" s="12" t="s">
        <v>430</v>
      </c>
      <c r="D7" s="12" t="str">
        <f>"1,1178"</f>
        <v>1,1178</v>
      </c>
      <c r="E7" s="12" t="s">
        <v>31</v>
      </c>
      <c r="F7" s="12" t="s">
        <v>32</v>
      </c>
      <c r="G7" s="13" t="s">
        <v>114</v>
      </c>
      <c r="H7" s="14" t="s">
        <v>106</v>
      </c>
      <c r="I7" s="14" t="s">
        <v>106</v>
      </c>
      <c r="J7" s="14"/>
      <c r="K7" s="12" t="str">
        <f>"50,0"</f>
        <v>50,0</v>
      </c>
      <c r="L7" s="13" t="str">
        <f>"68,4652"</f>
        <v>68,4652</v>
      </c>
      <c r="M7" s="12" t="s">
        <v>98</v>
      </c>
    </row>
    <row r="9" spans="1:13" ht="15" x14ac:dyDescent="0.2">
      <c r="A9" s="36" t="s">
        <v>109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3" x14ac:dyDescent="0.2">
      <c r="A10" s="6" t="s">
        <v>431</v>
      </c>
      <c r="B10" s="6" t="s">
        <v>432</v>
      </c>
      <c r="C10" s="6" t="s">
        <v>433</v>
      </c>
      <c r="D10" s="6" t="str">
        <f>"1,0539"</f>
        <v>1,0539</v>
      </c>
      <c r="E10" s="6" t="s">
        <v>31</v>
      </c>
      <c r="F10" s="6" t="s">
        <v>234</v>
      </c>
      <c r="G10" s="7" t="s">
        <v>23</v>
      </c>
      <c r="H10" s="7" t="s">
        <v>131</v>
      </c>
      <c r="I10" s="7" t="s">
        <v>36</v>
      </c>
      <c r="J10" s="8" t="s">
        <v>37</v>
      </c>
      <c r="K10" s="6" t="str">
        <f>"125,0"</f>
        <v>125,0</v>
      </c>
      <c r="L10" s="7" t="str">
        <f>"131,7375"</f>
        <v>131,7375</v>
      </c>
      <c r="M10" s="6" t="s">
        <v>98</v>
      </c>
    </row>
    <row r="12" spans="1:13" ht="15" x14ac:dyDescent="0.2">
      <c r="A12" s="36" t="s">
        <v>117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3" x14ac:dyDescent="0.2">
      <c r="A13" s="6" t="s">
        <v>434</v>
      </c>
      <c r="B13" s="6" t="s">
        <v>435</v>
      </c>
      <c r="C13" s="6" t="s">
        <v>436</v>
      </c>
      <c r="D13" s="6" t="str">
        <f>"0,9742"</f>
        <v>0,9742</v>
      </c>
      <c r="E13" s="6" t="s">
        <v>31</v>
      </c>
      <c r="F13" s="6" t="s">
        <v>32</v>
      </c>
      <c r="G13" s="7" t="s">
        <v>192</v>
      </c>
      <c r="H13" s="7" t="s">
        <v>193</v>
      </c>
      <c r="I13" s="7" t="s">
        <v>79</v>
      </c>
      <c r="J13" s="8"/>
      <c r="K13" s="6" t="str">
        <f>"65,0"</f>
        <v>65,0</v>
      </c>
      <c r="L13" s="7" t="str">
        <f>"64,5895"</f>
        <v>64,5895</v>
      </c>
      <c r="M13" s="6" t="s">
        <v>98</v>
      </c>
    </row>
    <row r="15" spans="1:13" ht="15" x14ac:dyDescent="0.2">
      <c r="A15" s="36" t="s">
        <v>13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3" x14ac:dyDescent="0.2">
      <c r="A16" s="6" t="s">
        <v>437</v>
      </c>
      <c r="B16" s="6" t="s">
        <v>438</v>
      </c>
      <c r="C16" s="6" t="s">
        <v>344</v>
      </c>
      <c r="D16" s="6" t="str">
        <f>"0,9058"</f>
        <v>0,9058</v>
      </c>
      <c r="E16" s="6" t="s">
        <v>17</v>
      </c>
      <c r="F16" s="6" t="s">
        <v>18</v>
      </c>
      <c r="G16" s="7" t="s">
        <v>93</v>
      </c>
      <c r="H16" s="7" t="s">
        <v>95</v>
      </c>
      <c r="I16" s="8" t="s">
        <v>80</v>
      </c>
      <c r="J16" s="8"/>
      <c r="K16" s="6" t="str">
        <f>"72,5"</f>
        <v>72,5</v>
      </c>
      <c r="L16" s="7" t="str">
        <f>"65,6705"</f>
        <v>65,6705</v>
      </c>
      <c r="M16" s="6" t="s">
        <v>418</v>
      </c>
    </row>
    <row r="18" spans="1:13" ht="15" x14ac:dyDescent="0.2">
      <c r="A18" s="36" t="s">
        <v>109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3" x14ac:dyDescent="0.2">
      <c r="A19" s="6" t="s">
        <v>439</v>
      </c>
      <c r="B19" s="6" t="s">
        <v>440</v>
      </c>
      <c r="C19" s="6" t="s">
        <v>441</v>
      </c>
      <c r="D19" s="6" t="str">
        <f>"0,7747"</f>
        <v>0,7747</v>
      </c>
      <c r="E19" s="6" t="s">
        <v>31</v>
      </c>
      <c r="F19" s="6" t="s">
        <v>32</v>
      </c>
      <c r="G19" s="7" t="s">
        <v>198</v>
      </c>
      <c r="H19" s="7" t="s">
        <v>306</v>
      </c>
      <c r="I19" s="8" t="s">
        <v>70</v>
      </c>
      <c r="J19" s="8"/>
      <c r="K19" s="6" t="str">
        <f>"87,5"</f>
        <v>87,5</v>
      </c>
      <c r="L19" s="7" t="str">
        <f>"67,7862"</f>
        <v>67,7862</v>
      </c>
      <c r="M19" s="6" t="s">
        <v>26</v>
      </c>
    </row>
    <row r="21" spans="1:13" ht="15" x14ac:dyDescent="0.2">
      <c r="A21" s="36" t="s">
        <v>117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3" x14ac:dyDescent="0.2">
      <c r="A22" s="9" t="s">
        <v>442</v>
      </c>
      <c r="B22" s="9" t="s">
        <v>443</v>
      </c>
      <c r="C22" s="9" t="s">
        <v>444</v>
      </c>
      <c r="D22" s="9" t="str">
        <f>"0,7293"</f>
        <v>0,7293</v>
      </c>
      <c r="E22" s="9" t="s">
        <v>17</v>
      </c>
      <c r="F22" s="9" t="s">
        <v>445</v>
      </c>
      <c r="G22" s="10" t="s">
        <v>54</v>
      </c>
      <c r="H22" s="10" t="s">
        <v>47</v>
      </c>
      <c r="I22" s="11" t="s">
        <v>253</v>
      </c>
      <c r="J22" s="11"/>
      <c r="K22" s="9" t="str">
        <f>"150,0"</f>
        <v>150,0</v>
      </c>
      <c r="L22" s="10" t="str">
        <f>"109,3950"</f>
        <v>109,3950</v>
      </c>
      <c r="M22" s="9" t="s">
        <v>98</v>
      </c>
    </row>
    <row r="23" spans="1:13" x14ac:dyDescent="0.2">
      <c r="A23" s="23" t="s">
        <v>446</v>
      </c>
      <c r="B23" s="23" t="s">
        <v>447</v>
      </c>
      <c r="C23" s="23" t="s">
        <v>448</v>
      </c>
      <c r="D23" s="23" t="str">
        <f>"0,7166"</f>
        <v>0,7166</v>
      </c>
      <c r="E23" s="23" t="s">
        <v>17</v>
      </c>
      <c r="F23" s="23" t="s">
        <v>18</v>
      </c>
      <c r="G23" s="24" t="s">
        <v>55</v>
      </c>
      <c r="H23" s="24" t="s">
        <v>21</v>
      </c>
      <c r="I23" s="24" t="s">
        <v>107</v>
      </c>
      <c r="J23" s="25"/>
      <c r="K23" s="23" t="str">
        <f>"122,5"</f>
        <v>122,5</v>
      </c>
      <c r="L23" s="24" t="str">
        <f>"87,7835"</f>
        <v>87,7835</v>
      </c>
      <c r="M23" s="23" t="s">
        <v>26</v>
      </c>
    </row>
    <row r="24" spans="1:13" x14ac:dyDescent="0.2">
      <c r="A24" s="23" t="s">
        <v>449</v>
      </c>
      <c r="B24" s="23" t="s">
        <v>450</v>
      </c>
      <c r="C24" s="23" t="s">
        <v>120</v>
      </c>
      <c r="D24" s="23" t="str">
        <f>"0,7179"</f>
        <v>0,7179</v>
      </c>
      <c r="E24" s="23" t="s">
        <v>17</v>
      </c>
      <c r="F24" s="23" t="s">
        <v>18</v>
      </c>
      <c r="G24" s="24" t="s">
        <v>70</v>
      </c>
      <c r="H24" s="24" t="s">
        <v>19</v>
      </c>
      <c r="I24" s="25" t="s">
        <v>115</v>
      </c>
      <c r="J24" s="25"/>
      <c r="K24" s="23" t="str">
        <f>"100,0"</f>
        <v>100,0</v>
      </c>
      <c r="L24" s="24" t="str">
        <f>"71,7900"</f>
        <v>71,7900</v>
      </c>
      <c r="M24" s="23" t="s">
        <v>145</v>
      </c>
    </row>
    <row r="25" spans="1:13" x14ac:dyDescent="0.2">
      <c r="A25" s="23" t="s">
        <v>451</v>
      </c>
      <c r="B25" s="23" t="s">
        <v>452</v>
      </c>
      <c r="C25" s="23" t="s">
        <v>453</v>
      </c>
      <c r="D25" s="23" t="str">
        <f>"0,7242"</f>
        <v>0,7242</v>
      </c>
      <c r="E25" s="23" t="s">
        <v>17</v>
      </c>
      <c r="F25" s="23" t="s">
        <v>18</v>
      </c>
      <c r="G25" s="24" t="s">
        <v>93</v>
      </c>
      <c r="H25" s="24" t="s">
        <v>95</v>
      </c>
      <c r="I25" s="25"/>
      <c r="J25" s="25"/>
      <c r="K25" s="23" t="str">
        <f>"72,5"</f>
        <v>72,5</v>
      </c>
      <c r="L25" s="24" t="str">
        <f>"52,5045"</f>
        <v>52,5045</v>
      </c>
      <c r="M25" s="23" t="s">
        <v>98</v>
      </c>
    </row>
    <row r="26" spans="1:13" x14ac:dyDescent="0.2">
      <c r="A26" s="23" t="s">
        <v>454</v>
      </c>
      <c r="B26" s="23" t="s">
        <v>455</v>
      </c>
      <c r="C26" s="23" t="s">
        <v>453</v>
      </c>
      <c r="D26" s="23" t="str">
        <f>"0,7242"</f>
        <v>0,7242</v>
      </c>
      <c r="E26" s="23" t="s">
        <v>17</v>
      </c>
      <c r="F26" s="23" t="s">
        <v>18</v>
      </c>
      <c r="G26" s="24" t="s">
        <v>93</v>
      </c>
      <c r="H26" s="24" t="s">
        <v>95</v>
      </c>
      <c r="I26" s="25"/>
      <c r="J26" s="25"/>
      <c r="K26" s="23" t="str">
        <f>"72,5"</f>
        <v>72,5</v>
      </c>
      <c r="L26" s="24" t="str">
        <f>"73,1388"</f>
        <v>73,1388</v>
      </c>
      <c r="M26" s="23" t="s">
        <v>98</v>
      </c>
    </row>
    <row r="27" spans="1:13" x14ac:dyDescent="0.2">
      <c r="A27" s="12" t="s">
        <v>456</v>
      </c>
      <c r="B27" s="12" t="s">
        <v>457</v>
      </c>
      <c r="C27" s="12" t="s">
        <v>458</v>
      </c>
      <c r="D27" s="12" t="str">
        <f>"0,7430"</f>
        <v>0,7430</v>
      </c>
      <c r="E27" s="12" t="s">
        <v>17</v>
      </c>
      <c r="F27" s="12" t="s">
        <v>18</v>
      </c>
      <c r="G27" s="13" t="s">
        <v>70</v>
      </c>
      <c r="H27" s="13" t="s">
        <v>19</v>
      </c>
      <c r="I27" s="14" t="s">
        <v>115</v>
      </c>
      <c r="J27" s="14"/>
      <c r="K27" s="12" t="str">
        <f>"100,0"</f>
        <v>100,0</v>
      </c>
      <c r="L27" s="13" t="str">
        <f>"119,6230"</f>
        <v>119,6230</v>
      </c>
      <c r="M27" s="12" t="s">
        <v>459</v>
      </c>
    </row>
    <row r="29" spans="1:13" ht="15" x14ac:dyDescent="0.2">
      <c r="A29" s="36" t="s">
        <v>13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3" x14ac:dyDescent="0.2">
      <c r="A30" s="6" t="s">
        <v>460</v>
      </c>
      <c r="B30" s="6" t="s">
        <v>461</v>
      </c>
      <c r="C30" s="6" t="s">
        <v>462</v>
      </c>
      <c r="D30" s="6" t="str">
        <f>"0,6779"</f>
        <v>0,6779</v>
      </c>
      <c r="E30" s="6" t="s">
        <v>17</v>
      </c>
      <c r="F30" s="6" t="s">
        <v>18</v>
      </c>
      <c r="G30" s="7" t="s">
        <v>115</v>
      </c>
      <c r="H30" s="7" t="s">
        <v>20</v>
      </c>
      <c r="I30" s="7" t="s">
        <v>55</v>
      </c>
      <c r="J30" s="8"/>
      <c r="K30" s="6" t="str">
        <f>"115,0"</f>
        <v>115,0</v>
      </c>
      <c r="L30" s="7" t="str">
        <f>"77,9585"</f>
        <v>77,9585</v>
      </c>
      <c r="M30" s="6" t="s">
        <v>463</v>
      </c>
    </row>
    <row r="32" spans="1:13" ht="15" x14ac:dyDescent="0.2">
      <c r="A32" s="36" t="s">
        <v>27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3" x14ac:dyDescent="0.2">
      <c r="A33" s="9" t="s">
        <v>464</v>
      </c>
      <c r="B33" s="9" t="s">
        <v>465</v>
      </c>
      <c r="C33" s="9" t="s">
        <v>148</v>
      </c>
      <c r="D33" s="9" t="str">
        <f>"0,6424"</f>
        <v>0,6424</v>
      </c>
      <c r="E33" s="9" t="s">
        <v>31</v>
      </c>
      <c r="F33" s="9" t="s">
        <v>32</v>
      </c>
      <c r="G33" s="10" t="s">
        <v>164</v>
      </c>
      <c r="H33" s="10" t="s">
        <v>25</v>
      </c>
      <c r="I33" s="10" t="s">
        <v>54</v>
      </c>
      <c r="J33" s="11"/>
      <c r="K33" s="9" t="str">
        <f>"142,5"</f>
        <v>142,5</v>
      </c>
      <c r="L33" s="10" t="str">
        <f>"91,5420"</f>
        <v>91,5420</v>
      </c>
      <c r="M33" s="9" t="s">
        <v>466</v>
      </c>
    </row>
    <row r="34" spans="1:13" x14ac:dyDescent="0.2">
      <c r="A34" s="23" t="s">
        <v>468</v>
      </c>
      <c r="B34" s="23" t="s">
        <v>469</v>
      </c>
      <c r="C34" s="23" t="s">
        <v>470</v>
      </c>
      <c r="D34" s="23" t="str">
        <f>"0,6410"</f>
        <v>0,6410</v>
      </c>
      <c r="E34" s="23" t="s">
        <v>31</v>
      </c>
      <c r="F34" s="23" t="s">
        <v>250</v>
      </c>
      <c r="G34" s="24" t="s">
        <v>177</v>
      </c>
      <c r="H34" s="25" t="s">
        <v>163</v>
      </c>
      <c r="I34" s="24" t="s">
        <v>163</v>
      </c>
      <c r="J34" s="25"/>
      <c r="K34" s="23" t="str">
        <f>"222,5"</f>
        <v>222,5</v>
      </c>
      <c r="L34" s="24" t="str">
        <f>"142,6225"</f>
        <v>142,6225</v>
      </c>
      <c r="M34" s="23" t="s">
        <v>471</v>
      </c>
    </row>
    <row r="35" spans="1:13" x14ac:dyDescent="0.2">
      <c r="A35" s="23" t="s">
        <v>472</v>
      </c>
      <c r="B35" s="23" t="s">
        <v>473</v>
      </c>
      <c r="C35" s="23" t="s">
        <v>474</v>
      </c>
      <c r="D35" s="23" t="str">
        <f>"0,6503"</f>
        <v>0,6503</v>
      </c>
      <c r="E35" s="23" t="s">
        <v>17</v>
      </c>
      <c r="F35" s="23" t="s">
        <v>18</v>
      </c>
      <c r="G35" s="24" t="s">
        <v>133</v>
      </c>
      <c r="H35" s="25" t="s">
        <v>475</v>
      </c>
      <c r="I35" s="25" t="s">
        <v>475</v>
      </c>
      <c r="J35" s="25"/>
      <c r="K35" s="23" t="str">
        <f>"172,5"</f>
        <v>172,5</v>
      </c>
      <c r="L35" s="24" t="str">
        <f>"112,1768"</f>
        <v>112,1768</v>
      </c>
      <c r="M35" s="23" t="s">
        <v>476</v>
      </c>
    </row>
    <row r="36" spans="1:13" x14ac:dyDescent="0.2">
      <c r="A36" s="23" t="s">
        <v>477</v>
      </c>
      <c r="B36" s="23" t="s">
        <v>478</v>
      </c>
      <c r="C36" s="23" t="s">
        <v>479</v>
      </c>
      <c r="D36" s="23" t="str">
        <f>"0,6440"</f>
        <v>0,6440</v>
      </c>
      <c r="E36" s="23" t="s">
        <v>17</v>
      </c>
      <c r="F36" s="23" t="s">
        <v>18</v>
      </c>
      <c r="G36" s="24" t="s">
        <v>33</v>
      </c>
      <c r="H36" s="24" t="s">
        <v>137</v>
      </c>
      <c r="I36" s="25" t="s">
        <v>133</v>
      </c>
      <c r="J36" s="25"/>
      <c r="K36" s="23" t="str">
        <f>"165,0"</f>
        <v>165,0</v>
      </c>
      <c r="L36" s="24" t="str">
        <f>"106,2600"</f>
        <v>106,2600</v>
      </c>
      <c r="M36" s="23" t="s">
        <v>275</v>
      </c>
    </row>
    <row r="37" spans="1:13" x14ac:dyDescent="0.2">
      <c r="A37" s="23" t="s">
        <v>480</v>
      </c>
      <c r="B37" s="23" t="s">
        <v>481</v>
      </c>
      <c r="C37" s="23" t="s">
        <v>482</v>
      </c>
      <c r="D37" s="23" t="str">
        <f>"0,6432"</f>
        <v>0,6432</v>
      </c>
      <c r="E37" s="23" t="s">
        <v>17</v>
      </c>
      <c r="F37" s="23" t="s">
        <v>18</v>
      </c>
      <c r="G37" s="24" t="s">
        <v>25</v>
      </c>
      <c r="H37" s="24" t="s">
        <v>483</v>
      </c>
      <c r="I37" s="24" t="s">
        <v>324</v>
      </c>
      <c r="J37" s="25"/>
      <c r="K37" s="23" t="str">
        <f>"162,5"</f>
        <v>162,5</v>
      </c>
      <c r="L37" s="24" t="str">
        <f>"104,5200"</f>
        <v>104,5200</v>
      </c>
      <c r="M37" s="23" t="s">
        <v>484</v>
      </c>
    </row>
    <row r="38" spans="1:13" x14ac:dyDescent="0.2">
      <c r="A38" s="23" t="s">
        <v>485</v>
      </c>
      <c r="B38" s="23" t="s">
        <v>486</v>
      </c>
      <c r="C38" s="23" t="s">
        <v>487</v>
      </c>
      <c r="D38" s="23" t="str">
        <f>"0,6475"</f>
        <v>0,6475</v>
      </c>
      <c r="E38" s="23" t="s">
        <v>31</v>
      </c>
      <c r="F38" s="23" t="s">
        <v>78</v>
      </c>
      <c r="G38" s="24" t="s">
        <v>171</v>
      </c>
      <c r="H38" s="24" t="s">
        <v>48</v>
      </c>
      <c r="I38" s="24" t="s">
        <v>33</v>
      </c>
      <c r="J38" s="25"/>
      <c r="K38" s="23" t="str">
        <f>"160,0"</f>
        <v>160,0</v>
      </c>
      <c r="L38" s="24" t="str">
        <f>"103,6000"</f>
        <v>103,6000</v>
      </c>
      <c r="M38" s="23" t="s">
        <v>88</v>
      </c>
    </row>
    <row r="39" spans="1:13" x14ac:dyDescent="0.2">
      <c r="A39" s="23" t="s">
        <v>488</v>
      </c>
      <c r="B39" s="23" t="s">
        <v>489</v>
      </c>
      <c r="C39" s="23" t="s">
        <v>490</v>
      </c>
      <c r="D39" s="23" t="str">
        <f>"0,6451"</f>
        <v>0,6451</v>
      </c>
      <c r="E39" s="23" t="s">
        <v>17</v>
      </c>
      <c r="F39" s="23" t="s">
        <v>18</v>
      </c>
      <c r="G39" s="25" t="s">
        <v>48</v>
      </c>
      <c r="H39" s="25" t="s">
        <v>48</v>
      </c>
      <c r="I39" s="25" t="s">
        <v>48</v>
      </c>
      <c r="J39" s="25"/>
      <c r="K39" s="23" t="str">
        <f>"0.00"</f>
        <v>0.00</v>
      </c>
      <c r="L39" s="24" t="str">
        <f>"0,0000"</f>
        <v>0,0000</v>
      </c>
      <c r="M39" s="23" t="s">
        <v>98</v>
      </c>
    </row>
    <row r="40" spans="1:13" x14ac:dyDescent="0.2">
      <c r="A40" s="23" t="s">
        <v>491</v>
      </c>
      <c r="B40" s="23" t="s">
        <v>492</v>
      </c>
      <c r="C40" s="23" t="s">
        <v>493</v>
      </c>
      <c r="D40" s="23" t="str">
        <f>"0,6491"</f>
        <v>0,6491</v>
      </c>
      <c r="E40" s="23" t="s">
        <v>31</v>
      </c>
      <c r="F40" s="23" t="s">
        <v>494</v>
      </c>
      <c r="G40" s="24" t="s">
        <v>33</v>
      </c>
      <c r="H40" s="24" t="s">
        <v>132</v>
      </c>
      <c r="I40" s="24" t="s">
        <v>34</v>
      </c>
      <c r="J40" s="25"/>
      <c r="K40" s="23" t="str">
        <f>"170,0"</f>
        <v>170,0</v>
      </c>
      <c r="L40" s="24" t="str">
        <f>"121,0507"</f>
        <v>121,0507</v>
      </c>
      <c r="M40" s="23" t="s">
        <v>495</v>
      </c>
    </row>
    <row r="41" spans="1:13" x14ac:dyDescent="0.2">
      <c r="A41" s="12" t="s">
        <v>497</v>
      </c>
      <c r="B41" s="12" t="s">
        <v>498</v>
      </c>
      <c r="C41" s="12" t="s">
        <v>470</v>
      </c>
      <c r="D41" s="12" t="str">
        <f>"0,6410"</f>
        <v>0,6410</v>
      </c>
      <c r="E41" s="12" t="s">
        <v>17</v>
      </c>
      <c r="F41" s="12" t="s">
        <v>18</v>
      </c>
      <c r="G41" s="13" t="s">
        <v>24</v>
      </c>
      <c r="H41" s="13" t="s">
        <v>25</v>
      </c>
      <c r="I41" s="13" t="s">
        <v>130</v>
      </c>
      <c r="J41" s="14"/>
      <c r="K41" s="12" t="str">
        <f>"147,5"</f>
        <v>147,5</v>
      </c>
      <c r="L41" s="13" t="str">
        <f>"155,5306"</f>
        <v>155,5306</v>
      </c>
      <c r="M41" s="12" t="s">
        <v>459</v>
      </c>
    </row>
    <row r="43" spans="1:13" ht="15" x14ac:dyDescent="0.2">
      <c r="A43" s="36" t="s">
        <v>39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4" spans="1:13" x14ac:dyDescent="0.2">
      <c r="A44" s="9" t="s">
        <v>499</v>
      </c>
      <c r="B44" s="9" t="s">
        <v>500</v>
      </c>
      <c r="C44" s="9" t="s">
        <v>501</v>
      </c>
      <c r="D44" s="9" t="str">
        <f>"0,6169"</f>
        <v>0,6169</v>
      </c>
      <c r="E44" s="9" t="s">
        <v>31</v>
      </c>
      <c r="F44" s="9" t="s">
        <v>32</v>
      </c>
      <c r="G44" s="10" t="s">
        <v>104</v>
      </c>
      <c r="H44" s="10" t="s">
        <v>19</v>
      </c>
      <c r="I44" s="10" t="s">
        <v>115</v>
      </c>
      <c r="J44" s="11"/>
      <c r="K44" s="9" t="str">
        <f>"105,0"</f>
        <v>105,0</v>
      </c>
      <c r="L44" s="10" t="str">
        <f>"64,7745"</f>
        <v>64,7745</v>
      </c>
      <c r="M44" s="9" t="s">
        <v>466</v>
      </c>
    </row>
    <row r="45" spans="1:13" x14ac:dyDescent="0.2">
      <c r="A45" s="23" t="s">
        <v>503</v>
      </c>
      <c r="B45" s="23" t="s">
        <v>504</v>
      </c>
      <c r="C45" s="23" t="s">
        <v>505</v>
      </c>
      <c r="D45" s="23" t="str">
        <f>"0,6180"</f>
        <v>0,6180</v>
      </c>
      <c r="E45" s="23" t="s">
        <v>17</v>
      </c>
      <c r="F45" s="23" t="s">
        <v>506</v>
      </c>
      <c r="G45" s="24" t="s">
        <v>149</v>
      </c>
      <c r="H45" s="24" t="s">
        <v>125</v>
      </c>
      <c r="I45" s="24" t="s">
        <v>177</v>
      </c>
      <c r="J45" s="25"/>
      <c r="K45" s="23" t="str">
        <f>"210,0"</f>
        <v>210,0</v>
      </c>
      <c r="L45" s="24" t="str">
        <f>"129,7800"</f>
        <v>129,7800</v>
      </c>
      <c r="M45" s="23" t="s">
        <v>145</v>
      </c>
    </row>
    <row r="46" spans="1:13" x14ac:dyDescent="0.2">
      <c r="A46" s="23" t="s">
        <v>507</v>
      </c>
      <c r="B46" s="23" t="s">
        <v>508</v>
      </c>
      <c r="C46" s="23" t="s">
        <v>509</v>
      </c>
      <c r="D46" s="23" t="str">
        <f>"0,6139"</f>
        <v>0,6139</v>
      </c>
      <c r="E46" s="23" t="s">
        <v>17</v>
      </c>
      <c r="F46" s="23" t="s">
        <v>18</v>
      </c>
      <c r="G46" s="24" t="s">
        <v>324</v>
      </c>
      <c r="H46" s="24" t="s">
        <v>132</v>
      </c>
      <c r="I46" s="24" t="s">
        <v>34</v>
      </c>
      <c r="J46" s="25"/>
      <c r="K46" s="23" t="str">
        <f>"170,0"</f>
        <v>170,0</v>
      </c>
      <c r="L46" s="24" t="str">
        <f>"104,3630"</f>
        <v>104,3630</v>
      </c>
      <c r="M46" s="23" t="s">
        <v>98</v>
      </c>
    </row>
    <row r="47" spans="1:13" x14ac:dyDescent="0.2">
      <c r="A47" s="12" t="s">
        <v>510</v>
      </c>
      <c r="B47" s="12" t="s">
        <v>511</v>
      </c>
      <c r="C47" s="12" t="s">
        <v>512</v>
      </c>
      <c r="D47" s="12" t="str">
        <f>"0,6147"</f>
        <v>0,6147</v>
      </c>
      <c r="E47" s="12" t="s">
        <v>17</v>
      </c>
      <c r="F47" s="12" t="s">
        <v>18</v>
      </c>
      <c r="G47" s="13" t="s">
        <v>33</v>
      </c>
      <c r="H47" s="13" t="s">
        <v>137</v>
      </c>
      <c r="I47" s="14" t="s">
        <v>133</v>
      </c>
      <c r="J47" s="14"/>
      <c r="K47" s="12" t="str">
        <f>"165,0"</f>
        <v>165,0</v>
      </c>
      <c r="L47" s="13" t="str">
        <f>"112,8866"</f>
        <v>112,8866</v>
      </c>
      <c r="M47" s="12" t="s">
        <v>513</v>
      </c>
    </row>
    <row r="49" spans="1:13" ht="15" x14ac:dyDescent="0.2">
      <c r="A49" s="36" t="s">
        <v>158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3" x14ac:dyDescent="0.2">
      <c r="A50" s="9" t="s">
        <v>514</v>
      </c>
      <c r="B50" s="9" t="s">
        <v>515</v>
      </c>
      <c r="C50" s="9" t="s">
        <v>516</v>
      </c>
      <c r="D50" s="9" t="str">
        <f>"0,5892"</f>
        <v>0,5892</v>
      </c>
      <c r="E50" s="9" t="s">
        <v>31</v>
      </c>
      <c r="F50" s="9" t="s">
        <v>517</v>
      </c>
      <c r="G50" s="10" t="s">
        <v>38</v>
      </c>
      <c r="H50" s="10" t="s">
        <v>149</v>
      </c>
      <c r="I50" s="11" t="s">
        <v>125</v>
      </c>
      <c r="J50" s="11"/>
      <c r="K50" s="9" t="str">
        <f>"190,0"</f>
        <v>190,0</v>
      </c>
      <c r="L50" s="10" t="str">
        <f>"111,9480"</f>
        <v>111,9480</v>
      </c>
      <c r="M50" s="9" t="s">
        <v>518</v>
      </c>
    </row>
    <row r="51" spans="1:13" x14ac:dyDescent="0.2">
      <c r="A51" s="23" t="s">
        <v>519</v>
      </c>
      <c r="B51" s="23" t="s">
        <v>520</v>
      </c>
      <c r="C51" s="23" t="s">
        <v>521</v>
      </c>
      <c r="D51" s="23" t="str">
        <f>"0,6030"</f>
        <v>0,6030</v>
      </c>
      <c r="E51" s="23" t="s">
        <v>17</v>
      </c>
      <c r="F51" s="23" t="s">
        <v>18</v>
      </c>
      <c r="G51" s="24" t="s">
        <v>33</v>
      </c>
      <c r="H51" s="24" t="s">
        <v>34</v>
      </c>
      <c r="I51" s="25" t="s">
        <v>38</v>
      </c>
      <c r="J51" s="25"/>
      <c r="K51" s="23" t="str">
        <f>"170,0"</f>
        <v>170,0</v>
      </c>
      <c r="L51" s="24" t="str">
        <f>"102,5100"</f>
        <v>102,5100</v>
      </c>
      <c r="M51" s="23" t="s">
        <v>145</v>
      </c>
    </row>
    <row r="52" spans="1:13" x14ac:dyDescent="0.2">
      <c r="A52" s="23" t="s">
        <v>522</v>
      </c>
      <c r="B52" s="23" t="s">
        <v>523</v>
      </c>
      <c r="C52" s="23" t="s">
        <v>524</v>
      </c>
      <c r="D52" s="23" t="str">
        <f>"0,5893"</f>
        <v>0,5893</v>
      </c>
      <c r="E52" s="23" t="s">
        <v>17</v>
      </c>
      <c r="F52" s="23" t="s">
        <v>18</v>
      </c>
      <c r="G52" s="24" t="s">
        <v>48</v>
      </c>
      <c r="H52" s="24" t="s">
        <v>33</v>
      </c>
      <c r="I52" s="24" t="s">
        <v>324</v>
      </c>
      <c r="J52" s="25"/>
      <c r="K52" s="23" t="str">
        <f>"162,5"</f>
        <v>162,5</v>
      </c>
      <c r="L52" s="24" t="str">
        <f>"95,7612"</f>
        <v>95,7612</v>
      </c>
      <c r="M52" s="23" t="s">
        <v>525</v>
      </c>
    </row>
    <row r="53" spans="1:13" x14ac:dyDescent="0.2">
      <c r="A53" s="23" t="s">
        <v>526</v>
      </c>
      <c r="B53" s="23" t="s">
        <v>527</v>
      </c>
      <c r="C53" s="23" t="s">
        <v>528</v>
      </c>
      <c r="D53" s="23" t="str">
        <f>"0,5914"</f>
        <v>0,5914</v>
      </c>
      <c r="E53" s="23" t="s">
        <v>17</v>
      </c>
      <c r="F53" s="23" t="s">
        <v>18</v>
      </c>
      <c r="G53" s="25" t="s">
        <v>229</v>
      </c>
      <c r="H53" s="25" t="s">
        <v>229</v>
      </c>
      <c r="I53" s="25" t="s">
        <v>229</v>
      </c>
      <c r="J53" s="25"/>
      <c r="K53" s="23" t="str">
        <f>"0.00"</f>
        <v>0.00</v>
      </c>
      <c r="L53" s="24" t="str">
        <f>"0,0000"</f>
        <v>0,0000</v>
      </c>
      <c r="M53" s="23" t="s">
        <v>98</v>
      </c>
    </row>
    <row r="54" spans="1:13" x14ac:dyDescent="0.2">
      <c r="A54" s="12" t="s">
        <v>529</v>
      </c>
      <c r="B54" s="12" t="s">
        <v>530</v>
      </c>
      <c r="C54" s="12" t="s">
        <v>531</v>
      </c>
      <c r="D54" s="12" t="str">
        <f>"0,6026"</f>
        <v>0,6026</v>
      </c>
      <c r="E54" s="12" t="s">
        <v>17</v>
      </c>
      <c r="F54" s="12" t="s">
        <v>206</v>
      </c>
      <c r="G54" s="13" t="s">
        <v>24</v>
      </c>
      <c r="H54" s="13" t="s">
        <v>25</v>
      </c>
      <c r="I54" s="13" t="s">
        <v>171</v>
      </c>
      <c r="J54" s="14"/>
      <c r="K54" s="12" t="str">
        <f>"145,0"</f>
        <v>145,0</v>
      </c>
      <c r="L54" s="13" t="str">
        <f>"94,5419"</f>
        <v>94,5419</v>
      </c>
      <c r="M54" s="12" t="s">
        <v>26</v>
      </c>
    </row>
    <row r="56" spans="1:13" ht="15" x14ac:dyDescent="0.2">
      <c r="A56" s="36" t="s">
        <v>276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3" x14ac:dyDescent="0.2">
      <c r="A57" s="9" t="s">
        <v>533</v>
      </c>
      <c r="B57" s="9" t="s">
        <v>534</v>
      </c>
      <c r="C57" s="9" t="s">
        <v>535</v>
      </c>
      <c r="D57" s="9" t="str">
        <f>"0,5867"</f>
        <v>0,5867</v>
      </c>
      <c r="E57" s="9" t="s">
        <v>17</v>
      </c>
      <c r="F57" s="9" t="s">
        <v>18</v>
      </c>
      <c r="G57" s="10" t="s">
        <v>177</v>
      </c>
      <c r="H57" s="10" t="s">
        <v>44</v>
      </c>
      <c r="I57" s="11" t="s">
        <v>45</v>
      </c>
      <c r="J57" s="11"/>
      <c r="K57" s="9" t="str">
        <f>"220,0"</f>
        <v>220,0</v>
      </c>
      <c r="L57" s="10" t="str">
        <f>"129,0740"</f>
        <v>129,0740</v>
      </c>
      <c r="M57" s="9" t="s">
        <v>536</v>
      </c>
    </row>
    <row r="58" spans="1:13" x14ac:dyDescent="0.2">
      <c r="A58" s="23" t="s">
        <v>537</v>
      </c>
      <c r="B58" s="23" t="s">
        <v>538</v>
      </c>
      <c r="C58" s="23" t="s">
        <v>539</v>
      </c>
      <c r="D58" s="23" t="str">
        <f>"0,5736"</f>
        <v>0,5736</v>
      </c>
      <c r="E58" s="23" t="s">
        <v>17</v>
      </c>
      <c r="F58" s="23" t="s">
        <v>540</v>
      </c>
      <c r="G58" s="24" t="s">
        <v>149</v>
      </c>
      <c r="H58" s="24" t="s">
        <v>125</v>
      </c>
      <c r="I58" s="25" t="s">
        <v>142</v>
      </c>
      <c r="J58" s="25"/>
      <c r="K58" s="23" t="str">
        <f>"200,0"</f>
        <v>200,0</v>
      </c>
      <c r="L58" s="24" t="str">
        <f>"114,7200"</f>
        <v>114,7200</v>
      </c>
      <c r="M58" s="23" t="s">
        <v>541</v>
      </c>
    </row>
    <row r="59" spans="1:13" x14ac:dyDescent="0.2">
      <c r="A59" s="12" t="s">
        <v>542</v>
      </c>
      <c r="B59" s="12" t="s">
        <v>543</v>
      </c>
      <c r="C59" s="12" t="s">
        <v>544</v>
      </c>
      <c r="D59" s="12" t="str">
        <f>"0,5712"</f>
        <v>0,5712</v>
      </c>
      <c r="E59" s="32" t="s">
        <v>17</v>
      </c>
      <c r="F59" s="12" t="s">
        <v>18</v>
      </c>
      <c r="G59" s="13" t="s">
        <v>133</v>
      </c>
      <c r="H59" s="14" t="s">
        <v>38</v>
      </c>
      <c r="I59" s="14" t="s">
        <v>38</v>
      </c>
      <c r="J59" s="14"/>
      <c r="K59" s="12" t="str">
        <f>"172,5"</f>
        <v>172,5</v>
      </c>
      <c r="L59" s="13" t="str">
        <f>"98,5320"</f>
        <v>98,5320</v>
      </c>
      <c r="M59" s="12" t="s">
        <v>545</v>
      </c>
    </row>
    <row r="61" spans="1:13" ht="15" x14ac:dyDescent="0.2">
      <c r="E61" s="15" t="s">
        <v>57</v>
      </c>
    </row>
    <row r="62" spans="1:13" ht="15" x14ac:dyDescent="0.2">
      <c r="E62" s="15" t="s">
        <v>58</v>
      </c>
    </row>
    <row r="63" spans="1:13" ht="15" x14ac:dyDescent="0.2">
      <c r="E63" s="15"/>
    </row>
    <row r="65" spans="1:5" ht="18" x14ac:dyDescent="0.25">
      <c r="A65" s="16" t="s">
        <v>62</v>
      </c>
      <c r="B65" s="16"/>
    </row>
    <row r="66" spans="1:5" ht="15" x14ac:dyDescent="0.2">
      <c r="A66" s="17" t="s">
        <v>63</v>
      </c>
      <c r="B66" s="17"/>
    </row>
    <row r="67" spans="1:5" ht="14.25" x14ac:dyDescent="0.2">
      <c r="A67" s="19"/>
      <c r="B67" s="20" t="s">
        <v>64</v>
      </c>
    </row>
    <row r="68" spans="1:5" ht="15" x14ac:dyDescent="0.2">
      <c r="A68" s="21" t="s">
        <v>65</v>
      </c>
      <c r="B68" s="21" t="s">
        <v>66</v>
      </c>
      <c r="C68" s="21" t="s">
        <v>67</v>
      </c>
      <c r="D68" s="21" t="s">
        <v>68</v>
      </c>
      <c r="E68" s="21" t="s">
        <v>69</v>
      </c>
    </row>
    <row r="69" spans="1:5" x14ac:dyDescent="0.2">
      <c r="A69" s="18" t="s">
        <v>467</v>
      </c>
      <c r="B69" s="4" t="s">
        <v>64</v>
      </c>
      <c r="C69" s="4" t="s">
        <v>70</v>
      </c>
      <c r="D69" s="4" t="s">
        <v>163</v>
      </c>
      <c r="E69" s="22" t="s">
        <v>547</v>
      </c>
    </row>
    <row r="70" spans="1:5" x14ac:dyDescent="0.2">
      <c r="A70" s="18" t="s">
        <v>502</v>
      </c>
      <c r="B70" s="4" t="s">
        <v>64</v>
      </c>
      <c r="C70" s="4" t="s">
        <v>19</v>
      </c>
      <c r="D70" s="4" t="s">
        <v>177</v>
      </c>
      <c r="E70" s="22" t="s">
        <v>548</v>
      </c>
    </row>
    <row r="71" spans="1:5" x14ac:dyDescent="0.2">
      <c r="A71" s="18" t="s">
        <v>532</v>
      </c>
      <c r="B71" s="4" t="s">
        <v>64</v>
      </c>
      <c r="C71" s="4" t="s">
        <v>36</v>
      </c>
      <c r="D71" s="4" t="s">
        <v>44</v>
      </c>
      <c r="E71" s="22" t="s">
        <v>549</v>
      </c>
    </row>
    <row r="73" spans="1:5" ht="14.25" x14ac:dyDescent="0.2">
      <c r="A73" s="19"/>
      <c r="B73" s="20" t="s">
        <v>71</v>
      </c>
    </row>
    <row r="74" spans="1:5" ht="15" x14ac:dyDescent="0.2">
      <c r="A74" s="21" t="s">
        <v>65</v>
      </c>
      <c r="B74" s="21" t="s">
        <v>66</v>
      </c>
      <c r="C74" s="21" t="s">
        <v>67</v>
      </c>
      <c r="D74" s="21" t="s">
        <v>68</v>
      </c>
      <c r="E74" s="21" t="s">
        <v>69</v>
      </c>
    </row>
    <row r="75" spans="1:5" x14ac:dyDescent="0.2">
      <c r="A75" s="18" t="s">
        <v>496</v>
      </c>
      <c r="B75" s="4" t="s">
        <v>550</v>
      </c>
      <c r="C75" s="4" t="s">
        <v>70</v>
      </c>
      <c r="D75" s="4" t="s">
        <v>130</v>
      </c>
      <c r="E75" s="22" t="s">
        <v>551</v>
      </c>
    </row>
  </sheetData>
  <mergeCells count="22"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  <mergeCell ref="A49:L49"/>
    <mergeCell ref="A56:L56"/>
    <mergeCell ref="A15:L15"/>
    <mergeCell ref="A18:L18"/>
    <mergeCell ref="A21:L21"/>
    <mergeCell ref="A29:L29"/>
    <mergeCell ref="A32:L32"/>
    <mergeCell ref="A43:L4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9.7109375" style="4" bestFit="1" customWidth="1"/>
    <col min="4" max="4" width="6.5703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5" width="5.5703125" style="3" bestFit="1" customWidth="1"/>
    <col min="16" max="17" width="2.140625" style="3" bestFit="1" customWidth="1"/>
    <col min="18" max="18" width="4.85546875" style="3" bestFit="1" customWidth="1"/>
    <col min="19" max="19" width="7.85546875" style="4" bestFit="1" customWidth="1"/>
    <col min="20" max="20" width="6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42" t="s">
        <v>419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5">
        <v>1</v>
      </c>
      <c r="L4" s="5">
        <v>2</v>
      </c>
      <c r="M4" s="5">
        <v>3</v>
      </c>
      <c r="N4" s="5" t="s">
        <v>8</v>
      </c>
      <c r="O4" s="5">
        <v>1</v>
      </c>
      <c r="P4" s="5">
        <v>2</v>
      </c>
      <c r="Q4" s="5">
        <v>3</v>
      </c>
      <c r="R4" s="5" t="s">
        <v>8</v>
      </c>
      <c r="S4" s="38"/>
      <c r="T4" s="38"/>
      <c r="U4" s="40"/>
    </row>
    <row r="5" spans="1:21" ht="15" x14ac:dyDescent="0.2">
      <c r="A5" s="41" t="s">
        <v>39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1" x14ac:dyDescent="0.2">
      <c r="A6" s="9" t="s">
        <v>420</v>
      </c>
      <c r="B6" s="9" t="s">
        <v>421</v>
      </c>
      <c r="C6" s="9" t="s">
        <v>422</v>
      </c>
      <c r="D6" s="9" t="str">
        <f>"0,6086"</f>
        <v>0,6086</v>
      </c>
      <c r="E6" s="9" t="s">
        <v>17</v>
      </c>
      <c r="F6" s="9" t="s">
        <v>18</v>
      </c>
      <c r="G6" s="11" t="s">
        <v>252</v>
      </c>
      <c r="H6" s="10" t="s">
        <v>283</v>
      </c>
      <c r="I6" s="11" t="s">
        <v>179</v>
      </c>
      <c r="J6" s="11"/>
      <c r="K6" s="11" t="s">
        <v>157</v>
      </c>
      <c r="L6" s="11" t="s">
        <v>157</v>
      </c>
      <c r="M6" s="11" t="s">
        <v>157</v>
      </c>
      <c r="N6" s="11"/>
      <c r="O6" s="11" t="s">
        <v>157</v>
      </c>
      <c r="P6" s="11"/>
      <c r="Q6" s="11"/>
      <c r="R6" s="11"/>
      <c r="S6" s="9" t="str">
        <f>"0.00"</f>
        <v>0.00</v>
      </c>
      <c r="T6" s="10" t="str">
        <f>"0,0000"</f>
        <v>0,0000</v>
      </c>
      <c r="U6" s="9" t="s">
        <v>98</v>
      </c>
    </row>
    <row r="7" spans="1:21" x14ac:dyDescent="0.2">
      <c r="A7" s="12" t="s">
        <v>420</v>
      </c>
      <c r="B7" s="12" t="s">
        <v>423</v>
      </c>
      <c r="C7" s="12" t="s">
        <v>422</v>
      </c>
      <c r="D7" s="12" t="str">
        <f>"0,6086"</f>
        <v>0,6086</v>
      </c>
      <c r="E7" s="12" t="s">
        <v>17</v>
      </c>
      <c r="F7" s="12" t="s">
        <v>18</v>
      </c>
      <c r="G7" s="14" t="s">
        <v>252</v>
      </c>
      <c r="H7" s="13" t="s">
        <v>283</v>
      </c>
      <c r="I7" s="14" t="s">
        <v>179</v>
      </c>
      <c r="J7" s="14"/>
      <c r="K7" s="14" t="s">
        <v>157</v>
      </c>
      <c r="L7" s="14" t="s">
        <v>157</v>
      </c>
      <c r="M7" s="14" t="s">
        <v>157</v>
      </c>
      <c r="N7" s="14"/>
      <c r="O7" s="14" t="s">
        <v>157</v>
      </c>
      <c r="P7" s="14"/>
      <c r="Q7" s="14"/>
      <c r="R7" s="14"/>
      <c r="S7" s="12" t="str">
        <f>"0.00"</f>
        <v>0.00</v>
      </c>
      <c r="T7" s="13" t="str">
        <f>"0,0000"</f>
        <v>0,0000</v>
      </c>
      <c r="U7" s="12" t="s">
        <v>98</v>
      </c>
    </row>
    <row r="9" spans="1:21" ht="15" x14ac:dyDescent="0.2">
      <c r="E9" s="15" t="s">
        <v>57</v>
      </c>
    </row>
    <row r="10" spans="1:21" ht="15" x14ac:dyDescent="0.2">
      <c r="E10" s="15" t="s">
        <v>58</v>
      </c>
    </row>
    <row r="11" spans="1:21" ht="15" x14ac:dyDescent="0.2">
      <c r="E11" s="15" t="s">
        <v>59</v>
      </c>
    </row>
    <row r="12" spans="1:21" ht="15" x14ac:dyDescent="0.2">
      <c r="E12" s="15" t="s">
        <v>60</v>
      </c>
    </row>
    <row r="13" spans="1:21" ht="15" x14ac:dyDescent="0.2">
      <c r="E13" s="15" t="s">
        <v>60</v>
      </c>
    </row>
    <row r="14" spans="1:21" ht="15" x14ac:dyDescent="0.2">
      <c r="E14" s="15" t="s">
        <v>61</v>
      </c>
    </row>
    <row r="15" spans="1:21" ht="15" x14ac:dyDescent="0.2">
      <c r="E15" s="15"/>
    </row>
    <row r="17" spans="1:2" ht="18" x14ac:dyDescent="0.25">
      <c r="A17" s="16" t="s">
        <v>62</v>
      </c>
      <c r="B17" s="16"/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workbookViewId="0">
      <selection activeCell="A13" sqref="A13:XFD17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5.42578125" style="4" bestFit="1" customWidth="1"/>
    <col min="22" max="16384" width="9.140625" style="3"/>
  </cols>
  <sheetData>
    <row r="1" spans="1:21" s="2" customFormat="1" ht="29.1" customHeight="1" x14ac:dyDescent="0.2">
      <c r="A1" s="42" t="s">
        <v>1185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5">
        <v>1</v>
      </c>
      <c r="L4" s="5">
        <v>2</v>
      </c>
      <c r="M4" s="5">
        <v>3</v>
      </c>
      <c r="N4" s="5" t="s">
        <v>8</v>
      </c>
      <c r="O4" s="5">
        <v>1</v>
      </c>
      <c r="P4" s="5">
        <v>2</v>
      </c>
      <c r="Q4" s="5">
        <v>3</v>
      </c>
      <c r="R4" s="5" t="s">
        <v>8</v>
      </c>
      <c r="S4" s="38"/>
      <c r="T4" s="38"/>
      <c r="U4" s="40"/>
    </row>
    <row r="5" spans="1:21" ht="15" x14ac:dyDescent="0.2">
      <c r="A5" s="41" t="s">
        <v>99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1" x14ac:dyDescent="0.2">
      <c r="A6" s="6" t="s">
        <v>415</v>
      </c>
      <c r="B6" s="6" t="s">
        <v>416</v>
      </c>
      <c r="C6" s="6" t="s">
        <v>417</v>
      </c>
      <c r="D6" s="6" t="str">
        <f>"1,1766"</f>
        <v>1,1766</v>
      </c>
      <c r="E6" s="6" t="s">
        <v>17</v>
      </c>
      <c r="F6" s="6" t="s">
        <v>18</v>
      </c>
      <c r="G6" s="8" t="s">
        <v>47</v>
      </c>
      <c r="H6" s="8" t="s">
        <v>47</v>
      </c>
      <c r="I6" s="7" t="s">
        <v>47</v>
      </c>
      <c r="J6" s="8"/>
      <c r="K6" s="7" t="s">
        <v>20</v>
      </c>
      <c r="L6" s="8" t="s">
        <v>131</v>
      </c>
      <c r="M6" s="7" t="s">
        <v>131</v>
      </c>
      <c r="N6" s="8"/>
      <c r="O6" s="7" t="s">
        <v>47</v>
      </c>
      <c r="P6" s="8" t="s">
        <v>33</v>
      </c>
      <c r="Q6" s="8" t="s">
        <v>33</v>
      </c>
      <c r="R6" s="8"/>
      <c r="S6" s="6" t="str">
        <f>"417,5"</f>
        <v>417,5</v>
      </c>
      <c r="T6" s="7" t="str">
        <f>"491,2305"</f>
        <v>491,2305</v>
      </c>
      <c r="U6" s="6" t="s">
        <v>418</v>
      </c>
    </row>
    <row r="8" spans="1:21" ht="15" x14ac:dyDescent="0.2">
      <c r="E8" s="15" t="s">
        <v>57</v>
      </c>
    </row>
    <row r="9" spans="1:21" ht="15" x14ac:dyDescent="0.2">
      <c r="E9" s="15" t="s">
        <v>58</v>
      </c>
    </row>
    <row r="10" spans="1:21" ht="15" x14ac:dyDescent="0.2">
      <c r="E10" s="15"/>
    </row>
    <row r="12" spans="1:21" ht="18" x14ac:dyDescent="0.25">
      <c r="A12" s="16" t="s">
        <v>62</v>
      </c>
      <c r="B12" s="16"/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opLeftCell="A46" workbookViewId="0">
      <selection activeCell="A61" sqref="A61:XFD75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5703125" style="4" bestFit="1" customWidth="1"/>
    <col min="7" max="18" width="5.5703125" style="3" bestFit="1" customWidth="1"/>
    <col min="19" max="19" width="7.85546875" style="4" bestFit="1" customWidth="1"/>
    <col min="20" max="20" width="8.5703125" style="3" bestFit="1" customWidth="1"/>
    <col min="21" max="21" width="16.42578125" style="4" bestFit="1" customWidth="1"/>
    <col min="22" max="16384" width="9.140625" style="3"/>
  </cols>
  <sheetData>
    <row r="1" spans="1:21" s="2" customFormat="1" ht="29.1" customHeight="1" x14ac:dyDescent="0.2">
      <c r="A1" s="42" t="s">
        <v>1186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5">
        <v>1</v>
      </c>
      <c r="L4" s="5">
        <v>2</v>
      </c>
      <c r="M4" s="5">
        <v>3</v>
      </c>
      <c r="N4" s="5" t="s">
        <v>8</v>
      </c>
      <c r="O4" s="5">
        <v>1</v>
      </c>
      <c r="P4" s="5">
        <v>2</v>
      </c>
      <c r="Q4" s="5">
        <v>3</v>
      </c>
      <c r="R4" s="5" t="s">
        <v>8</v>
      </c>
      <c r="S4" s="38"/>
      <c r="T4" s="38"/>
      <c r="U4" s="40"/>
    </row>
    <row r="5" spans="1:21" ht="15" x14ac:dyDescent="0.2">
      <c r="A5" s="41" t="s">
        <v>89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1" x14ac:dyDescent="0.2">
      <c r="A6" s="6" t="s">
        <v>303</v>
      </c>
      <c r="B6" s="6" t="s">
        <v>304</v>
      </c>
      <c r="C6" s="6" t="s">
        <v>305</v>
      </c>
      <c r="D6" s="6" t="str">
        <f>"1,2541"</f>
        <v>1,2541</v>
      </c>
      <c r="E6" s="6" t="s">
        <v>31</v>
      </c>
      <c r="F6" s="6" t="s">
        <v>206</v>
      </c>
      <c r="G6" s="7" t="s">
        <v>198</v>
      </c>
      <c r="H6" s="7" t="s">
        <v>306</v>
      </c>
      <c r="I6" s="8" t="s">
        <v>103</v>
      </c>
      <c r="J6" s="8"/>
      <c r="K6" s="7" t="s">
        <v>113</v>
      </c>
      <c r="L6" s="7" t="s">
        <v>114</v>
      </c>
      <c r="M6" s="7" t="s">
        <v>106</v>
      </c>
      <c r="N6" s="8"/>
      <c r="O6" s="7" t="s">
        <v>70</v>
      </c>
      <c r="P6" s="7" t="s">
        <v>19</v>
      </c>
      <c r="Q6" s="7" t="s">
        <v>22</v>
      </c>
      <c r="R6" s="8"/>
      <c r="S6" s="6" t="str">
        <f>"247,5"</f>
        <v>247,5</v>
      </c>
      <c r="T6" s="7" t="str">
        <f>"327,4612"</f>
        <v>327,4612</v>
      </c>
      <c r="U6" s="6" t="s">
        <v>50</v>
      </c>
    </row>
    <row r="8" spans="1:21" ht="15" x14ac:dyDescent="0.2">
      <c r="A8" s="36" t="s">
        <v>99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1" x14ac:dyDescent="0.2">
      <c r="A9" s="6" t="s">
        <v>307</v>
      </c>
      <c r="B9" s="6" t="s">
        <v>308</v>
      </c>
      <c r="C9" s="6" t="s">
        <v>309</v>
      </c>
      <c r="D9" s="6" t="str">
        <f>"1,1832"</f>
        <v>1,1832</v>
      </c>
      <c r="E9" s="6" t="s">
        <v>17</v>
      </c>
      <c r="F9" s="6" t="s">
        <v>18</v>
      </c>
      <c r="G9" s="7" t="s">
        <v>81</v>
      </c>
      <c r="H9" s="8" t="s">
        <v>87</v>
      </c>
      <c r="I9" s="7" t="s">
        <v>87</v>
      </c>
      <c r="J9" s="8"/>
      <c r="K9" s="7" t="s">
        <v>85</v>
      </c>
      <c r="L9" s="8" t="s">
        <v>114</v>
      </c>
      <c r="M9" s="8" t="s">
        <v>114</v>
      </c>
      <c r="N9" s="8"/>
      <c r="O9" s="7" t="s">
        <v>81</v>
      </c>
      <c r="P9" s="7" t="s">
        <v>70</v>
      </c>
      <c r="Q9" s="7" t="s">
        <v>87</v>
      </c>
      <c r="R9" s="8"/>
      <c r="S9" s="6" t="str">
        <f>"235,0"</f>
        <v>235,0</v>
      </c>
      <c r="T9" s="7" t="str">
        <f>"278,0520"</f>
        <v>278,0520</v>
      </c>
      <c r="U9" s="6" t="s">
        <v>310</v>
      </c>
    </row>
    <row r="11" spans="1:21" ht="15" x14ac:dyDescent="0.2">
      <c r="A11" s="36" t="s">
        <v>109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1" x14ac:dyDescent="0.2">
      <c r="A12" s="6" t="s">
        <v>311</v>
      </c>
      <c r="B12" s="6" t="s">
        <v>312</v>
      </c>
      <c r="C12" s="6" t="s">
        <v>313</v>
      </c>
      <c r="D12" s="6" t="str">
        <f>"1,0966"</f>
        <v>1,0966</v>
      </c>
      <c r="E12" s="6" t="s">
        <v>17</v>
      </c>
      <c r="F12" s="6" t="s">
        <v>18</v>
      </c>
      <c r="G12" s="7" t="s">
        <v>81</v>
      </c>
      <c r="H12" s="8" t="s">
        <v>87</v>
      </c>
      <c r="I12" s="8" t="s">
        <v>87</v>
      </c>
      <c r="J12" s="8"/>
      <c r="K12" s="7" t="s">
        <v>83</v>
      </c>
      <c r="L12" s="8" t="s">
        <v>84</v>
      </c>
      <c r="M12" s="8" t="s">
        <v>84</v>
      </c>
      <c r="N12" s="8"/>
      <c r="O12" s="7" t="s">
        <v>80</v>
      </c>
      <c r="P12" s="7" t="s">
        <v>73</v>
      </c>
      <c r="Q12" s="7" t="s">
        <v>306</v>
      </c>
      <c r="R12" s="8"/>
      <c r="S12" s="6" t="str">
        <f>"210,0"</f>
        <v>210,0</v>
      </c>
      <c r="T12" s="7" t="str">
        <f>"230,2860"</f>
        <v>230,2860</v>
      </c>
      <c r="U12" s="6" t="s">
        <v>98</v>
      </c>
    </row>
    <row r="14" spans="1:21" ht="15" x14ac:dyDescent="0.2">
      <c r="A14" s="36" t="s">
        <v>117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1" x14ac:dyDescent="0.2">
      <c r="A15" s="6" t="s">
        <v>314</v>
      </c>
      <c r="B15" s="6" t="s">
        <v>315</v>
      </c>
      <c r="C15" s="6" t="s">
        <v>316</v>
      </c>
      <c r="D15" s="6" t="str">
        <f>"0,9563"</f>
        <v>0,9563</v>
      </c>
      <c r="E15" s="6" t="s">
        <v>17</v>
      </c>
      <c r="F15" s="6" t="s">
        <v>18</v>
      </c>
      <c r="G15" s="8" t="s">
        <v>19</v>
      </c>
      <c r="H15" s="7" t="s">
        <v>115</v>
      </c>
      <c r="I15" s="7" t="s">
        <v>20</v>
      </c>
      <c r="J15" s="8"/>
      <c r="K15" s="7" t="s">
        <v>85</v>
      </c>
      <c r="L15" s="7" t="s">
        <v>114</v>
      </c>
      <c r="M15" s="8" t="s">
        <v>106</v>
      </c>
      <c r="N15" s="8"/>
      <c r="O15" s="7" t="s">
        <v>19</v>
      </c>
      <c r="P15" s="7" t="s">
        <v>20</v>
      </c>
      <c r="Q15" s="7" t="s">
        <v>55</v>
      </c>
      <c r="R15" s="8"/>
      <c r="S15" s="6" t="str">
        <f>"275,0"</f>
        <v>275,0</v>
      </c>
      <c r="T15" s="7" t="str">
        <f>"262,9825"</f>
        <v>262,9825</v>
      </c>
      <c r="U15" s="6" t="s">
        <v>317</v>
      </c>
    </row>
    <row r="17" spans="1:21" ht="15" x14ac:dyDescent="0.2">
      <c r="A17" s="36" t="s">
        <v>109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1" x14ac:dyDescent="0.2">
      <c r="A18" s="6" t="s">
        <v>318</v>
      </c>
      <c r="B18" s="6" t="s">
        <v>319</v>
      </c>
      <c r="C18" s="6" t="s">
        <v>320</v>
      </c>
      <c r="D18" s="6" t="str">
        <f>"0,7973"</f>
        <v>0,7973</v>
      </c>
      <c r="E18" s="6" t="s">
        <v>31</v>
      </c>
      <c r="F18" s="6" t="s">
        <v>206</v>
      </c>
      <c r="G18" s="7" t="s">
        <v>81</v>
      </c>
      <c r="H18" s="7" t="s">
        <v>103</v>
      </c>
      <c r="I18" s="7" t="s">
        <v>19</v>
      </c>
      <c r="J18" s="8"/>
      <c r="K18" s="7" t="s">
        <v>94</v>
      </c>
      <c r="L18" s="7" t="s">
        <v>80</v>
      </c>
      <c r="M18" s="8" t="s">
        <v>86</v>
      </c>
      <c r="N18" s="8"/>
      <c r="O18" s="7" t="s">
        <v>19</v>
      </c>
      <c r="P18" s="7" t="s">
        <v>21</v>
      </c>
      <c r="Q18" s="7" t="s">
        <v>24</v>
      </c>
      <c r="R18" s="8"/>
      <c r="S18" s="6" t="str">
        <f>"305,0"</f>
        <v>305,0</v>
      </c>
      <c r="T18" s="7" t="str">
        <f>"243,1765"</f>
        <v>243,1765</v>
      </c>
      <c r="U18" s="6" t="s">
        <v>50</v>
      </c>
    </row>
    <row r="20" spans="1:21" ht="15" x14ac:dyDescent="0.2">
      <c r="A20" s="36" t="s">
        <v>117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1" x14ac:dyDescent="0.2">
      <c r="A21" s="9" t="s">
        <v>321</v>
      </c>
      <c r="B21" s="9" t="s">
        <v>322</v>
      </c>
      <c r="C21" s="9" t="s">
        <v>323</v>
      </c>
      <c r="D21" s="9" t="str">
        <f>"0,7159"</f>
        <v>0,7159</v>
      </c>
      <c r="E21" s="9" t="s">
        <v>17</v>
      </c>
      <c r="F21" s="9" t="s">
        <v>18</v>
      </c>
      <c r="G21" s="11" t="s">
        <v>47</v>
      </c>
      <c r="H21" s="11" t="s">
        <v>33</v>
      </c>
      <c r="I21" s="11" t="s">
        <v>324</v>
      </c>
      <c r="J21" s="11"/>
      <c r="K21" s="11" t="s">
        <v>21</v>
      </c>
      <c r="L21" s="11"/>
      <c r="M21" s="11"/>
      <c r="N21" s="11"/>
      <c r="O21" s="11" t="s">
        <v>125</v>
      </c>
      <c r="P21" s="11"/>
      <c r="Q21" s="11"/>
      <c r="R21" s="11"/>
      <c r="S21" s="9" t="str">
        <f>"0.00"</f>
        <v>0.00</v>
      </c>
      <c r="T21" s="10" t="str">
        <f>"0,0000"</f>
        <v>0,0000</v>
      </c>
      <c r="U21" s="9" t="s">
        <v>325</v>
      </c>
    </row>
    <row r="22" spans="1:21" x14ac:dyDescent="0.2">
      <c r="A22" s="12" t="s">
        <v>326</v>
      </c>
      <c r="B22" s="12" t="s">
        <v>327</v>
      </c>
      <c r="C22" s="12" t="s">
        <v>328</v>
      </c>
      <c r="D22" s="12" t="str">
        <f>"0,7256"</f>
        <v>0,7256</v>
      </c>
      <c r="E22" s="12" t="s">
        <v>17</v>
      </c>
      <c r="F22" s="12" t="s">
        <v>18</v>
      </c>
      <c r="G22" s="14" t="s">
        <v>171</v>
      </c>
      <c r="H22" s="14" t="s">
        <v>171</v>
      </c>
      <c r="I22" s="14" t="s">
        <v>47</v>
      </c>
      <c r="J22" s="14"/>
      <c r="K22" s="14" t="s">
        <v>87</v>
      </c>
      <c r="L22" s="14"/>
      <c r="M22" s="14"/>
      <c r="N22" s="14"/>
      <c r="O22" s="14" t="s">
        <v>47</v>
      </c>
      <c r="P22" s="14"/>
      <c r="Q22" s="14"/>
      <c r="R22" s="14"/>
      <c r="S22" s="12" t="str">
        <f>"0.00"</f>
        <v>0.00</v>
      </c>
      <c r="T22" s="13" t="str">
        <f>"0,0000"</f>
        <v>0,0000</v>
      </c>
      <c r="U22" s="12" t="s">
        <v>98</v>
      </c>
    </row>
    <row r="24" spans="1:21" ht="15" x14ac:dyDescent="0.2">
      <c r="A24" s="36" t="s">
        <v>13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1" x14ac:dyDescent="0.2">
      <c r="A25" s="9" t="s">
        <v>329</v>
      </c>
      <c r="B25" s="9" t="s">
        <v>330</v>
      </c>
      <c r="C25" s="9" t="s">
        <v>331</v>
      </c>
      <c r="D25" s="9" t="str">
        <f>"0,6843"</f>
        <v>0,6843</v>
      </c>
      <c r="E25" s="9" t="s">
        <v>42</v>
      </c>
      <c r="F25" s="9" t="s">
        <v>18</v>
      </c>
      <c r="G25" s="10" t="s">
        <v>123</v>
      </c>
      <c r="H25" s="10" t="s">
        <v>124</v>
      </c>
      <c r="I25" s="10" t="s">
        <v>125</v>
      </c>
      <c r="J25" s="11"/>
      <c r="K25" s="10" t="s">
        <v>36</v>
      </c>
      <c r="L25" s="11" t="s">
        <v>24</v>
      </c>
      <c r="M25" s="10" t="s">
        <v>24</v>
      </c>
      <c r="N25" s="11"/>
      <c r="O25" s="10" t="s">
        <v>157</v>
      </c>
      <c r="P25" s="10" t="s">
        <v>251</v>
      </c>
      <c r="Q25" s="10" t="s">
        <v>294</v>
      </c>
      <c r="R25" s="11"/>
      <c r="S25" s="9" t="str">
        <f>"590,0"</f>
        <v>590,0</v>
      </c>
      <c r="T25" s="10" t="str">
        <f>"403,7370"</f>
        <v>403,7370</v>
      </c>
      <c r="U25" s="9" t="s">
        <v>145</v>
      </c>
    </row>
    <row r="26" spans="1:21" x14ac:dyDescent="0.2">
      <c r="A26" s="23" t="s">
        <v>332</v>
      </c>
      <c r="B26" s="23" t="s">
        <v>333</v>
      </c>
      <c r="C26" s="23" t="s">
        <v>334</v>
      </c>
      <c r="D26" s="23" t="str">
        <f>"0,6811"</f>
        <v>0,6811</v>
      </c>
      <c r="E26" s="23" t="s">
        <v>31</v>
      </c>
      <c r="F26" s="23" t="s">
        <v>335</v>
      </c>
      <c r="G26" s="25" t="s">
        <v>125</v>
      </c>
      <c r="H26" s="24" t="s">
        <v>125</v>
      </c>
      <c r="I26" s="24" t="s">
        <v>142</v>
      </c>
      <c r="J26" s="25"/>
      <c r="K26" s="24" t="s">
        <v>22</v>
      </c>
      <c r="L26" s="25" t="s">
        <v>23</v>
      </c>
      <c r="M26" s="24" t="s">
        <v>23</v>
      </c>
      <c r="N26" s="25"/>
      <c r="O26" s="24" t="s">
        <v>336</v>
      </c>
      <c r="P26" s="24" t="s">
        <v>143</v>
      </c>
      <c r="Q26" s="25" t="s">
        <v>163</v>
      </c>
      <c r="R26" s="25"/>
      <c r="S26" s="23" t="str">
        <f>"532,5"</f>
        <v>532,5</v>
      </c>
      <c r="T26" s="24" t="str">
        <f>"362,6858"</f>
        <v>362,6858</v>
      </c>
      <c r="U26" s="23" t="s">
        <v>337</v>
      </c>
    </row>
    <row r="27" spans="1:21" x14ac:dyDescent="0.2">
      <c r="A27" s="23" t="s">
        <v>338</v>
      </c>
      <c r="B27" s="23" t="s">
        <v>339</v>
      </c>
      <c r="C27" s="23" t="s">
        <v>340</v>
      </c>
      <c r="D27" s="23" t="str">
        <f>"0,6709"</f>
        <v>0,6709</v>
      </c>
      <c r="E27" s="23" t="s">
        <v>31</v>
      </c>
      <c r="F27" s="23" t="s">
        <v>341</v>
      </c>
      <c r="G27" s="25" t="s">
        <v>142</v>
      </c>
      <c r="H27" s="24" t="s">
        <v>142</v>
      </c>
      <c r="I27" s="25" t="s">
        <v>143</v>
      </c>
      <c r="J27" s="25"/>
      <c r="K27" s="24" t="s">
        <v>25</v>
      </c>
      <c r="L27" s="24" t="s">
        <v>171</v>
      </c>
      <c r="M27" s="25" t="s">
        <v>47</v>
      </c>
      <c r="N27" s="25"/>
      <c r="O27" s="24" t="s">
        <v>142</v>
      </c>
      <c r="P27" s="24" t="s">
        <v>143</v>
      </c>
      <c r="Q27" s="25" t="s">
        <v>144</v>
      </c>
      <c r="R27" s="25"/>
      <c r="S27" s="23" t="str">
        <f>"565,0"</f>
        <v>565,0</v>
      </c>
      <c r="T27" s="24" t="str">
        <f>"379,0585"</f>
        <v>379,0585</v>
      </c>
      <c r="U27" s="23" t="s">
        <v>88</v>
      </c>
    </row>
    <row r="28" spans="1:21" x14ac:dyDescent="0.2">
      <c r="A28" s="23" t="s">
        <v>342</v>
      </c>
      <c r="B28" s="23" t="s">
        <v>343</v>
      </c>
      <c r="C28" s="23" t="s">
        <v>344</v>
      </c>
      <c r="D28" s="23" t="str">
        <f>"0,6749"</f>
        <v>0,6749</v>
      </c>
      <c r="E28" s="23" t="s">
        <v>31</v>
      </c>
      <c r="F28" s="23" t="s">
        <v>345</v>
      </c>
      <c r="G28" s="24" t="s">
        <v>34</v>
      </c>
      <c r="H28" s="24" t="s">
        <v>38</v>
      </c>
      <c r="I28" s="25" t="s">
        <v>149</v>
      </c>
      <c r="J28" s="25"/>
      <c r="K28" s="24" t="s">
        <v>25</v>
      </c>
      <c r="L28" s="24" t="s">
        <v>171</v>
      </c>
      <c r="M28" s="25" t="s">
        <v>47</v>
      </c>
      <c r="N28" s="25"/>
      <c r="O28" s="24" t="s">
        <v>124</v>
      </c>
      <c r="P28" s="24" t="s">
        <v>125</v>
      </c>
      <c r="Q28" s="24" t="s">
        <v>177</v>
      </c>
      <c r="R28" s="25"/>
      <c r="S28" s="23" t="str">
        <f>"535,0"</f>
        <v>535,0</v>
      </c>
      <c r="T28" s="24" t="str">
        <f>"361,0715"</f>
        <v>361,0715</v>
      </c>
      <c r="U28" s="23" t="s">
        <v>145</v>
      </c>
    </row>
    <row r="29" spans="1:21" x14ac:dyDescent="0.2">
      <c r="A29" s="12" t="s">
        <v>346</v>
      </c>
      <c r="B29" s="12" t="s">
        <v>347</v>
      </c>
      <c r="C29" s="12" t="s">
        <v>348</v>
      </c>
      <c r="D29" s="12" t="str">
        <f>"0,6905"</f>
        <v>0,6905</v>
      </c>
      <c r="E29" s="12" t="s">
        <v>17</v>
      </c>
      <c r="F29" s="12" t="s">
        <v>18</v>
      </c>
      <c r="G29" s="13" t="s">
        <v>35</v>
      </c>
      <c r="H29" s="14" t="s">
        <v>123</v>
      </c>
      <c r="I29" s="13" t="s">
        <v>123</v>
      </c>
      <c r="J29" s="14"/>
      <c r="K29" s="13" t="s">
        <v>36</v>
      </c>
      <c r="L29" s="13" t="s">
        <v>24</v>
      </c>
      <c r="M29" s="13" t="s">
        <v>122</v>
      </c>
      <c r="N29" s="14"/>
      <c r="O29" s="13" t="s">
        <v>121</v>
      </c>
      <c r="P29" s="13" t="s">
        <v>259</v>
      </c>
      <c r="Q29" s="13" t="s">
        <v>125</v>
      </c>
      <c r="R29" s="14"/>
      <c r="S29" s="12" t="str">
        <f>"520,0"</f>
        <v>520,0</v>
      </c>
      <c r="T29" s="13" t="str">
        <f>"359,0600"</f>
        <v>359,0600</v>
      </c>
      <c r="U29" s="12" t="s">
        <v>145</v>
      </c>
    </row>
    <row r="31" spans="1:21" ht="15" x14ac:dyDescent="0.2">
      <c r="A31" s="36" t="s">
        <v>27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</row>
    <row r="32" spans="1:21" x14ac:dyDescent="0.2">
      <c r="A32" s="9" t="s">
        <v>350</v>
      </c>
      <c r="B32" s="9" t="s">
        <v>351</v>
      </c>
      <c r="C32" s="9" t="s">
        <v>352</v>
      </c>
      <c r="D32" s="9" t="str">
        <f>"0,6483"</f>
        <v>0,6483</v>
      </c>
      <c r="E32" s="9" t="s">
        <v>353</v>
      </c>
      <c r="F32" s="9" t="s">
        <v>354</v>
      </c>
      <c r="G32" s="10" t="s">
        <v>44</v>
      </c>
      <c r="H32" s="10" t="s">
        <v>45</v>
      </c>
      <c r="I32" s="10" t="s">
        <v>49</v>
      </c>
      <c r="J32" s="10" t="s">
        <v>166</v>
      </c>
      <c r="K32" s="10" t="s">
        <v>48</v>
      </c>
      <c r="L32" s="10" t="s">
        <v>137</v>
      </c>
      <c r="M32" s="10" t="s">
        <v>34</v>
      </c>
      <c r="N32" s="11" t="s">
        <v>38</v>
      </c>
      <c r="O32" s="10" t="s">
        <v>45</v>
      </c>
      <c r="P32" s="10" t="s">
        <v>49</v>
      </c>
      <c r="Q32" s="10" t="s">
        <v>157</v>
      </c>
      <c r="R32" s="10" t="s">
        <v>185</v>
      </c>
      <c r="S32" s="9" t="str">
        <f>"660,0"</f>
        <v>660,0</v>
      </c>
      <c r="T32" s="10" t="str">
        <f>"427,8780"</f>
        <v>427,8780</v>
      </c>
      <c r="U32" s="9" t="s">
        <v>145</v>
      </c>
    </row>
    <row r="33" spans="1:21" x14ac:dyDescent="0.2">
      <c r="A33" s="23" t="s">
        <v>356</v>
      </c>
      <c r="B33" s="23" t="s">
        <v>357</v>
      </c>
      <c r="C33" s="23" t="s">
        <v>358</v>
      </c>
      <c r="D33" s="23" t="str">
        <f>"0,6406"</f>
        <v>0,6406</v>
      </c>
      <c r="E33" s="23" t="s">
        <v>31</v>
      </c>
      <c r="F33" s="23" t="s">
        <v>359</v>
      </c>
      <c r="G33" s="24" t="s">
        <v>149</v>
      </c>
      <c r="H33" s="25" t="s">
        <v>125</v>
      </c>
      <c r="I33" s="24" t="s">
        <v>125</v>
      </c>
      <c r="J33" s="25"/>
      <c r="K33" s="24" t="s">
        <v>33</v>
      </c>
      <c r="L33" s="24" t="s">
        <v>34</v>
      </c>
      <c r="M33" s="24" t="s">
        <v>360</v>
      </c>
      <c r="N33" s="24" t="s">
        <v>38</v>
      </c>
      <c r="O33" s="24" t="s">
        <v>125</v>
      </c>
      <c r="P33" s="24" t="s">
        <v>143</v>
      </c>
      <c r="Q33" s="25" t="s">
        <v>45</v>
      </c>
      <c r="R33" s="25"/>
      <c r="S33" s="23" t="str">
        <f>"592,5"</f>
        <v>592,5</v>
      </c>
      <c r="T33" s="24" t="str">
        <f>"379,5555"</f>
        <v>379,5555</v>
      </c>
      <c r="U33" s="23" t="s">
        <v>98</v>
      </c>
    </row>
    <row r="34" spans="1:21" x14ac:dyDescent="0.2">
      <c r="A34" s="23" t="s">
        <v>361</v>
      </c>
      <c r="B34" s="23" t="s">
        <v>362</v>
      </c>
      <c r="C34" s="23" t="s">
        <v>363</v>
      </c>
      <c r="D34" s="23" t="str">
        <f>"0,6549"</f>
        <v>0,6549</v>
      </c>
      <c r="E34" s="23" t="s">
        <v>31</v>
      </c>
      <c r="F34" s="23" t="s">
        <v>206</v>
      </c>
      <c r="G34" s="24" t="s">
        <v>81</v>
      </c>
      <c r="H34" s="24" t="s">
        <v>87</v>
      </c>
      <c r="I34" s="24" t="s">
        <v>115</v>
      </c>
      <c r="J34" s="25"/>
      <c r="K34" s="24" t="s">
        <v>79</v>
      </c>
      <c r="L34" s="24" t="s">
        <v>94</v>
      </c>
      <c r="M34" s="25" t="s">
        <v>95</v>
      </c>
      <c r="N34" s="25"/>
      <c r="O34" s="24" t="s">
        <v>19</v>
      </c>
      <c r="P34" s="24" t="s">
        <v>20</v>
      </c>
      <c r="Q34" s="24" t="s">
        <v>21</v>
      </c>
      <c r="R34" s="25"/>
      <c r="S34" s="23" t="str">
        <f>"295,0"</f>
        <v>295,0</v>
      </c>
      <c r="T34" s="24" t="str">
        <f>"193,1955"</f>
        <v>193,1955</v>
      </c>
      <c r="U34" s="23" t="s">
        <v>50</v>
      </c>
    </row>
    <row r="35" spans="1:21" x14ac:dyDescent="0.2">
      <c r="A35" s="12" t="s">
        <v>364</v>
      </c>
      <c r="B35" s="12" t="s">
        <v>365</v>
      </c>
      <c r="C35" s="12" t="s">
        <v>366</v>
      </c>
      <c r="D35" s="12" t="str">
        <f>"0,6421"</f>
        <v>0,6421</v>
      </c>
      <c r="E35" s="12" t="s">
        <v>17</v>
      </c>
      <c r="F35" s="12" t="s">
        <v>18</v>
      </c>
      <c r="G35" s="14" t="s">
        <v>149</v>
      </c>
      <c r="H35" s="14" t="s">
        <v>149</v>
      </c>
      <c r="I35" s="13" t="s">
        <v>125</v>
      </c>
      <c r="J35" s="14"/>
      <c r="K35" s="13" t="s">
        <v>36</v>
      </c>
      <c r="L35" s="14" t="s">
        <v>367</v>
      </c>
      <c r="M35" s="14" t="s">
        <v>367</v>
      </c>
      <c r="N35" s="14"/>
      <c r="O35" s="13" t="s">
        <v>149</v>
      </c>
      <c r="P35" s="13" t="s">
        <v>259</v>
      </c>
      <c r="Q35" s="13" t="s">
        <v>142</v>
      </c>
      <c r="R35" s="14"/>
      <c r="S35" s="12" t="str">
        <f>"530,0"</f>
        <v>530,0</v>
      </c>
      <c r="T35" s="13" t="str">
        <f>"409,7368"</f>
        <v>409,7368</v>
      </c>
      <c r="U35" s="12" t="s">
        <v>98</v>
      </c>
    </row>
    <row r="37" spans="1:21" ht="15" x14ac:dyDescent="0.2">
      <c r="A37" s="36" t="s">
        <v>39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1" x14ac:dyDescent="0.2">
      <c r="A38" s="6" t="s">
        <v>368</v>
      </c>
      <c r="B38" s="6" t="s">
        <v>369</v>
      </c>
      <c r="C38" s="6" t="s">
        <v>370</v>
      </c>
      <c r="D38" s="6" t="str">
        <f>"0,6315"</f>
        <v>0,6315</v>
      </c>
      <c r="E38" s="6" t="s">
        <v>17</v>
      </c>
      <c r="F38" s="6" t="s">
        <v>18</v>
      </c>
      <c r="G38" s="7" t="s">
        <v>33</v>
      </c>
      <c r="H38" s="7" t="s">
        <v>34</v>
      </c>
      <c r="I38" s="7" t="s">
        <v>360</v>
      </c>
      <c r="J38" s="8"/>
      <c r="K38" s="8" t="s">
        <v>37</v>
      </c>
      <c r="L38" s="7" t="s">
        <v>367</v>
      </c>
      <c r="M38" s="7" t="s">
        <v>122</v>
      </c>
      <c r="N38" s="7" t="s">
        <v>164</v>
      </c>
      <c r="O38" s="7" t="s">
        <v>35</v>
      </c>
      <c r="P38" s="7" t="s">
        <v>123</v>
      </c>
      <c r="Q38" s="7" t="s">
        <v>124</v>
      </c>
      <c r="R38" s="8"/>
      <c r="S38" s="6" t="str">
        <f>"505,0"</f>
        <v>505,0</v>
      </c>
      <c r="T38" s="7" t="str">
        <f>"318,9075"</f>
        <v>318,9075</v>
      </c>
      <c r="U38" s="6" t="s">
        <v>98</v>
      </c>
    </row>
    <row r="40" spans="1:21" ht="15" x14ac:dyDescent="0.2">
      <c r="A40" s="36" t="s">
        <v>158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pans="1:21" x14ac:dyDescent="0.2">
      <c r="A41" s="9" t="s">
        <v>371</v>
      </c>
      <c r="B41" s="9" t="s">
        <v>372</v>
      </c>
      <c r="C41" s="9" t="s">
        <v>373</v>
      </c>
      <c r="D41" s="9" t="str">
        <f>"0,6024"</f>
        <v>0,6024</v>
      </c>
      <c r="E41" s="9" t="s">
        <v>17</v>
      </c>
      <c r="F41" s="9" t="s">
        <v>18</v>
      </c>
      <c r="G41" s="10" t="s">
        <v>38</v>
      </c>
      <c r="H41" s="10" t="s">
        <v>229</v>
      </c>
      <c r="I41" s="10" t="s">
        <v>142</v>
      </c>
      <c r="J41" s="11"/>
      <c r="K41" s="10" t="s">
        <v>25</v>
      </c>
      <c r="L41" s="10" t="s">
        <v>48</v>
      </c>
      <c r="M41" s="11"/>
      <c r="N41" s="11"/>
      <c r="O41" s="10" t="s">
        <v>177</v>
      </c>
      <c r="P41" s="10" t="s">
        <v>144</v>
      </c>
      <c r="Q41" s="10" t="s">
        <v>49</v>
      </c>
      <c r="R41" s="11"/>
      <c r="S41" s="9" t="str">
        <f>"600,0"</f>
        <v>600,0</v>
      </c>
      <c r="T41" s="10" t="str">
        <f>"361,4400"</f>
        <v>361,4400</v>
      </c>
      <c r="U41" s="9" t="s">
        <v>145</v>
      </c>
    </row>
    <row r="42" spans="1:21" x14ac:dyDescent="0.2">
      <c r="A42" s="23" t="s">
        <v>374</v>
      </c>
      <c r="B42" s="23" t="s">
        <v>375</v>
      </c>
      <c r="C42" s="23" t="s">
        <v>376</v>
      </c>
      <c r="D42" s="23" t="str">
        <f>"0,5933"</f>
        <v>0,5933</v>
      </c>
      <c r="E42" s="23" t="s">
        <v>17</v>
      </c>
      <c r="F42" s="23" t="s">
        <v>18</v>
      </c>
      <c r="G42" s="24" t="s">
        <v>125</v>
      </c>
      <c r="H42" s="24" t="s">
        <v>143</v>
      </c>
      <c r="I42" s="25" t="s">
        <v>144</v>
      </c>
      <c r="J42" s="25"/>
      <c r="K42" s="24" t="s">
        <v>24</v>
      </c>
      <c r="L42" s="24" t="s">
        <v>25</v>
      </c>
      <c r="M42" s="25" t="s">
        <v>171</v>
      </c>
      <c r="N42" s="25"/>
      <c r="O42" s="24" t="s">
        <v>44</v>
      </c>
      <c r="P42" s="24" t="s">
        <v>45</v>
      </c>
      <c r="Q42" s="25" t="s">
        <v>49</v>
      </c>
      <c r="R42" s="25"/>
      <c r="S42" s="23" t="str">
        <f>"585,0"</f>
        <v>585,0</v>
      </c>
      <c r="T42" s="24" t="str">
        <f>"347,0805"</f>
        <v>347,0805</v>
      </c>
      <c r="U42" s="23" t="s">
        <v>377</v>
      </c>
    </row>
    <row r="43" spans="1:21" x14ac:dyDescent="0.2">
      <c r="A43" s="23" t="s">
        <v>378</v>
      </c>
      <c r="B43" s="23" t="s">
        <v>379</v>
      </c>
      <c r="C43" s="23" t="s">
        <v>380</v>
      </c>
      <c r="D43" s="23" t="str">
        <f>"0,5895"</f>
        <v>0,5895</v>
      </c>
      <c r="E43" s="23" t="s">
        <v>31</v>
      </c>
      <c r="F43" s="23" t="s">
        <v>381</v>
      </c>
      <c r="G43" s="24" t="s">
        <v>143</v>
      </c>
      <c r="H43" s="24" t="s">
        <v>45</v>
      </c>
      <c r="I43" s="24" t="s">
        <v>153</v>
      </c>
      <c r="J43" s="25"/>
      <c r="K43" s="24" t="s">
        <v>25</v>
      </c>
      <c r="L43" s="24" t="s">
        <v>47</v>
      </c>
      <c r="M43" s="24" t="s">
        <v>48</v>
      </c>
      <c r="N43" s="25"/>
      <c r="O43" s="24" t="s">
        <v>44</v>
      </c>
      <c r="P43" s="24" t="s">
        <v>45</v>
      </c>
      <c r="Q43" s="24" t="s">
        <v>46</v>
      </c>
      <c r="R43" s="25"/>
      <c r="S43" s="23" t="str">
        <f>"635,0"</f>
        <v>635,0</v>
      </c>
      <c r="T43" s="24" t="str">
        <f>"390,4288"</f>
        <v>390,4288</v>
      </c>
      <c r="U43" s="23" t="s">
        <v>382</v>
      </c>
    </row>
    <row r="44" spans="1:21" x14ac:dyDescent="0.2">
      <c r="A44" s="12" t="s">
        <v>374</v>
      </c>
      <c r="B44" s="12" t="s">
        <v>383</v>
      </c>
      <c r="C44" s="12" t="s">
        <v>376</v>
      </c>
      <c r="D44" s="12" t="str">
        <f>"0,5933"</f>
        <v>0,5933</v>
      </c>
      <c r="E44" s="12" t="s">
        <v>17</v>
      </c>
      <c r="F44" s="12" t="s">
        <v>18</v>
      </c>
      <c r="G44" s="13" t="s">
        <v>125</v>
      </c>
      <c r="H44" s="13" t="s">
        <v>143</v>
      </c>
      <c r="I44" s="14" t="s">
        <v>144</v>
      </c>
      <c r="J44" s="14"/>
      <c r="K44" s="13" t="s">
        <v>24</v>
      </c>
      <c r="L44" s="13" t="s">
        <v>25</v>
      </c>
      <c r="M44" s="14" t="s">
        <v>171</v>
      </c>
      <c r="N44" s="14"/>
      <c r="O44" s="13" t="s">
        <v>44</v>
      </c>
      <c r="P44" s="13" t="s">
        <v>45</v>
      </c>
      <c r="Q44" s="14" t="s">
        <v>49</v>
      </c>
      <c r="R44" s="14"/>
      <c r="S44" s="12" t="str">
        <f>"585,0"</f>
        <v>585,0</v>
      </c>
      <c r="T44" s="13" t="str">
        <f>"354,0221"</f>
        <v>354,0221</v>
      </c>
      <c r="U44" s="12" t="s">
        <v>377</v>
      </c>
    </row>
    <row r="46" spans="1:21" ht="15" x14ac:dyDescent="0.2">
      <c r="A46" s="36" t="s">
        <v>276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</row>
    <row r="47" spans="1:21" x14ac:dyDescent="0.2">
      <c r="A47" s="9" t="s">
        <v>385</v>
      </c>
      <c r="B47" s="9" t="s">
        <v>386</v>
      </c>
      <c r="C47" s="9" t="s">
        <v>387</v>
      </c>
      <c r="D47" s="9" t="str">
        <f>"0,5723"</f>
        <v>0,5723</v>
      </c>
      <c r="E47" s="9" t="s">
        <v>31</v>
      </c>
      <c r="F47" s="9" t="s">
        <v>388</v>
      </c>
      <c r="G47" s="10" t="s">
        <v>157</v>
      </c>
      <c r="H47" s="10" t="s">
        <v>294</v>
      </c>
      <c r="I47" s="10" t="s">
        <v>252</v>
      </c>
      <c r="J47" s="11"/>
      <c r="K47" s="10" t="s">
        <v>137</v>
      </c>
      <c r="L47" s="11" t="s">
        <v>34</v>
      </c>
      <c r="M47" s="11" t="s">
        <v>34</v>
      </c>
      <c r="N47" s="11"/>
      <c r="O47" s="10" t="s">
        <v>153</v>
      </c>
      <c r="P47" s="10" t="s">
        <v>294</v>
      </c>
      <c r="Q47" s="11"/>
      <c r="R47" s="11"/>
      <c r="S47" s="9" t="str">
        <f>"695,0"</f>
        <v>695,0</v>
      </c>
      <c r="T47" s="10" t="str">
        <f>"397,7485"</f>
        <v>397,7485</v>
      </c>
      <c r="U47" s="9" t="s">
        <v>98</v>
      </c>
    </row>
    <row r="48" spans="1:21" x14ac:dyDescent="0.2">
      <c r="A48" s="12" t="s">
        <v>389</v>
      </c>
      <c r="B48" s="12" t="s">
        <v>390</v>
      </c>
      <c r="C48" s="12" t="s">
        <v>391</v>
      </c>
      <c r="D48" s="12" t="str">
        <f>"0,5711"</f>
        <v>0,5711</v>
      </c>
      <c r="E48" s="12" t="s">
        <v>17</v>
      </c>
      <c r="F48" s="12" t="s">
        <v>18</v>
      </c>
      <c r="G48" s="14" t="s">
        <v>45</v>
      </c>
      <c r="H48" s="14" t="s">
        <v>45</v>
      </c>
      <c r="I48" s="13" t="s">
        <v>45</v>
      </c>
      <c r="J48" s="14"/>
      <c r="K48" s="13" t="s">
        <v>33</v>
      </c>
      <c r="L48" s="13" t="s">
        <v>132</v>
      </c>
      <c r="M48" s="13" t="s">
        <v>35</v>
      </c>
      <c r="N48" s="14"/>
      <c r="O48" s="13" t="s">
        <v>49</v>
      </c>
      <c r="P48" s="13" t="s">
        <v>166</v>
      </c>
      <c r="Q48" s="14" t="s">
        <v>235</v>
      </c>
      <c r="R48" s="14"/>
      <c r="S48" s="12" t="str">
        <f>"657,5"</f>
        <v>657,5</v>
      </c>
      <c r="T48" s="13" t="str">
        <f>"375,4982"</f>
        <v>375,4982</v>
      </c>
      <c r="U48" s="12" t="s">
        <v>50</v>
      </c>
    </row>
    <row r="50" spans="1:5" ht="15" x14ac:dyDescent="0.2">
      <c r="E50" s="15" t="s">
        <v>57</v>
      </c>
    </row>
    <row r="51" spans="1:5" ht="15" x14ac:dyDescent="0.2">
      <c r="E51" s="15" t="s">
        <v>58</v>
      </c>
    </row>
    <row r="52" spans="1:5" ht="15" x14ac:dyDescent="0.2">
      <c r="E52" s="15"/>
    </row>
    <row r="54" spans="1:5" ht="18" x14ac:dyDescent="0.25">
      <c r="A54" s="16" t="s">
        <v>62</v>
      </c>
      <c r="B54" s="16"/>
    </row>
    <row r="55" spans="1:5" ht="15" x14ac:dyDescent="0.2">
      <c r="A55" s="17" t="s">
        <v>63</v>
      </c>
      <c r="B55" s="17"/>
    </row>
    <row r="56" spans="1:5" ht="14.25" x14ac:dyDescent="0.2">
      <c r="A56" s="19"/>
      <c r="B56" s="20" t="s">
        <v>64</v>
      </c>
    </row>
    <row r="57" spans="1:5" ht="15" x14ac:dyDescent="0.2">
      <c r="A57" s="21" t="s">
        <v>65</v>
      </c>
      <c r="B57" s="21" t="s">
        <v>66</v>
      </c>
      <c r="C57" s="21" t="s">
        <v>67</v>
      </c>
      <c r="D57" s="21" t="s">
        <v>68</v>
      </c>
      <c r="E57" s="21" t="s">
        <v>69</v>
      </c>
    </row>
    <row r="58" spans="1:5" x14ac:dyDescent="0.2">
      <c r="A58" s="18" t="s">
        <v>349</v>
      </c>
      <c r="B58" s="4" t="s">
        <v>64</v>
      </c>
      <c r="C58" s="4" t="s">
        <v>70</v>
      </c>
      <c r="D58" s="4" t="s">
        <v>392</v>
      </c>
      <c r="E58" s="22" t="s">
        <v>393</v>
      </c>
    </row>
    <row r="59" spans="1:5" x14ac:dyDescent="0.2">
      <c r="A59" s="18" t="s">
        <v>384</v>
      </c>
      <c r="B59" s="4" t="s">
        <v>64</v>
      </c>
      <c r="C59" s="4" t="s">
        <v>36</v>
      </c>
      <c r="D59" s="4" t="s">
        <v>394</v>
      </c>
      <c r="E59" s="22" t="s">
        <v>395</v>
      </c>
    </row>
    <row r="60" spans="1:5" x14ac:dyDescent="0.2">
      <c r="A60" s="18" t="s">
        <v>355</v>
      </c>
      <c r="B60" s="4" t="s">
        <v>64</v>
      </c>
      <c r="C60" s="4" t="s">
        <v>70</v>
      </c>
      <c r="D60" s="4" t="s">
        <v>396</v>
      </c>
      <c r="E60" s="22" t="s">
        <v>397</v>
      </c>
    </row>
  </sheetData>
  <mergeCells count="24"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  <mergeCell ref="A40:T40"/>
    <mergeCell ref="A46:T46"/>
    <mergeCell ref="A14:T14"/>
    <mergeCell ref="A17:T17"/>
    <mergeCell ref="A20:T20"/>
    <mergeCell ref="A24:T24"/>
    <mergeCell ref="A31:T31"/>
    <mergeCell ref="A37:T3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opLeftCell="A25" workbookViewId="0">
      <selection activeCell="A48" sqref="A48:XFD5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8554687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8" width="5.5703125" style="3" bestFit="1" customWidth="1"/>
    <col min="19" max="19" width="7.85546875" style="4" bestFit="1" customWidth="1"/>
    <col min="20" max="20" width="8.5703125" style="3" bestFit="1" customWidth="1"/>
    <col min="21" max="21" width="14.42578125" style="4" bestFit="1" customWidth="1"/>
    <col min="22" max="16384" width="9.140625" style="3"/>
  </cols>
  <sheetData>
    <row r="1" spans="1:21" s="2" customFormat="1" ht="29.1" customHeight="1" x14ac:dyDescent="0.2">
      <c r="A1" s="42" t="s">
        <v>1190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5">
        <v>1</v>
      </c>
      <c r="L4" s="5">
        <v>2</v>
      </c>
      <c r="M4" s="5">
        <v>3</v>
      </c>
      <c r="N4" s="5" t="s">
        <v>8</v>
      </c>
      <c r="O4" s="5">
        <v>1</v>
      </c>
      <c r="P4" s="5">
        <v>2</v>
      </c>
      <c r="Q4" s="5">
        <v>3</v>
      </c>
      <c r="R4" s="5" t="s">
        <v>8</v>
      </c>
      <c r="S4" s="38"/>
      <c r="T4" s="38"/>
      <c r="U4" s="40"/>
    </row>
    <row r="5" spans="1:21" ht="15" x14ac:dyDescent="0.2">
      <c r="A5" s="41" t="s">
        <v>74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1" x14ac:dyDescent="0.2">
      <c r="A6" s="6" t="s">
        <v>75</v>
      </c>
      <c r="B6" s="6" t="s">
        <v>76</v>
      </c>
      <c r="C6" s="6" t="s">
        <v>77</v>
      </c>
      <c r="D6" s="6" t="str">
        <f>"1,3490"</f>
        <v>1,3490</v>
      </c>
      <c r="E6" s="6" t="s">
        <v>31</v>
      </c>
      <c r="F6" s="6" t="s">
        <v>78</v>
      </c>
      <c r="G6" s="7" t="s">
        <v>79</v>
      </c>
      <c r="H6" s="7" t="s">
        <v>80</v>
      </c>
      <c r="I6" s="7" t="s">
        <v>73</v>
      </c>
      <c r="J6" s="7" t="s">
        <v>81</v>
      </c>
      <c r="K6" s="7" t="s">
        <v>82</v>
      </c>
      <c r="L6" s="7" t="s">
        <v>83</v>
      </c>
      <c r="M6" s="7" t="s">
        <v>84</v>
      </c>
      <c r="N6" s="8" t="s">
        <v>85</v>
      </c>
      <c r="O6" s="7" t="s">
        <v>86</v>
      </c>
      <c r="P6" s="7" t="s">
        <v>81</v>
      </c>
      <c r="Q6" s="7" t="s">
        <v>87</v>
      </c>
      <c r="R6" s="7" t="s">
        <v>19</v>
      </c>
      <c r="S6" s="6" t="str">
        <f>"220,0"</f>
        <v>220,0</v>
      </c>
      <c r="T6" s="7" t="str">
        <f>"296,7800"</f>
        <v>296,7800</v>
      </c>
      <c r="U6" s="6" t="s">
        <v>88</v>
      </c>
    </row>
    <row r="8" spans="1:21" ht="15" x14ac:dyDescent="0.2">
      <c r="A8" s="36" t="s">
        <v>89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1" x14ac:dyDescent="0.2">
      <c r="A9" s="6" t="s">
        <v>90</v>
      </c>
      <c r="B9" s="6" t="s">
        <v>91</v>
      </c>
      <c r="C9" s="6" t="s">
        <v>92</v>
      </c>
      <c r="D9" s="6" t="str">
        <f>"1,2788"</f>
        <v>1,2788</v>
      </c>
      <c r="E9" s="6" t="s">
        <v>17</v>
      </c>
      <c r="F9" s="6" t="s">
        <v>18</v>
      </c>
      <c r="G9" s="7" t="s">
        <v>93</v>
      </c>
      <c r="H9" s="8" t="s">
        <v>94</v>
      </c>
      <c r="I9" s="8" t="s">
        <v>95</v>
      </c>
      <c r="J9" s="8"/>
      <c r="K9" s="7" t="s">
        <v>96</v>
      </c>
      <c r="L9" s="7" t="s">
        <v>83</v>
      </c>
      <c r="M9" s="8" t="s">
        <v>97</v>
      </c>
      <c r="N9" s="8"/>
      <c r="O9" s="7" t="s">
        <v>79</v>
      </c>
      <c r="P9" s="7" t="s">
        <v>94</v>
      </c>
      <c r="Q9" s="7" t="s">
        <v>80</v>
      </c>
      <c r="R9" s="8"/>
      <c r="S9" s="6" t="str">
        <f>"180,0"</f>
        <v>180,0</v>
      </c>
      <c r="T9" s="7" t="str">
        <f>"230,1840"</f>
        <v>230,1840</v>
      </c>
      <c r="U9" s="6" t="s">
        <v>98</v>
      </c>
    </row>
    <row r="11" spans="1:21" ht="15" x14ac:dyDescent="0.2">
      <c r="A11" s="36" t="s">
        <v>99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1" x14ac:dyDescent="0.2">
      <c r="A12" s="6" t="s">
        <v>100</v>
      </c>
      <c r="B12" s="6" t="s">
        <v>101</v>
      </c>
      <c r="C12" s="6" t="s">
        <v>102</v>
      </c>
      <c r="D12" s="6" t="str">
        <f>"1,1783"</f>
        <v>1,1783</v>
      </c>
      <c r="E12" s="6" t="s">
        <v>17</v>
      </c>
      <c r="F12" s="6" t="s">
        <v>18</v>
      </c>
      <c r="G12" s="7" t="s">
        <v>103</v>
      </c>
      <c r="H12" s="7" t="s">
        <v>104</v>
      </c>
      <c r="I12" s="7" t="s">
        <v>105</v>
      </c>
      <c r="J12" s="8"/>
      <c r="K12" s="8" t="s">
        <v>106</v>
      </c>
      <c r="L12" s="8" t="s">
        <v>106</v>
      </c>
      <c r="M12" s="7" t="s">
        <v>106</v>
      </c>
      <c r="N12" s="8"/>
      <c r="O12" s="8" t="s">
        <v>21</v>
      </c>
      <c r="P12" s="7" t="s">
        <v>21</v>
      </c>
      <c r="Q12" s="7" t="s">
        <v>107</v>
      </c>
      <c r="R12" s="8"/>
      <c r="S12" s="6" t="str">
        <f>"277,5"</f>
        <v>277,5</v>
      </c>
      <c r="T12" s="7" t="str">
        <f>"326,9783"</f>
        <v>326,9783</v>
      </c>
      <c r="U12" s="6" t="s">
        <v>108</v>
      </c>
    </row>
    <row r="14" spans="1:21" ht="15" x14ac:dyDescent="0.2">
      <c r="A14" s="36" t="s">
        <v>109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1" x14ac:dyDescent="0.2">
      <c r="A15" s="6" t="s">
        <v>110</v>
      </c>
      <c r="B15" s="6" t="s">
        <v>111</v>
      </c>
      <c r="C15" s="6" t="s">
        <v>112</v>
      </c>
      <c r="D15" s="6" t="str">
        <f>"1,0374"</f>
        <v>1,0374</v>
      </c>
      <c r="E15" s="6" t="s">
        <v>17</v>
      </c>
      <c r="F15" s="6" t="s">
        <v>18</v>
      </c>
      <c r="G15" s="7" t="s">
        <v>87</v>
      </c>
      <c r="H15" s="7" t="s">
        <v>19</v>
      </c>
      <c r="I15" s="8" t="s">
        <v>22</v>
      </c>
      <c r="J15" s="8"/>
      <c r="K15" s="7" t="s">
        <v>113</v>
      </c>
      <c r="L15" s="8" t="s">
        <v>114</v>
      </c>
      <c r="M15" s="8" t="s">
        <v>114</v>
      </c>
      <c r="N15" s="8"/>
      <c r="O15" s="7" t="s">
        <v>19</v>
      </c>
      <c r="P15" s="7" t="s">
        <v>115</v>
      </c>
      <c r="Q15" s="7" t="s">
        <v>20</v>
      </c>
      <c r="R15" s="8"/>
      <c r="S15" s="6" t="str">
        <f>"257,5"</f>
        <v>257,5</v>
      </c>
      <c r="T15" s="7" t="str">
        <f>"267,1305"</f>
        <v>267,1305</v>
      </c>
      <c r="U15" s="6" t="s">
        <v>116</v>
      </c>
    </row>
    <row r="17" spans="1:21" ht="15" x14ac:dyDescent="0.2">
      <c r="A17" s="36" t="s">
        <v>117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1" x14ac:dyDescent="0.2">
      <c r="A18" s="6" t="s">
        <v>118</v>
      </c>
      <c r="B18" s="6" t="s">
        <v>119</v>
      </c>
      <c r="C18" s="6" t="s">
        <v>120</v>
      </c>
      <c r="D18" s="6" t="str">
        <f>"0,7179"</f>
        <v>0,7179</v>
      </c>
      <c r="E18" s="6" t="s">
        <v>17</v>
      </c>
      <c r="F18" s="6" t="s">
        <v>18</v>
      </c>
      <c r="G18" s="7" t="s">
        <v>34</v>
      </c>
      <c r="H18" s="7" t="s">
        <v>38</v>
      </c>
      <c r="I18" s="7" t="s">
        <v>121</v>
      </c>
      <c r="J18" s="8"/>
      <c r="K18" s="7" t="s">
        <v>36</v>
      </c>
      <c r="L18" s="7" t="s">
        <v>24</v>
      </c>
      <c r="M18" s="7" t="s">
        <v>122</v>
      </c>
      <c r="N18" s="8"/>
      <c r="O18" s="7" t="s">
        <v>123</v>
      </c>
      <c r="P18" s="7" t="s">
        <v>124</v>
      </c>
      <c r="Q18" s="7" t="s">
        <v>125</v>
      </c>
      <c r="R18" s="8"/>
      <c r="S18" s="6" t="str">
        <f>"522,5"</f>
        <v>522,5</v>
      </c>
      <c r="T18" s="7" t="str">
        <f>"375,1027"</f>
        <v>375,1027</v>
      </c>
      <c r="U18" s="6" t="s">
        <v>126</v>
      </c>
    </row>
    <row r="20" spans="1:21" ht="15" x14ac:dyDescent="0.2">
      <c r="A20" s="36" t="s">
        <v>13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1" x14ac:dyDescent="0.2">
      <c r="A21" s="9" t="s">
        <v>127</v>
      </c>
      <c r="B21" s="9" t="s">
        <v>128</v>
      </c>
      <c r="C21" s="9" t="s">
        <v>129</v>
      </c>
      <c r="D21" s="9" t="str">
        <f>"0,6827"</f>
        <v>0,6827</v>
      </c>
      <c r="E21" s="9" t="s">
        <v>17</v>
      </c>
      <c r="F21" s="9" t="s">
        <v>18</v>
      </c>
      <c r="G21" s="10" t="s">
        <v>25</v>
      </c>
      <c r="H21" s="10" t="s">
        <v>130</v>
      </c>
      <c r="I21" s="10" t="s">
        <v>48</v>
      </c>
      <c r="J21" s="11"/>
      <c r="K21" s="10" t="s">
        <v>115</v>
      </c>
      <c r="L21" s="10" t="s">
        <v>23</v>
      </c>
      <c r="M21" s="11" t="s">
        <v>131</v>
      </c>
      <c r="N21" s="11"/>
      <c r="O21" s="10" t="s">
        <v>33</v>
      </c>
      <c r="P21" s="10" t="s">
        <v>132</v>
      </c>
      <c r="Q21" s="10" t="s">
        <v>133</v>
      </c>
      <c r="R21" s="11"/>
      <c r="S21" s="9" t="str">
        <f>"440,0"</f>
        <v>440,0</v>
      </c>
      <c r="T21" s="10" t="str">
        <f>"300,3880"</f>
        <v>300,3880</v>
      </c>
      <c r="U21" s="9" t="s">
        <v>98</v>
      </c>
    </row>
    <row r="22" spans="1:21" x14ac:dyDescent="0.2">
      <c r="A22" s="12" t="s">
        <v>134</v>
      </c>
      <c r="B22" s="12" t="s">
        <v>135</v>
      </c>
      <c r="C22" s="12" t="s">
        <v>136</v>
      </c>
      <c r="D22" s="12" t="str">
        <f>"0,6916"</f>
        <v>0,6916</v>
      </c>
      <c r="E22" s="12" t="s">
        <v>17</v>
      </c>
      <c r="F22" s="12" t="s">
        <v>18</v>
      </c>
      <c r="G22" s="13" t="s">
        <v>21</v>
      </c>
      <c r="H22" s="13" t="s">
        <v>24</v>
      </c>
      <c r="I22" s="13" t="s">
        <v>25</v>
      </c>
      <c r="J22" s="14"/>
      <c r="K22" s="13" t="s">
        <v>21</v>
      </c>
      <c r="L22" s="13" t="s">
        <v>36</v>
      </c>
      <c r="M22" s="13" t="s">
        <v>24</v>
      </c>
      <c r="N22" s="14"/>
      <c r="O22" s="13" t="s">
        <v>137</v>
      </c>
      <c r="P22" s="14" t="s">
        <v>35</v>
      </c>
      <c r="Q22" s="14" t="s">
        <v>35</v>
      </c>
      <c r="R22" s="14"/>
      <c r="S22" s="12" t="str">
        <f>"435,0"</f>
        <v>435,0</v>
      </c>
      <c r="T22" s="13" t="str">
        <f>"303,8545"</f>
        <v>303,8545</v>
      </c>
      <c r="U22" s="12" t="s">
        <v>98</v>
      </c>
    </row>
    <row r="24" spans="1:21" ht="15" x14ac:dyDescent="0.2">
      <c r="A24" s="36" t="s">
        <v>27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1" x14ac:dyDescent="0.2">
      <c r="A25" s="9" t="s">
        <v>139</v>
      </c>
      <c r="B25" s="9" t="s">
        <v>140</v>
      </c>
      <c r="C25" s="9" t="s">
        <v>141</v>
      </c>
      <c r="D25" s="9" t="str">
        <f>"0,6680"</f>
        <v>0,6680</v>
      </c>
      <c r="E25" s="9" t="s">
        <v>17</v>
      </c>
      <c r="F25" s="9" t="s">
        <v>18</v>
      </c>
      <c r="G25" s="10" t="s">
        <v>142</v>
      </c>
      <c r="H25" s="10" t="s">
        <v>143</v>
      </c>
      <c r="I25" s="10" t="s">
        <v>44</v>
      </c>
      <c r="J25" s="11"/>
      <c r="K25" s="10" t="s">
        <v>24</v>
      </c>
      <c r="L25" s="10" t="s">
        <v>122</v>
      </c>
      <c r="M25" s="11" t="s">
        <v>25</v>
      </c>
      <c r="N25" s="11"/>
      <c r="O25" s="10" t="s">
        <v>144</v>
      </c>
      <c r="P25" s="10" t="s">
        <v>46</v>
      </c>
      <c r="Q25" s="11" t="s">
        <v>49</v>
      </c>
      <c r="R25" s="11"/>
      <c r="S25" s="9" t="str">
        <f>"590,0"</f>
        <v>590,0</v>
      </c>
      <c r="T25" s="10" t="str">
        <f>"394,1200"</f>
        <v>394,1200</v>
      </c>
      <c r="U25" s="9" t="s">
        <v>145</v>
      </c>
    </row>
    <row r="26" spans="1:21" x14ac:dyDescent="0.2">
      <c r="A26" s="12" t="s">
        <v>146</v>
      </c>
      <c r="B26" s="12" t="s">
        <v>147</v>
      </c>
      <c r="C26" s="12" t="s">
        <v>148</v>
      </c>
      <c r="D26" s="12" t="str">
        <f>"0,6424"</f>
        <v>0,6424</v>
      </c>
      <c r="E26" s="12" t="s">
        <v>31</v>
      </c>
      <c r="F26" s="12" t="s">
        <v>78</v>
      </c>
      <c r="G26" s="14" t="s">
        <v>34</v>
      </c>
      <c r="H26" s="13" t="s">
        <v>34</v>
      </c>
      <c r="I26" s="13" t="s">
        <v>149</v>
      </c>
      <c r="J26" s="14"/>
      <c r="K26" s="13" t="s">
        <v>36</v>
      </c>
      <c r="L26" s="14" t="s">
        <v>122</v>
      </c>
      <c r="M26" s="13" t="s">
        <v>122</v>
      </c>
      <c r="N26" s="14"/>
      <c r="O26" s="14" t="s">
        <v>123</v>
      </c>
      <c r="P26" s="13" t="s">
        <v>125</v>
      </c>
      <c r="Q26" s="13" t="s">
        <v>44</v>
      </c>
      <c r="R26" s="14"/>
      <c r="S26" s="12" t="str">
        <f>"545,0"</f>
        <v>545,0</v>
      </c>
      <c r="T26" s="13" t="str">
        <f>"350,1080"</f>
        <v>350,1080</v>
      </c>
      <c r="U26" s="12" t="s">
        <v>88</v>
      </c>
    </row>
    <row r="28" spans="1:21" ht="15" x14ac:dyDescent="0.2">
      <c r="A28" s="36" t="s">
        <v>39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29" spans="1:21" x14ac:dyDescent="0.2">
      <c r="A29" s="9" t="s">
        <v>150</v>
      </c>
      <c r="B29" s="9" t="s">
        <v>151</v>
      </c>
      <c r="C29" s="9" t="s">
        <v>152</v>
      </c>
      <c r="D29" s="9" t="str">
        <f>"0,6142"</f>
        <v>0,6142</v>
      </c>
      <c r="E29" s="9" t="s">
        <v>17</v>
      </c>
      <c r="F29" s="9" t="s">
        <v>18</v>
      </c>
      <c r="G29" s="11" t="s">
        <v>125</v>
      </c>
      <c r="H29" s="11" t="s">
        <v>142</v>
      </c>
      <c r="I29" s="10" t="s">
        <v>142</v>
      </c>
      <c r="J29" s="11"/>
      <c r="K29" s="10" t="s">
        <v>137</v>
      </c>
      <c r="L29" s="10" t="s">
        <v>34</v>
      </c>
      <c r="M29" s="10" t="s">
        <v>35</v>
      </c>
      <c r="N29" s="11"/>
      <c r="O29" s="10" t="s">
        <v>45</v>
      </c>
      <c r="P29" s="10" t="s">
        <v>49</v>
      </c>
      <c r="Q29" s="10" t="s">
        <v>153</v>
      </c>
      <c r="R29" s="11"/>
      <c r="S29" s="9" t="str">
        <f>"625,0"</f>
        <v>625,0</v>
      </c>
      <c r="T29" s="10" t="str">
        <f>"383,8750"</f>
        <v>383,8750</v>
      </c>
      <c r="U29" s="9" t="s">
        <v>98</v>
      </c>
    </row>
    <row r="30" spans="1:21" x14ac:dyDescent="0.2">
      <c r="A30" s="12" t="s">
        <v>154</v>
      </c>
      <c r="B30" s="12" t="s">
        <v>155</v>
      </c>
      <c r="C30" s="12" t="s">
        <v>156</v>
      </c>
      <c r="D30" s="12" t="str">
        <f>"0,6116"</f>
        <v>0,6116</v>
      </c>
      <c r="E30" s="12" t="s">
        <v>17</v>
      </c>
      <c r="F30" s="12" t="s">
        <v>18</v>
      </c>
      <c r="G30" s="14" t="s">
        <v>157</v>
      </c>
      <c r="H30" s="13" t="s">
        <v>157</v>
      </c>
      <c r="I30" s="14"/>
      <c r="J30" s="14"/>
      <c r="K30" s="13" t="s">
        <v>24</v>
      </c>
      <c r="L30" s="13" t="s">
        <v>25</v>
      </c>
      <c r="M30" s="14" t="s">
        <v>47</v>
      </c>
      <c r="N30" s="14"/>
      <c r="O30" s="13" t="s">
        <v>45</v>
      </c>
      <c r="P30" s="14" t="s">
        <v>49</v>
      </c>
      <c r="Q30" s="14"/>
      <c r="R30" s="14"/>
      <c r="S30" s="12" t="str">
        <f>"620,0"</f>
        <v>620,0</v>
      </c>
      <c r="T30" s="13" t="str">
        <f>"379,1920"</f>
        <v>379,1920</v>
      </c>
      <c r="U30" s="12" t="s">
        <v>98</v>
      </c>
    </row>
    <row r="32" spans="1:21" ht="15" x14ac:dyDescent="0.2">
      <c r="A32" s="36" t="s">
        <v>158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1:21" x14ac:dyDescent="0.2">
      <c r="A33" s="9" t="s">
        <v>159</v>
      </c>
      <c r="B33" s="9" t="s">
        <v>160</v>
      </c>
      <c r="C33" s="9" t="s">
        <v>161</v>
      </c>
      <c r="D33" s="9" t="str">
        <f>"0,6046"</f>
        <v>0,6046</v>
      </c>
      <c r="E33" s="9" t="s">
        <v>17</v>
      </c>
      <c r="F33" s="9" t="s">
        <v>18</v>
      </c>
      <c r="G33" s="10" t="s">
        <v>125</v>
      </c>
      <c r="H33" s="10" t="s">
        <v>162</v>
      </c>
      <c r="I33" s="10" t="s">
        <v>163</v>
      </c>
      <c r="J33" s="11"/>
      <c r="K33" s="10" t="s">
        <v>24</v>
      </c>
      <c r="L33" s="10" t="s">
        <v>164</v>
      </c>
      <c r="M33" s="11" t="s">
        <v>54</v>
      </c>
      <c r="N33" s="11"/>
      <c r="O33" s="10" t="s">
        <v>45</v>
      </c>
      <c r="P33" s="10" t="s">
        <v>165</v>
      </c>
      <c r="Q33" s="10" t="s">
        <v>166</v>
      </c>
      <c r="R33" s="11"/>
      <c r="S33" s="9" t="str">
        <f>"612,5"</f>
        <v>612,5</v>
      </c>
      <c r="T33" s="10" t="str">
        <f>"370,3175"</f>
        <v>370,3175</v>
      </c>
      <c r="U33" s="9" t="s">
        <v>167</v>
      </c>
    </row>
    <row r="34" spans="1:21" x14ac:dyDescent="0.2">
      <c r="A34" s="12" t="s">
        <v>168</v>
      </c>
      <c r="B34" s="12" t="s">
        <v>169</v>
      </c>
      <c r="C34" s="12" t="s">
        <v>170</v>
      </c>
      <c r="D34" s="12" t="str">
        <f>"0,5887"</f>
        <v>0,5887</v>
      </c>
      <c r="E34" s="12" t="s">
        <v>17</v>
      </c>
      <c r="F34" s="12" t="s">
        <v>18</v>
      </c>
      <c r="G34" s="14" t="s">
        <v>143</v>
      </c>
      <c r="H34" s="13" t="s">
        <v>143</v>
      </c>
      <c r="I34" s="13" t="s">
        <v>144</v>
      </c>
      <c r="J34" s="14"/>
      <c r="K34" s="13" t="s">
        <v>171</v>
      </c>
      <c r="L34" s="14" t="s">
        <v>48</v>
      </c>
      <c r="M34" s="14" t="s">
        <v>48</v>
      </c>
      <c r="N34" s="14"/>
      <c r="O34" s="13" t="s">
        <v>144</v>
      </c>
      <c r="P34" s="13" t="s">
        <v>46</v>
      </c>
      <c r="Q34" s="14" t="s">
        <v>153</v>
      </c>
      <c r="R34" s="14"/>
      <c r="S34" s="12" t="str">
        <f>"605,0"</f>
        <v>605,0</v>
      </c>
      <c r="T34" s="13" t="str">
        <f>"356,1635"</f>
        <v>356,1635</v>
      </c>
      <c r="U34" s="12" t="s">
        <v>172</v>
      </c>
    </row>
    <row r="36" spans="1:21" ht="15" x14ac:dyDescent="0.2">
      <c r="A36" s="36" t="s">
        <v>173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1:21" x14ac:dyDescent="0.2">
      <c r="A37" s="6" t="s">
        <v>174</v>
      </c>
      <c r="B37" s="6" t="s">
        <v>175</v>
      </c>
      <c r="C37" s="6" t="s">
        <v>176</v>
      </c>
      <c r="D37" s="6" t="str">
        <f>"0,5551"</f>
        <v>0,5551</v>
      </c>
      <c r="E37" s="6" t="s">
        <v>17</v>
      </c>
      <c r="F37" s="6" t="s">
        <v>18</v>
      </c>
      <c r="G37" s="7" t="s">
        <v>177</v>
      </c>
      <c r="H37" s="7" t="s">
        <v>44</v>
      </c>
      <c r="I37" s="7" t="s">
        <v>144</v>
      </c>
      <c r="J37" s="8"/>
      <c r="K37" s="7" t="s">
        <v>123</v>
      </c>
      <c r="L37" s="7" t="s">
        <v>149</v>
      </c>
      <c r="M37" s="8" t="s">
        <v>124</v>
      </c>
      <c r="N37" s="8"/>
      <c r="O37" s="7" t="s">
        <v>178</v>
      </c>
      <c r="P37" s="7" t="s">
        <v>179</v>
      </c>
      <c r="Q37" s="7" t="s">
        <v>180</v>
      </c>
      <c r="R37" s="8"/>
      <c r="S37" s="6" t="str">
        <f>"710,0"</f>
        <v>710,0</v>
      </c>
      <c r="T37" s="7" t="str">
        <f>"398,0622"</f>
        <v>398,0622</v>
      </c>
      <c r="U37" s="6" t="s">
        <v>181</v>
      </c>
    </row>
    <row r="39" spans="1:21" ht="15" x14ac:dyDescent="0.2">
      <c r="E39" s="15" t="s">
        <v>57</v>
      </c>
    </row>
    <row r="40" spans="1:21" ht="15" x14ac:dyDescent="0.2">
      <c r="E40" s="15" t="s">
        <v>58</v>
      </c>
    </row>
    <row r="41" spans="1:21" ht="15" x14ac:dyDescent="0.2">
      <c r="E41" s="15"/>
    </row>
    <row r="43" spans="1:21" ht="18" x14ac:dyDescent="0.25">
      <c r="A43" s="16" t="s">
        <v>62</v>
      </c>
      <c r="B43" s="16"/>
    </row>
    <row r="44" spans="1:21" ht="15" x14ac:dyDescent="0.2">
      <c r="A44" s="17" t="s">
        <v>63</v>
      </c>
      <c r="B44" s="17"/>
    </row>
    <row r="45" spans="1:21" ht="14.25" x14ac:dyDescent="0.2">
      <c r="A45" s="19"/>
      <c r="B45" s="20" t="s">
        <v>64</v>
      </c>
    </row>
    <row r="46" spans="1:21" ht="15" x14ac:dyDescent="0.2">
      <c r="A46" s="21" t="s">
        <v>65</v>
      </c>
      <c r="B46" s="21" t="s">
        <v>66</v>
      </c>
      <c r="C46" s="21" t="s">
        <v>67</v>
      </c>
      <c r="D46" s="21" t="s">
        <v>68</v>
      </c>
      <c r="E46" s="21" t="s">
        <v>69</v>
      </c>
    </row>
    <row r="47" spans="1:21" x14ac:dyDescent="0.2">
      <c r="A47" s="18" t="s">
        <v>138</v>
      </c>
      <c r="B47" s="4" t="s">
        <v>64</v>
      </c>
      <c r="C47" s="4" t="s">
        <v>70</v>
      </c>
      <c r="D47" s="4" t="s">
        <v>186</v>
      </c>
      <c r="E47" s="22" t="s">
        <v>187</v>
      </c>
    </row>
  </sheetData>
  <mergeCells count="23"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  <mergeCell ref="A36:T36"/>
    <mergeCell ref="A14:T14"/>
    <mergeCell ref="A17:T17"/>
    <mergeCell ref="A20:T20"/>
    <mergeCell ref="A24:T24"/>
    <mergeCell ref="A28:T28"/>
    <mergeCell ref="A32:T3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selection activeCell="A17" sqref="A17:XFD21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2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3.140625" style="4" bestFit="1" customWidth="1"/>
    <col min="22" max="16384" width="9.140625" style="3"/>
  </cols>
  <sheetData>
    <row r="1" spans="1:21" s="2" customFormat="1" ht="29.1" customHeight="1" x14ac:dyDescent="0.2">
      <c r="A1" s="42" t="s">
        <v>1187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5">
        <v>1</v>
      </c>
      <c r="L4" s="5">
        <v>2</v>
      </c>
      <c r="M4" s="5">
        <v>3</v>
      </c>
      <c r="N4" s="5" t="s">
        <v>8</v>
      </c>
      <c r="O4" s="5">
        <v>1</v>
      </c>
      <c r="P4" s="5">
        <v>2</v>
      </c>
      <c r="Q4" s="5">
        <v>3</v>
      </c>
      <c r="R4" s="5" t="s">
        <v>8</v>
      </c>
      <c r="S4" s="38"/>
      <c r="T4" s="38"/>
      <c r="U4" s="40"/>
    </row>
    <row r="5" spans="1:21" ht="15" x14ac:dyDescent="0.2">
      <c r="A5" s="41" t="s">
        <v>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1" x14ac:dyDescent="0.2">
      <c r="A6" s="6" t="s">
        <v>399</v>
      </c>
      <c r="B6" s="6" t="s">
        <v>400</v>
      </c>
      <c r="C6" s="6" t="s">
        <v>358</v>
      </c>
      <c r="D6" s="6" t="str">
        <f>"0,6406"</f>
        <v>0,6406</v>
      </c>
      <c r="E6" s="6" t="s">
        <v>17</v>
      </c>
      <c r="F6" s="6" t="s">
        <v>18</v>
      </c>
      <c r="G6" s="7" t="s">
        <v>157</v>
      </c>
      <c r="H6" s="8" t="s">
        <v>294</v>
      </c>
      <c r="I6" s="8"/>
      <c r="J6" s="8"/>
      <c r="K6" s="7" t="s">
        <v>47</v>
      </c>
      <c r="L6" s="8" t="s">
        <v>33</v>
      </c>
      <c r="M6" s="8" t="s">
        <v>33</v>
      </c>
      <c r="N6" s="8"/>
      <c r="O6" s="7" t="s">
        <v>177</v>
      </c>
      <c r="P6" s="7" t="s">
        <v>49</v>
      </c>
      <c r="Q6" s="8" t="s">
        <v>166</v>
      </c>
      <c r="R6" s="8"/>
      <c r="S6" s="6" t="str">
        <f>"640,0"</f>
        <v>640,0</v>
      </c>
      <c r="T6" s="7" t="str">
        <f>"409,9840"</f>
        <v>409,9840</v>
      </c>
      <c r="U6" s="6" t="s">
        <v>145</v>
      </c>
    </row>
    <row r="8" spans="1:21" ht="15" x14ac:dyDescent="0.2">
      <c r="A8" s="36" t="s">
        <v>39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1" x14ac:dyDescent="0.2">
      <c r="A9" s="9" t="s">
        <v>401</v>
      </c>
      <c r="B9" s="9" t="s">
        <v>402</v>
      </c>
      <c r="C9" s="9" t="s">
        <v>403</v>
      </c>
      <c r="D9" s="9" t="str">
        <f>"0,6272"</f>
        <v>0,6272</v>
      </c>
      <c r="E9" s="9" t="s">
        <v>31</v>
      </c>
      <c r="F9" s="9" t="s">
        <v>404</v>
      </c>
      <c r="G9" s="10" t="s">
        <v>266</v>
      </c>
      <c r="H9" s="10" t="s">
        <v>405</v>
      </c>
      <c r="I9" s="11" t="s">
        <v>295</v>
      </c>
      <c r="J9" s="11"/>
      <c r="K9" s="10" t="s">
        <v>44</v>
      </c>
      <c r="L9" s="10" t="s">
        <v>45</v>
      </c>
      <c r="M9" s="11" t="s">
        <v>271</v>
      </c>
      <c r="N9" s="11"/>
      <c r="O9" s="10" t="s">
        <v>406</v>
      </c>
      <c r="P9" s="11" t="s">
        <v>407</v>
      </c>
      <c r="Q9" s="11" t="s">
        <v>179</v>
      </c>
      <c r="R9" s="11"/>
      <c r="S9" s="9" t="str">
        <f>"835,0"</f>
        <v>835,0</v>
      </c>
      <c r="T9" s="10" t="str">
        <f>"523,7120"</f>
        <v>523,7120</v>
      </c>
      <c r="U9" s="9" t="s">
        <v>408</v>
      </c>
    </row>
    <row r="10" spans="1:21" x14ac:dyDescent="0.2">
      <c r="A10" s="12" t="s">
        <v>409</v>
      </c>
      <c r="B10" s="12" t="s">
        <v>410</v>
      </c>
      <c r="C10" s="12" t="s">
        <v>411</v>
      </c>
      <c r="D10" s="12" t="str">
        <f>"0,6223"</f>
        <v>0,6223</v>
      </c>
      <c r="E10" s="12" t="s">
        <v>31</v>
      </c>
      <c r="F10" s="12" t="s">
        <v>412</v>
      </c>
      <c r="G10" s="13" t="s">
        <v>251</v>
      </c>
      <c r="H10" s="13" t="s">
        <v>413</v>
      </c>
      <c r="I10" s="14"/>
      <c r="J10" s="14"/>
      <c r="K10" s="14" t="s">
        <v>259</v>
      </c>
      <c r="L10" s="14"/>
      <c r="M10" s="14"/>
      <c r="N10" s="14"/>
      <c r="O10" s="14" t="s">
        <v>283</v>
      </c>
      <c r="P10" s="14"/>
      <c r="Q10" s="14"/>
      <c r="R10" s="14"/>
      <c r="S10" s="12" t="str">
        <f>"0.00"</f>
        <v>0.00</v>
      </c>
      <c r="T10" s="13" t="str">
        <f>"0,0000"</f>
        <v>0,0000</v>
      </c>
      <c r="U10" s="12" t="s">
        <v>414</v>
      </c>
    </row>
    <row r="12" spans="1:21" ht="15" x14ac:dyDescent="0.2">
      <c r="E12" s="15" t="s">
        <v>57</v>
      </c>
    </row>
    <row r="13" spans="1:21" ht="15" x14ac:dyDescent="0.2">
      <c r="E13" s="15" t="s">
        <v>58</v>
      </c>
    </row>
    <row r="14" spans="1:21" ht="15" x14ac:dyDescent="0.2">
      <c r="E14" s="15"/>
    </row>
    <row r="16" spans="1:21" ht="18" x14ac:dyDescent="0.25">
      <c r="A16" s="16" t="s">
        <v>62</v>
      </c>
      <c r="B16" s="16"/>
    </row>
  </sheetData>
  <mergeCells count="15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50" workbookViewId="0">
      <selection activeCell="B75" sqref="B75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9.140625" style="4" bestFit="1" customWidth="1"/>
    <col min="7" max="13" width="5.5703125" style="3" bestFit="1" customWidth="1"/>
    <col min="14" max="14" width="4.85546875" style="3" bestFit="1" customWidth="1"/>
    <col min="15" max="18" width="5.5703125" style="3" bestFit="1" customWidth="1"/>
    <col min="19" max="19" width="7.85546875" style="4" bestFit="1" customWidth="1"/>
    <col min="20" max="20" width="8.5703125" style="3" bestFit="1" customWidth="1"/>
    <col min="21" max="21" width="13.85546875" style="4" bestFit="1" customWidth="1"/>
    <col min="22" max="16384" width="9.140625" style="3"/>
  </cols>
  <sheetData>
    <row r="1" spans="1:21" s="2" customFormat="1" ht="29.1" customHeight="1" x14ac:dyDescent="0.2">
      <c r="A1" s="42" t="s">
        <v>1188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5">
        <v>1</v>
      </c>
      <c r="L4" s="5">
        <v>2</v>
      </c>
      <c r="M4" s="5">
        <v>3</v>
      </c>
      <c r="N4" s="5" t="s">
        <v>8</v>
      </c>
      <c r="O4" s="5">
        <v>1</v>
      </c>
      <c r="P4" s="5">
        <v>2</v>
      </c>
      <c r="Q4" s="5">
        <v>3</v>
      </c>
      <c r="R4" s="5" t="s">
        <v>8</v>
      </c>
      <c r="S4" s="38"/>
      <c r="T4" s="38"/>
      <c r="U4" s="40"/>
    </row>
    <row r="5" spans="1:21" ht="15" x14ac:dyDescent="0.2">
      <c r="A5" s="41" t="s">
        <v>74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1" x14ac:dyDescent="0.2">
      <c r="A6" s="6" t="s">
        <v>189</v>
      </c>
      <c r="B6" s="6" t="s">
        <v>190</v>
      </c>
      <c r="C6" s="6" t="s">
        <v>191</v>
      </c>
      <c r="D6" s="6" t="str">
        <f>"1,3678"</f>
        <v>1,3678</v>
      </c>
      <c r="E6" s="6" t="s">
        <v>31</v>
      </c>
      <c r="F6" s="6" t="s">
        <v>32</v>
      </c>
      <c r="G6" s="7" t="s">
        <v>192</v>
      </c>
      <c r="H6" s="8" t="s">
        <v>193</v>
      </c>
      <c r="I6" s="7" t="s">
        <v>193</v>
      </c>
      <c r="J6" s="8"/>
      <c r="K6" s="7" t="s">
        <v>194</v>
      </c>
      <c r="L6" s="8" t="s">
        <v>96</v>
      </c>
      <c r="M6" s="8" t="s">
        <v>96</v>
      </c>
      <c r="N6" s="8"/>
      <c r="O6" s="7" t="s">
        <v>79</v>
      </c>
      <c r="P6" s="7" t="s">
        <v>94</v>
      </c>
      <c r="Q6" s="7" t="s">
        <v>95</v>
      </c>
      <c r="R6" s="8"/>
      <c r="S6" s="6" t="str">
        <f>"165,0"</f>
        <v>165,0</v>
      </c>
      <c r="T6" s="7" t="str">
        <f>"225,6870"</f>
        <v>225,6870</v>
      </c>
      <c r="U6" s="6" t="s">
        <v>26</v>
      </c>
    </row>
    <row r="8" spans="1:21" ht="15" x14ac:dyDescent="0.2">
      <c r="A8" s="36" t="s">
        <v>89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1" x14ac:dyDescent="0.2">
      <c r="A9" s="6" t="s">
        <v>195</v>
      </c>
      <c r="B9" s="6" t="s">
        <v>196</v>
      </c>
      <c r="C9" s="6" t="s">
        <v>197</v>
      </c>
      <c r="D9" s="6" t="str">
        <f>"1,2866"</f>
        <v>1,2866</v>
      </c>
      <c r="E9" s="6" t="s">
        <v>31</v>
      </c>
      <c r="F9" s="6" t="s">
        <v>32</v>
      </c>
      <c r="G9" s="7" t="s">
        <v>80</v>
      </c>
      <c r="H9" s="7" t="s">
        <v>198</v>
      </c>
      <c r="I9" s="7" t="s">
        <v>73</v>
      </c>
      <c r="J9" s="8"/>
      <c r="K9" s="7" t="s">
        <v>83</v>
      </c>
      <c r="L9" s="7" t="s">
        <v>84</v>
      </c>
      <c r="M9" s="8" t="s">
        <v>85</v>
      </c>
      <c r="N9" s="8"/>
      <c r="O9" s="7" t="s">
        <v>81</v>
      </c>
      <c r="P9" s="7" t="s">
        <v>70</v>
      </c>
      <c r="Q9" s="7" t="s">
        <v>87</v>
      </c>
      <c r="R9" s="8"/>
      <c r="S9" s="6" t="str">
        <f>"220,0"</f>
        <v>220,0</v>
      </c>
      <c r="T9" s="7" t="str">
        <f>"283,0520"</f>
        <v>283,0520</v>
      </c>
      <c r="U9" s="6" t="s">
        <v>26</v>
      </c>
    </row>
    <row r="11" spans="1:21" ht="15" x14ac:dyDescent="0.2">
      <c r="A11" s="36" t="s">
        <v>109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1" x14ac:dyDescent="0.2">
      <c r="A12" s="6" t="s">
        <v>199</v>
      </c>
      <c r="B12" s="6" t="s">
        <v>200</v>
      </c>
      <c r="C12" s="6" t="s">
        <v>201</v>
      </c>
      <c r="D12" s="6" t="str">
        <f>"1,1078"</f>
        <v>1,1078</v>
      </c>
      <c r="E12" s="6" t="s">
        <v>31</v>
      </c>
      <c r="F12" s="6" t="s">
        <v>32</v>
      </c>
      <c r="G12" s="7" t="s">
        <v>94</v>
      </c>
      <c r="H12" s="7" t="s">
        <v>80</v>
      </c>
      <c r="I12" s="7" t="s">
        <v>198</v>
      </c>
      <c r="J12" s="8"/>
      <c r="K12" s="7" t="s">
        <v>83</v>
      </c>
      <c r="L12" s="7" t="s">
        <v>97</v>
      </c>
      <c r="M12" s="7" t="s">
        <v>84</v>
      </c>
      <c r="N12" s="8"/>
      <c r="O12" s="7" t="s">
        <v>81</v>
      </c>
      <c r="P12" s="7" t="s">
        <v>70</v>
      </c>
      <c r="Q12" s="8" t="s">
        <v>87</v>
      </c>
      <c r="R12" s="8"/>
      <c r="S12" s="6" t="str">
        <f>"212,5"</f>
        <v>212,5</v>
      </c>
      <c r="T12" s="7" t="str">
        <f>"235,4075"</f>
        <v>235,4075</v>
      </c>
      <c r="U12" s="6" t="s">
        <v>26</v>
      </c>
    </row>
    <row r="14" spans="1:21" ht="15" x14ac:dyDescent="0.2">
      <c r="A14" s="36" t="s">
        <v>202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1" x14ac:dyDescent="0.2">
      <c r="A15" s="6" t="s">
        <v>203</v>
      </c>
      <c r="B15" s="6" t="s">
        <v>204</v>
      </c>
      <c r="C15" s="6" t="s">
        <v>205</v>
      </c>
      <c r="D15" s="6" t="str">
        <f>"0,8703"</f>
        <v>0,8703</v>
      </c>
      <c r="E15" s="33" t="s">
        <v>1189</v>
      </c>
      <c r="F15" s="6" t="s">
        <v>206</v>
      </c>
      <c r="G15" s="7" t="s">
        <v>94</v>
      </c>
      <c r="H15" s="8" t="s">
        <v>70</v>
      </c>
      <c r="I15" s="8" t="s">
        <v>70</v>
      </c>
      <c r="J15" s="8"/>
      <c r="K15" s="7" t="s">
        <v>192</v>
      </c>
      <c r="L15" s="7" t="s">
        <v>79</v>
      </c>
      <c r="M15" s="7" t="s">
        <v>94</v>
      </c>
      <c r="N15" s="8" t="s">
        <v>80</v>
      </c>
      <c r="O15" s="7" t="s">
        <v>70</v>
      </c>
      <c r="P15" s="7" t="s">
        <v>115</v>
      </c>
      <c r="Q15" s="7" t="s">
        <v>21</v>
      </c>
      <c r="R15" s="7" t="s">
        <v>24</v>
      </c>
      <c r="S15" s="6" t="str">
        <f>"260,0"</f>
        <v>260,0</v>
      </c>
      <c r="T15" s="7" t="str">
        <f>"226,2780"</f>
        <v>226,2780</v>
      </c>
      <c r="U15" s="6" t="s">
        <v>50</v>
      </c>
    </row>
    <row r="17" spans="1:21" ht="15" x14ac:dyDescent="0.2">
      <c r="A17" s="36" t="s">
        <v>109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1" x14ac:dyDescent="0.2">
      <c r="A18" s="6" t="s">
        <v>207</v>
      </c>
      <c r="B18" s="6" t="s">
        <v>208</v>
      </c>
      <c r="C18" s="6" t="s">
        <v>209</v>
      </c>
      <c r="D18" s="6" t="str">
        <f>"0,8235"</f>
        <v>0,8235</v>
      </c>
      <c r="E18" s="6" t="s">
        <v>31</v>
      </c>
      <c r="F18" s="6" t="s">
        <v>32</v>
      </c>
      <c r="G18" s="7" t="s">
        <v>115</v>
      </c>
      <c r="H18" s="7" t="s">
        <v>20</v>
      </c>
      <c r="I18" s="7" t="s">
        <v>21</v>
      </c>
      <c r="J18" s="8"/>
      <c r="K18" s="7" t="s">
        <v>193</v>
      </c>
      <c r="L18" s="7" t="s">
        <v>93</v>
      </c>
      <c r="M18" s="8" t="s">
        <v>94</v>
      </c>
      <c r="N18" s="8"/>
      <c r="O18" s="7" t="s">
        <v>21</v>
      </c>
      <c r="P18" s="7" t="s">
        <v>36</v>
      </c>
      <c r="Q18" s="7" t="s">
        <v>24</v>
      </c>
      <c r="R18" s="8"/>
      <c r="S18" s="6" t="str">
        <f>"317,5"</f>
        <v>317,5</v>
      </c>
      <c r="T18" s="7" t="str">
        <f>"261,4612"</f>
        <v>261,4612</v>
      </c>
      <c r="U18" s="6" t="s">
        <v>26</v>
      </c>
    </row>
    <row r="20" spans="1:21" ht="15" x14ac:dyDescent="0.2">
      <c r="A20" s="36" t="s">
        <v>117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1" x14ac:dyDescent="0.2">
      <c r="A21" s="9" t="s">
        <v>210</v>
      </c>
      <c r="B21" s="9" t="s">
        <v>211</v>
      </c>
      <c r="C21" s="9" t="s">
        <v>212</v>
      </c>
      <c r="D21" s="9" t="str">
        <f>"0,7330"</f>
        <v>0,7330</v>
      </c>
      <c r="E21" s="9" t="s">
        <v>31</v>
      </c>
      <c r="F21" s="9" t="s">
        <v>206</v>
      </c>
      <c r="G21" s="10" t="s">
        <v>94</v>
      </c>
      <c r="H21" s="11" t="s">
        <v>81</v>
      </c>
      <c r="I21" s="10" t="s">
        <v>70</v>
      </c>
      <c r="J21" s="11"/>
      <c r="K21" s="10" t="s">
        <v>213</v>
      </c>
      <c r="L21" s="10" t="s">
        <v>192</v>
      </c>
      <c r="M21" s="11" t="s">
        <v>79</v>
      </c>
      <c r="N21" s="11"/>
      <c r="O21" s="10" t="s">
        <v>198</v>
      </c>
      <c r="P21" s="10" t="s">
        <v>70</v>
      </c>
      <c r="Q21" s="10" t="s">
        <v>19</v>
      </c>
      <c r="R21" s="11"/>
      <c r="S21" s="9" t="str">
        <f>"250,0"</f>
        <v>250,0</v>
      </c>
      <c r="T21" s="10" t="str">
        <f>"183,2500"</f>
        <v>183,2500</v>
      </c>
      <c r="U21" s="9" t="s">
        <v>50</v>
      </c>
    </row>
    <row r="22" spans="1:21" x14ac:dyDescent="0.2">
      <c r="A22" s="12" t="s">
        <v>214</v>
      </c>
      <c r="B22" s="12" t="s">
        <v>215</v>
      </c>
      <c r="C22" s="12" t="s">
        <v>216</v>
      </c>
      <c r="D22" s="12" t="str">
        <f>"0,7207"</f>
        <v>0,7207</v>
      </c>
      <c r="E22" s="12" t="s">
        <v>17</v>
      </c>
      <c r="F22" s="12" t="s">
        <v>18</v>
      </c>
      <c r="G22" s="13" t="s">
        <v>143</v>
      </c>
      <c r="H22" s="13" t="s">
        <v>144</v>
      </c>
      <c r="I22" s="13" t="s">
        <v>45</v>
      </c>
      <c r="J22" s="14"/>
      <c r="K22" s="13" t="s">
        <v>122</v>
      </c>
      <c r="L22" s="13" t="s">
        <v>25</v>
      </c>
      <c r="M22" s="13" t="s">
        <v>171</v>
      </c>
      <c r="N22" s="14"/>
      <c r="O22" s="13" t="s">
        <v>143</v>
      </c>
      <c r="P22" s="13" t="s">
        <v>163</v>
      </c>
      <c r="Q22" s="13" t="s">
        <v>217</v>
      </c>
      <c r="R22" s="14"/>
      <c r="S22" s="12" t="str">
        <f>"602,5"</f>
        <v>602,5</v>
      </c>
      <c r="T22" s="13" t="str">
        <f>"434,2218"</f>
        <v>434,2218</v>
      </c>
      <c r="U22" s="12" t="s">
        <v>98</v>
      </c>
    </row>
    <row r="24" spans="1:21" ht="15" x14ac:dyDescent="0.2">
      <c r="A24" s="36" t="s">
        <v>13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1" x14ac:dyDescent="0.2">
      <c r="A25" s="6" t="s">
        <v>218</v>
      </c>
      <c r="B25" s="6" t="s">
        <v>219</v>
      </c>
      <c r="C25" s="6" t="s">
        <v>220</v>
      </c>
      <c r="D25" s="6" t="str">
        <f>"0,6699"</f>
        <v>0,6699</v>
      </c>
      <c r="E25" s="6" t="s">
        <v>31</v>
      </c>
      <c r="F25" s="6" t="s">
        <v>221</v>
      </c>
      <c r="G25" s="7" t="s">
        <v>144</v>
      </c>
      <c r="H25" s="8" t="s">
        <v>46</v>
      </c>
      <c r="I25" s="7" t="s">
        <v>46</v>
      </c>
      <c r="J25" s="8"/>
      <c r="K25" s="7" t="s">
        <v>171</v>
      </c>
      <c r="L25" s="8" t="s">
        <v>47</v>
      </c>
      <c r="M25" s="7" t="s">
        <v>47</v>
      </c>
      <c r="N25" s="8"/>
      <c r="O25" s="7" t="s">
        <v>44</v>
      </c>
      <c r="P25" s="7" t="s">
        <v>217</v>
      </c>
      <c r="Q25" s="7" t="s">
        <v>46</v>
      </c>
      <c r="R25" s="8"/>
      <c r="S25" s="6" t="str">
        <f>"620,0"</f>
        <v>620,0</v>
      </c>
      <c r="T25" s="7" t="str">
        <f>"415,3380"</f>
        <v>415,3380</v>
      </c>
      <c r="U25" s="6" t="s">
        <v>98</v>
      </c>
    </row>
    <row r="27" spans="1:21" ht="15" x14ac:dyDescent="0.2">
      <c r="A27" s="36" t="s">
        <v>27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1:21" x14ac:dyDescent="0.2">
      <c r="A28" s="9" t="s">
        <v>223</v>
      </c>
      <c r="B28" s="9" t="s">
        <v>224</v>
      </c>
      <c r="C28" s="9" t="s">
        <v>225</v>
      </c>
      <c r="D28" s="9" t="str">
        <f>"0,6417"</f>
        <v>0,6417</v>
      </c>
      <c r="E28" s="9" t="s">
        <v>17</v>
      </c>
      <c r="F28" s="9" t="s">
        <v>18</v>
      </c>
      <c r="G28" s="11" t="s">
        <v>226</v>
      </c>
      <c r="H28" s="10" t="s">
        <v>227</v>
      </c>
      <c r="I28" s="10" t="s">
        <v>228</v>
      </c>
      <c r="J28" s="11"/>
      <c r="K28" s="10" t="s">
        <v>229</v>
      </c>
      <c r="L28" s="10" t="s">
        <v>142</v>
      </c>
      <c r="M28" s="11"/>
      <c r="N28" s="11"/>
      <c r="O28" s="11" t="s">
        <v>230</v>
      </c>
      <c r="P28" s="10" t="s">
        <v>230</v>
      </c>
      <c r="Q28" s="11"/>
      <c r="R28" s="11"/>
      <c r="S28" s="9" t="str">
        <f>"837,5"</f>
        <v>837,5</v>
      </c>
      <c r="T28" s="10" t="str">
        <f>"537,4238"</f>
        <v>537,4238</v>
      </c>
      <c r="U28" s="9" t="s">
        <v>145</v>
      </c>
    </row>
    <row r="29" spans="1:21" x14ac:dyDescent="0.2">
      <c r="A29" s="23" t="s">
        <v>231</v>
      </c>
      <c r="B29" s="23" t="s">
        <v>232</v>
      </c>
      <c r="C29" s="23" t="s">
        <v>233</v>
      </c>
      <c r="D29" s="23" t="str">
        <f>"0,6413"</f>
        <v>0,6413</v>
      </c>
      <c r="E29" s="23" t="s">
        <v>31</v>
      </c>
      <c r="F29" s="23" t="s">
        <v>234</v>
      </c>
      <c r="G29" s="24" t="s">
        <v>45</v>
      </c>
      <c r="H29" s="24" t="s">
        <v>46</v>
      </c>
      <c r="I29" s="24" t="s">
        <v>49</v>
      </c>
      <c r="J29" s="25"/>
      <c r="K29" s="24" t="s">
        <v>171</v>
      </c>
      <c r="L29" s="24" t="s">
        <v>48</v>
      </c>
      <c r="M29" s="24" t="s">
        <v>33</v>
      </c>
      <c r="N29" s="25"/>
      <c r="O29" s="24" t="s">
        <v>46</v>
      </c>
      <c r="P29" s="24" t="s">
        <v>153</v>
      </c>
      <c r="Q29" s="24" t="s">
        <v>235</v>
      </c>
      <c r="R29" s="25"/>
      <c r="S29" s="23" t="str">
        <f>"662,5"</f>
        <v>662,5</v>
      </c>
      <c r="T29" s="24" t="str">
        <f>"424,8613"</f>
        <v>424,8613</v>
      </c>
      <c r="U29" s="23" t="s">
        <v>145</v>
      </c>
    </row>
    <row r="30" spans="1:21" x14ac:dyDescent="0.2">
      <c r="A30" s="23" t="s">
        <v>236</v>
      </c>
      <c r="B30" s="23" t="s">
        <v>237</v>
      </c>
      <c r="C30" s="23" t="s">
        <v>238</v>
      </c>
      <c r="D30" s="23" t="str">
        <f>"0,6428"</f>
        <v>0,6428</v>
      </c>
      <c r="E30" s="23" t="s">
        <v>17</v>
      </c>
      <c r="F30" s="23" t="s">
        <v>18</v>
      </c>
      <c r="G30" s="24" t="s">
        <v>149</v>
      </c>
      <c r="H30" s="24" t="s">
        <v>125</v>
      </c>
      <c r="I30" s="25" t="s">
        <v>177</v>
      </c>
      <c r="J30" s="25"/>
      <c r="K30" s="24" t="s">
        <v>36</v>
      </c>
      <c r="L30" s="24" t="s">
        <v>24</v>
      </c>
      <c r="M30" s="24" t="s">
        <v>122</v>
      </c>
      <c r="N30" s="25"/>
      <c r="O30" s="24" t="s">
        <v>149</v>
      </c>
      <c r="P30" s="24" t="s">
        <v>142</v>
      </c>
      <c r="Q30" s="24" t="s">
        <v>239</v>
      </c>
      <c r="R30" s="25"/>
      <c r="S30" s="23" t="str">
        <f>"552,5"</f>
        <v>552,5</v>
      </c>
      <c r="T30" s="24" t="str">
        <f>"355,1470"</f>
        <v>355,1470</v>
      </c>
      <c r="U30" s="23" t="s">
        <v>240</v>
      </c>
    </row>
    <row r="31" spans="1:21" x14ac:dyDescent="0.2">
      <c r="A31" s="12" t="s">
        <v>241</v>
      </c>
      <c r="B31" s="12" t="s">
        <v>242</v>
      </c>
      <c r="C31" s="12" t="s">
        <v>243</v>
      </c>
      <c r="D31" s="12" t="str">
        <f>"0,6536"</f>
        <v>0,6536</v>
      </c>
      <c r="E31" s="12" t="s">
        <v>31</v>
      </c>
      <c r="F31" s="12" t="s">
        <v>244</v>
      </c>
      <c r="G31" s="13" t="s">
        <v>55</v>
      </c>
      <c r="H31" s="13" t="s">
        <v>107</v>
      </c>
      <c r="I31" s="13" t="s">
        <v>24</v>
      </c>
      <c r="J31" s="14"/>
      <c r="K31" s="13" t="s">
        <v>87</v>
      </c>
      <c r="L31" s="13" t="s">
        <v>104</v>
      </c>
      <c r="M31" s="13" t="s">
        <v>19</v>
      </c>
      <c r="N31" s="14"/>
      <c r="O31" s="13" t="s">
        <v>24</v>
      </c>
      <c r="P31" s="13" t="s">
        <v>25</v>
      </c>
      <c r="Q31" s="13" t="s">
        <v>47</v>
      </c>
      <c r="R31" s="14"/>
      <c r="S31" s="12" t="str">
        <f>"380,0"</f>
        <v>380,0</v>
      </c>
      <c r="T31" s="13" t="str">
        <f>"352,9309"</f>
        <v>352,9309</v>
      </c>
      <c r="U31" s="12" t="s">
        <v>145</v>
      </c>
    </row>
    <row r="33" spans="1:21" ht="15" x14ac:dyDescent="0.2">
      <c r="A33" s="36" t="s">
        <v>39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1" x14ac:dyDescent="0.2">
      <c r="A34" s="9" t="s">
        <v>245</v>
      </c>
      <c r="B34" s="9" t="s">
        <v>246</v>
      </c>
      <c r="C34" s="9" t="s">
        <v>156</v>
      </c>
      <c r="D34" s="9" t="str">
        <f>"0,6116"</f>
        <v>0,6116</v>
      </c>
      <c r="E34" s="9" t="s">
        <v>31</v>
      </c>
      <c r="F34" s="9" t="s">
        <v>32</v>
      </c>
      <c r="G34" s="10" t="s">
        <v>34</v>
      </c>
      <c r="H34" s="10" t="s">
        <v>38</v>
      </c>
      <c r="I34" s="10" t="s">
        <v>149</v>
      </c>
      <c r="J34" s="11"/>
      <c r="K34" s="11" t="s">
        <v>36</v>
      </c>
      <c r="L34" s="10" t="s">
        <v>36</v>
      </c>
      <c r="M34" s="10" t="s">
        <v>24</v>
      </c>
      <c r="N34" s="11"/>
      <c r="O34" s="10" t="s">
        <v>34</v>
      </c>
      <c r="P34" s="11" t="s">
        <v>38</v>
      </c>
      <c r="Q34" s="10" t="s">
        <v>123</v>
      </c>
      <c r="R34" s="11"/>
      <c r="S34" s="9" t="str">
        <f>"505,0"</f>
        <v>505,0</v>
      </c>
      <c r="T34" s="10" t="str">
        <f>"308,8580"</f>
        <v>308,8580</v>
      </c>
      <c r="U34" s="9" t="s">
        <v>26</v>
      </c>
    </row>
    <row r="35" spans="1:21" x14ac:dyDescent="0.2">
      <c r="A35" s="23" t="s">
        <v>247</v>
      </c>
      <c r="B35" s="23" t="s">
        <v>248</v>
      </c>
      <c r="C35" s="23" t="s">
        <v>249</v>
      </c>
      <c r="D35" s="23" t="str">
        <f>"0,6214"</f>
        <v>0,6214</v>
      </c>
      <c r="E35" s="23" t="s">
        <v>31</v>
      </c>
      <c r="F35" s="23" t="s">
        <v>250</v>
      </c>
      <c r="G35" s="24" t="s">
        <v>251</v>
      </c>
      <c r="H35" s="24" t="s">
        <v>252</v>
      </c>
      <c r="I35" s="24" t="s">
        <v>178</v>
      </c>
      <c r="J35" s="25"/>
      <c r="K35" s="24" t="s">
        <v>171</v>
      </c>
      <c r="L35" s="24" t="s">
        <v>253</v>
      </c>
      <c r="M35" s="25" t="s">
        <v>48</v>
      </c>
      <c r="N35" s="25"/>
      <c r="O35" s="24" t="s">
        <v>252</v>
      </c>
      <c r="P35" s="24" t="s">
        <v>254</v>
      </c>
      <c r="Q35" s="25" t="s">
        <v>179</v>
      </c>
      <c r="R35" s="25"/>
      <c r="S35" s="23" t="str">
        <f>"715,0"</f>
        <v>715,0</v>
      </c>
      <c r="T35" s="24" t="str">
        <f>"444,3010"</f>
        <v>444,3010</v>
      </c>
      <c r="U35" s="23" t="s">
        <v>255</v>
      </c>
    </row>
    <row r="36" spans="1:21" x14ac:dyDescent="0.2">
      <c r="A36" s="12" t="s">
        <v>256</v>
      </c>
      <c r="B36" s="12" t="s">
        <v>257</v>
      </c>
      <c r="C36" s="12" t="s">
        <v>258</v>
      </c>
      <c r="D36" s="12" t="str">
        <f>"0,6113"</f>
        <v>0,6113</v>
      </c>
      <c r="E36" s="12" t="s">
        <v>17</v>
      </c>
      <c r="F36" s="12" t="s">
        <v>18</v>
      </c>
      <c r="G36" s="13" t="s">
        <v>153</v>
      </c>
      <c r="H36" s="13" t="s">
        <v>251</v>
      </c>
      <c r="I36" s="13" t="s">
        <v>235</v>
      </c>
      <c r="J36" s="14"/>
      <c r="K36" s="13" t="s">
        <v>124</v>
      </c>
      <c r="L36" s="14" t="s">
        <v>259</v>
      </c>
      <c r="M36" s="13" t="s">
        <v>125</v>
      </c>
      <c r="N36" s="14"/>
      <c r="O36" s="13" t="s">
        <v>46</v>
      </c>
      <c r="P36" s="13" t="s">
        <v>153</v>
      </c>
      <c r="Q36" s="13" t="s">
        <v>157</v>
      </c>
      <c r="R36" s="14"/>
      <c r="S36" s="12" t="str">
        <f>"712,5"</f>
        <v>712,5</v>
      </c>
      <c r="T36" s="13" t="str">
        <f>"435,5512"</f>
        <v>435,5512</v>
      </c>
      <c r="U36" s="12" t="s">
        <v>260</v>
      </c>
    </row>
    <row r="38" spans="1:21" ht="15" x14ac:dyDescent="0.2">
      <c r="A38" s="36" t="s">
        <v>158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</row>
    <row r="39" spans="1:21" x14ac:dyDescent="0.2">
      <c r="A39" s="9" t="s">
        <v>262</v>
      </c>
      <c r="B39" s="9" t="s">
        <v>263</v>
      </c>
      <c r="C39" s="9" t="s">
        <v>264</v>
      </c>
      <c r="D39" s="9" t="str">
        <f>"0,5984"</f>
        <v>0,5984</v>
      </c>
      <c r="E39" s="9" t="s">
        <v>17</v>
      </c>
      <c r="F39" s="9" t="s">
        <v>18</v>
      </c>
      <c r="G39" s="10" t="s">
        <v>179</v>
      </c>
      <c r="H39" s="10" t="s">
        <v>265</v>
      </c>
      <c r="I39" s="10" t="s">
        <v>266</v>
      </c>
      <c r="J39" s="11"/>
      <c r="K39" s="10" t="s">
        <v>35</v>
      </c>
      <c r="L39" s="10" t="s">
        <v>149</v>
      </c>
      <c r="M39" s="10" t="s">
        <v>229</v>
      </c>
      <c r="N39" s="11"/>
      <c r="O39" s="10" t="s">
        <v>178</v>
      </c>
      <c r="P39" s="10" t="s">
        <v>226</v>
      </c>
      <c r="Q39" s="11" t="s">
        <v>267</v>
      </c>
      <c r="R39" s="11"/>
      <c r="S39" s="9" t="str">
        <f>"820,0"</f>
        <v>820,0</v>
      </c>
      <c r="T39" s="10" t="str">
        <f>"490,6880"</f>
        <v>490,6880</v>
      </c>
      <c r="U39" s="9" t="s">
        <v>98</v>
      </c>
    </row>
    <row r="40" spans="1:21" x14ac:dyDescent="0.2">
      <c r="A40" s="23" t="s">
        <v>268</v>
      </c>
      <c r="B40" s="23" t="s">
        <v>269</v>
      </c>
      <c r="C40" s="23" t="s">
        <v>270</v>
      </c>
      <c r="D40" s="23" t="str">
        <f>"0,5924"</f>
        <v>0,5924</v>
      </c>
      <c r="E40" s="23" t="s">
        <v>17</v>
      </c>
      <c r="F40" s="23" t="s">
        <v>17</v>
      </c>
      <c r="G40" s="24" t="s">
        <v>157</v>
      </c>
      <c r="H40" s="24" t="s">
        <v>252</v>
      </c>
      <c r="I40" s="25" t="s">
        <v>179</v>
      </c>
      <c r="J40" s="25"/>
      <c r="K40" s="24" t="s">
        <v>47</v>
      </c>
      <c r="L40" s="24" t="s">
        <v>33</v>
      </c>
      <c r="M40" s="24" t="s">
        <v>34</v>
      </c>
      <c r="N40" s="25"/>
      <c r="O40" s="24" t="s">
        <v>44</v>
      </c>
      <c r="P40" s="24" t="s">
        <v>45</v>
      </c>
      <c r="Q40" s="24" t="s">
        <v>271</v>
      </c>
      <c r="R40" s="25"/>
      <c r="S40" s="23" t="str">
        <f>"677,5"</f>
        <v>677,5</v>
      </c>
      <c r="T40" s="24" t="str">
        <f>"401,3510"</f>
        <v>401,3510</v>
      </c>
      <c r="U40" s="23" t="s">
        <v>145</v>
      </c>
    </row>
    <row r="41" spans="1:21" x14ac:dyDescent="0.2">
      <c r="A41" s="12" t="s">
        <v>272</v>
      </c>
      <c r="B41" s="12" t="s">
        <v>273</v>
      </c>
      <c r="C41" s="12" t="s">
        <v>274</v>
      </c>
      <c r="D41" s="12" t="str">
        <f>"0,5902"</f>
        <v>0,5902</v>
      </c>
      <c r="E41" s="12" t="s">
        <v>17</v>
      </c>
      <c r="F41" s="12" t="s">
        <v>18</v>
      </c>
      <c r="G41" s="13" t="s">
        <v>125</v>
      </c>
      <c r="H41" s="13" t="s">
        <v>143</v>
      </c>
      <c r="I41" s="13" t="s">
        <v>45</v>
      </c>
      <c r="J41" s="14"/>
      <c r="K41" s="13" t="s">
        <v>21</v>
      </c>
      <c r="L41" s="13" t="s">
        <v>24</v>
      </c>
      <c r="M41" s="13" t="s">
        <v>25</v>
      </c>
      <c r="N41" s="14"/>
      <c r="O41" s="13" t="s">
        <v>44</v>
      </c>
      <c r="P41" s="13" t="s">
        <v>45</v>
      </c>
      <c r="Q41" s="13" t="s">
        <v>49</v>
      </c>
      <c r="R41" s="14"/>
      <c r="S41" s="12" t="str">
        <f>"610,0"</f>
        <v>610,0</v>
      </c>
      <c r="T41" s="13" t="str">
        <f>"379,8232"</f>
        <v>379,8232</v>
      </c>
      <c r="U41" s="12" t="s">
        <v>275</v>
      </c>
    </row>
    <row r="43" spans="1:21" ht="15" x14ac:dyDescent="0.2">
      <c r="A43" s="36" t="s">
        <v>276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</row>
    <row r="44" spans="1:21" x14ac:dyDescent="0.2">
      <c r="A44" s="9" t="s">
        <v>278</v>
      </c>
      <c r="B44" s="9" t="s">
        <v>279</v>
      </c>
      <c r="C44" s="9" t="s">
        <v>280</v>
      </c>
      <c r="D44" s="9" t="str">
        <f>"0,5805"</f>
        <v>0,5805</v>
      </c>
      <c r="E44" s="34" t="s">
        <v>31</v>
      </c>
      <c r="F44" s="9" t="s">
        <v>281</v>
      </c>
      <c r="G44" s="10" t="s">
        <v>178</v>
      </c>
      <c r="H44" s="10" t="s">
        <v>226</v>
      </c>
      <c r="I44" s="10" t="s">
        <v>282</v>
      </c>
      <c r="J44" s="11"/>
      <c r="K44" s="10" t="s">
        <v>149</v>
      </c>
      <c r="L44" s="10" t="s">
        <v>125</v>
      </c>
      <c r="M44" s="10" t="s">
        <v>177</v>
      </c>
      <c r="N44" s="11"/>
      <c r="O44" s="10" t="s">
        <v>283</v>
      </c>
      <c r="P44" s="10" t="s">
        <v>179</v>
      </c>
      <c r="Q44" s="10" t="s">
        <v>226</v>
      </c>
      <c r="R44" s="11"/>
      <c r="S44" s="9" t="str">
        <f>"830,0"</f>
        <v>830,0</v>
      </c>
      <c r="T44" s="10" t="str">
        <f>"481,8150"</f>
        <v>481,8150</v>
      </c>
      <c r="U44" s="9" t="s">
        <v>284</v>
      </c>
    </row>
    <row r="45" spans="1:21" x14ac:dyDescent="0.2">
      <c r="A45" s="23" t="s">
        <v>278</v>
      </c>
      <c r="B45" s="23" t="s">
        <v>285</v>
      </c>
      <c r="C45" s="23" t="s">
        <v>280</v>
      </c>
      <c r="D45" s="23" t="str">
        <f>"0,5805"</f>
        <v>0,5805</v>
      </c>
      <c r="E45" s="35" t="s">
        <v>31</v>
      </c>
      <c r="F45" s="23" t="s">
        <v>281</v>
      </c>
      <c r="G45" s="24" t="s">
        <v>178</v>
      </c>
      <c r="H45" s="24" t="s">
        <v>226</v>
      </c>
      <c r="I45" s="24" t="s">
        <v>282</v>
      </c>
      <c r="J45" s="25"/>
      <c r="K45" s="24" t="s">
        <v>149</v>
      </c>
      <c r="L45" s="24" t="s">
        <v>125</v>
      </c>
      <c r="M45" s="24" t="s">
        <v>177</v>
      </c>
      <c r="N45" s="25"/>
      <c r="O45" s="24" t="s">
        <v>283</v>
      </c>
      <c r="P45" s="24" t="s">
        <v>179</v>
      </c>
      <c r="Q45" s="24" t="s">
        <v>226</v>
      </c>
      <c r="R45" s="25"/>
      <c r="S45" s="23" t="str">
        <f>"830,0"</f>
        <v>830,0</v>
      </c>
      <c r="T45" s="24" t="str">
        <f>"481,8150"</f>
        <v>481,8150</v>
      </c>
      <c r="U45" s="23" t="s">
        <v>284</v>
      </c>
    </row>
    <row r="46" spans="1:21" x14ac:dyDescent="0.2">
      <c r="A46" s="12" t="s">
        <v>286</v>
      </c>
      <c r="B46" s="12" t="s">
        <v>287</v>
      </c>
      <c r="C46" s="12" t="s">
        <v>288</v>
      </c>
      <c r="D46" s="12" t="str">
        <f>"0,5699"</f>
        <v>0,5699</v>
      </c>
      <c r="E46" s="12" t="s">
        <v>31</v>
      </c>
      <c r="F46" s="12" t="s">
        <v>289</v>
      </c>
      <c r="G46" s="13" t="s">
        <v>45</v>
      </c>
      <c r="H46" s="13" t="s">
        <v>49</v>
      </c>
      <c r="I46" s="14" t="s">
        <v>157</v>
      </c>
      <c r="J46" s="14"/>
      <c r="K46" s="13" t="s">
        <v>20</v>
      </c>
      <c r="L46" s="13" t="s">
        <v>131</v>
      </c>
      <c r="M46" s="13" t="s">
        <v>36</v>
      </c>
      <c r="N46" s="14"/>
      <c r="O46" s="13" t="s">
        <v>45</v>
      </c>
      <c r="P46" s="13" t="s">
        <v>49</v>
      </c>
      <c r="Q46" s="13" t="s">
        <v>157</v>
      </c>
      <c r="R46" s="14"/>
      <c r="S46" s="12" t="str">
        <f>"615,0"</f>
        <v>615,0</v>
      </c>
      <c r="T46" s="13" t="str">
        <f>"478,7673"</f>
        <v>478,7673</v>
      </c>
      <c r="U46" s="12" t="s">
        <v>98</v>
      </c>
    </row>
    <row r="48" spans="1:21" ht="15" x14ac:dyDescent="0.2">
      <c r="A48" s="36" t="s">
        <v>290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1:21" x14ac:dyDescent="0.2">
      <c r="A49" s="6" t="s">
        <v>291</v>
      </c>
      <c r="B49" s="6" t="s">
        <v>292</v>
      </c>
      <c r="C49" s="6" t="s">
        <v>293</v>
      </c>
      <c r="D49" s="6" t="str">
        <f>"0,5596"</f>
        <v>0,5596</v>
      </c>
      <c r="E49" s="33" t="s">
        <v>1189</v>
      </c>
      <c r="F49" s="6" t="s">
        <v>206</v>
      </c>
      <c r="G49" s="7" t="s">
        <v>115</v>
      </c>
      <c r="H49" s="7" t="s">
        <v>55</v>
      </c>
      <c r="I49" s="7" t="s">
        <v>36</v>
      </c>
      <c r="J49" s="7" t="s">
        <v>122</v>
      </c>
      <c r="K49" s="7" t="s">
        <v>81</v>
      </c>
      <c r="L49" s="7" t="s">
        <v>70</v>
      </c>
      <c r="M49" s="8" t="s">
        <v>87</v>
      </c>
      <c r="N49" s="8"/>
      <c r="O49" s="7" t="s">
        <v>20</v>
      </c>
      <c r="P49" s="7" t="s">
        <v>36</v>
      </c>
      <c r="Q49" s="7" t="s">
        <v>122</v>
      </c>
      <c r="R49" s="7" t="s">
        <v>47</v>
      </c>
      <c r="S49" s="6" t="str">
        <f>"350,0"</f>
        <v>350,0</v>
      </c>
      <c r="T49" s="7" t="str">
        <f>"195,8600"</f>
        <v>195,8600</v>
      </c>
      <c r="U49" s="6" t="s">
        <v>50</v>
      </c>
    </row>
    <row r="51" spans="1:21" ht="15" x14ac:dyDescent="0.2">
      <c r="E51" s="15" t="s">
        <v>57</v>
      </c>
    </row>
    <row r="52" spans="1:21" ht="15" x14ac:dyDescent="0.2">
      <c r="E52" s="15" t="s">
        <v>58</v>
      </c>
    </row>
    <row r="53" spans="1:21" ht="15" x14ac:dyDescent="0.2">
      <c r="E53" s="15"/>
    </row>
    <row r="55" spans="1:21" ht="18" x14ac:dyDescent="0.25">
      <c r="A55" s="16" t="s">
        <v>62</v>
      </c>
      <c r="B55" s="16"/>
    </row>
    <row r="56" spans="1:21" ht="15" x14ac:dyDescent="0.2">
      <c r="A56" s="17" t="s">
        <v>63</v>
      </c>
      <c r="B56" s="17"/>
    </row>
    <row r="57" spans="1:21" ht="14.25" x14ac:dyDescent="0.2">
      <c r="A57" s="19"/>
      <c r="B57" s="20" t="s">
        <v>64</v>
      </c>
    </row>
    <row r="58" spans="1:21" ht="15" x14ac:dyDescent="0.2">
      <c r="A58" s="21" t="s">
        <v>65</v>
      </c>
      <c r="B58" s="21" t="s">
        <v>66</v>
      </c>
      <c r="C58" s="21" t="s">
        <v>67</v>
      </c>
      <c r="D58" s="21" t="s">
        <v>68</v>
      </c>
      <c r="E58" s="21" t="s">
        <v>69</v>
      </c>
    </row>
    <row r="59" spans="1:21" x14ac:dyDescent="0.2">
      <c r="A59" s="18" t="s">
        <v>222</v>
      </c>
      <c r="B59" s="4" t="s">
        <v>64</v>
      </c>
      <c r="C59" s="4" t="s">
        <v>70</v>
      </c>
      <c r="D59" s="4" t="s">
        <v>296</v>
      </c>
      <c r="E59" s="22" t="s">
        <v>297</v>
      </c>
    </row>
    <row r="60" spans="1:21" x14ac:dyDescent="0.2">
      <c r="A60" s="18" t="s">
        <v>261</v>
      </c>
      <c r="B60" s="4" t="s">
        <v>64</v>
      </c>
      <c r="C60" s="4" t="s">
        <v>20</v>
      </c>
      <c r="D60" s="4" t="s">
        <v>298</v>
      </c>
      <c r="E60" s="22" t="s">
        <v>299</v>
      </c>
    </row>
    <row r="61" spans="1:21" x14ac:dyDescent="0.2">
      <c r="A61" s="18" t="s">
        <v>277</v>
      </c>
      <c r="B61" s="4" t="s">
        <v>64</v>
      </c>
      <c r="C61" s="4" t="s">
        <v>36</v>
      </c>
      <c r="D61" s="4" t="s">
        <v>300</v>
      </c>
      <c r="E61" s="22" t="s">
        <v>301</v>
      </c>
    </row>
  </sheetData>
  <mergeCells count="25"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  <mergeCell ref="A38:T38"/>
    <mergeCell ref="A43:T43"/>
    <mergeCell ref="A48:T48"/>
    <mergeCell ref="A14:T14"/>
    <mergeCell ref="A17:T17"/>
    <mergeCell ref="A20:T20"/>
    <mergeCell ref="A24:T24"/>
    <mergeCell ref="A27:T27"/>
    <mergeCell ref="A33:T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19"/>
  <sheetViews>
    <sheetView topLeftCell="A3" workbookViewId="0">
      <selection activeCell="A17" sqref="A17:XFD20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3.85546875" style="4" bestFit="1" customWidth="1"/>
    <col min="22" max="16384" width="9.140625" style="3"/>
  </cols>
  <sheetData>
    <row r="1" spans="1:21" s="2" customFormat="1" ht="29.1" customHeight="1" x14ac:dyDescent="0.2">
      <c r="A1" s="42" t="s">
        <v>1191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1</v>
      </c>
      <c r="H3" s="37"/>
      <c r="I3" s="37"/>
      <c r="J3" s="37"/>
      <c r="K3" s="37" t="s">
        <v>2</v>
      </c>
      <c r="L3" s="37"/>
      <c r="M3" s="37"/>
      <c r="N3" s="37"/>
      <c r="O3" s="37" t="s">
        <v>3</v>
      </c>
      <c r="P3" s="37"/>
      <c r="Q3" s="37"/>
      <c r="R3" s="37"/>
      <c r="S3" s="37" t="s">
        <v>4</v>
      </c>
      <c r="T3" s="37" t="s">
        <v>6</v>
      </c>
      <c r="U3" s="39" t="s">
        <v>5</v>
      </c>
    </row>
    <row r="4" spans="1:21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5">
        <v>1</v>
      </c>
      <c r="L4" s="5">
        <v>2</v>
      </c>
      <c r="M4" s="5">
        <v>3</v>
      </c>
      <c r="N4" s="5" t="s">
        <v>8</v>
      </c>
      <c r="O4" s="5">
        <v>1</v>
      </c>
      <c r="P4" s="5">
        <v>2</v>
      </c>
      <c r="Q4" s="5">
        <v>3</v>
      </c>
      <c r="R4" s="5" t="s">
        <v>8</v>
      </c>
      <c r="S4" s="38"/>
      <c r="T4" s="38"/>
      <c r="U4" s="40"/>
    </row>
    <row r="5" spans="1:21" ht="15" x14ac:dyDescent="0.2">
      <c r="A5" s="41" t="s">
        <v>13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1" x14ac:dyDescent="0.2">
      <c r="A6" s="6" t="s">
        <v>14</v>
      </c>
      <c r="B6" s="6" t="s">
        <v>15</v>
      </c>
      <c r="C6" s="6" t="s">
        <v>16</v>
      </c>
      <c r="D6" s="6" t="str">
        <f>"0,7029"</f>
        <v>0,7029</v>
      </c>
      <c r="E6" s="6" t="s">
        <v>17</v>
      </c>
      <c r="F6" s="6" t="s">
        <v>18</v>
      </c>
      <c r="G6" s="7" t="s">
        <v>19</v>
      </c>
      <c r="H6" s="7" t="s">
        <v>20</v>
      </c>
      <c r="I6" s="7" t="s">
        <v>21</v>
      </c>
      <c r="J6" s="8"/>
      <c r="K6" s="7" t="s">
        <v>19</v>
      </c>
      <c r="L6" s="7" t="s">
        <v>22</v>
      </c>
      <c r="M6" s="7" t="s">
        <v>23</v>
      </c>
      <c r="N6" s="8"/>
      <c r="O6" s="7" t="s">
        <v>21</v>
      </c>
      <c r="P6" s="7" t="s">
        <v>24</v>
      </c>
      <c r="Q6" s="7" t="s">
        <v>25</v>
      </c>
      <c r="R6" s="8"/>
      <c r="S6" s="6" t="str">
        <f>"372,5"</f>
        <v>372,5</v>
      </c>
      <c r="T6" s="7" t="str">
        <f>"305,0322"</f>
        <v>305,0322</v>
      </c>
      <c r="U6" s="6" t="s">
        <v>26</v>
      </c>
    </row>
    <row r="8" spans="1:21" ht="15" x14ac:dyDescent="0.2">
      <c r="A8" s="36" t="s">
        <v>27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1" x14ac:dyDescent="0.2">
      <c r="A9" s="6" t="s">
        <v>28</v>
      </c>
      <c r="B9" s="6" t="s">
        <v>29</v>
      </c>
      <c r="C9" s="6" t="s">
        <v>30</v>
      </c>
      <c r="D9" s="6" t="str">
        <f>"0,6528"</f>
        <v>0,6528</v>
      </c>
      <c r="E9" s="6" t="s">
        <v>31</v>
      </c>
      <c r="F9" s="6" t="s">
        <v>32</v>
      </c>
      <c r="G9" s="7" t="s">
        <v>33</v>
      </c>
      <c r="H9" s="7" t="s">
        <v>34</v>
      </c>
      <c r="I9" s="8" t="s">
        <v>35</v>
      </c>
      <c r="J9" s="8"/>
      <c r="K9" s="7" t="s">
        <v>21</v>
      </c>
      <c r="L9" s="7" t="s">
        <v>36</v>
      </c>
      <c r="M9" s="7" t="s">
        <v>37</v>
      </c>
      <c r="N9" s="8"/>
      <c r="O9" s="8" t="s">
        <v>35</v>
      </c>
      <c r="P9" s="7" t="s">
        <v>35</v>
      </c>
      <c r="Q9" s="8" t="s">
        <v>38</v>
      </c>
      <c r="R9" s="8"/>
      <c r="S9" s="6" t="str">
        <f>"472,5"</f>
        <v>472,5</v>
      </c>
      <c r="T9" s="7" t="str">
        <f>"308,4480"</f>
        <v>308,4480</v>
      </c>
      <c r="U9" s="6" t="s">
        <v>26</v>
      </c>
    </row>
    <row r="11" spans="1:21" ht="15" x14ac:dyDescent="0.2">
      <c r="A11" s="36" t="s">
        <v>39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1" x14ac:dyDescent="0.2">
      <c r="A12" s="34" t="s">
        <v>1192</v>
      </c>
      <c r="B12" s="9" t="s">
        <v>40</v>
      </c>
      <c r="C12" s="9" t="s">
        <v>41</v>
      </c>
      <c r="D12" s="9" t="str">
        <f>"0,6318"</f>
        <v>0,6318</v>
      </c>
      <c r="E12" s="34" t="s">
        <v>17</v>
      </c>
      <c r="F12" s="34" t="s">
        <v>17</v>
      </c>
      <c r="G12" s="10" t="s">
        <v>44</v>
      </c>
      <c r="H12" s="10" t="s">
        <v>45</v>
      </c>
      <c r="I12" s="10" t="s">
        <v>46</v>
      </c>
      <c r="J12" s="11"/>
      <c r="K12" s="10" t="s">
        <v>47</v>
      </c>
      <c r="L12" s="11" t="s">
        <v>48</v>
      </c>
      <c r="M12" s="11"/>
      <c r="N12" s="11"/>
      <c r="O12" s="10" t="s">
        <v>45</v>
      </c>
      <c r="P12" s="11" t="s">
        <v>49</v>
      </c>
      <c r="Q12" s="10" t="s">
        <v>49</v>
      </c>
      <c r="R12" s="11"/>
      <c r="S12" s="9" t="str">
        <f>"625,0"</f>
        <v>625,0</v>
      </c>
      <c r="T12" s="10" t="str">
        <f>"394,8750"</f>
        <v>394,8750</v>
      </c>
      <c r="U12" s="34" t="s">
        <v>1173</v>
      </c>
    </row>
    <row r="13" spans="1:21" x14ac:dyDescent="0.2">
      <c r="A13" s="12" t="s">
        <v>51</v>
      </c>
      <c r="B13" s="12" t="s">
        <v>52</v>
      </c>
      <c r="C13" s="12" t="s">
        <v>53</v>
      </c>
      <c r="D13" s="12" t="str">
        <f>"0,6098"</f>
        <v>0,6098</v>
      </c>
      <c r="E13" s="12" t="s">
        <v>17</v>
      </c>
      <c r="F13" s="12" t="s">
        <v>17</v>
      </c>
      <c r="G13" s="13" t="s">
        <v>21</v>
      </c>
      <c r="H13" s="13" t="s">
        <v>24</v>
      </c>
      <c r="I13" s="13" t="s">
        <v>54</v>
      </c>
      <c r="J13" s="14"/>
      <c r="K13" s="13" t="s">
        <v>19</v>
      </c>
      <c r="L13" s="13" t="s">
        <v>20</v>
      </c>
      <c r="M13" s="13" t="s">
        <v>55</v>
      </c>
      <c r="N13" s="14"/>
      <c r="O13" s="13" t="s">
        <v>48</v>
      </c>
      <c r="P13" s="13" t="s">
        <v>34</v>
      </c>
      <c r="Q13" s="13" t="s">
        <v>38</v>
      </c>
      <c r="R13" s="14"/>
      <c r="S13" s="12" t="str">
        <f>"437,5"</f>
        <v>437,5</v>
      </c>
      <c r="T13" s="13" t="str">
        <f>"266,7875"</f>
        <v>266,7875</v>
      </c>
      <c r="U13" s="12" t="s">
        <v>56</v>
      </c>
    </row>
    <row r="15" spans="1:21" ht="15" x14ac:dyDescent="0.2">
      <c r="E15" s="15" t="s">
        <v>57</v>
      </c>
    </row>
    <row r="16" spans="1:21" ht="15" x14ac:dyDescent="0.2">
      <c r="E16" s="15" t="s">
        <v>58</v>
      </c>
    </row>
    <row r="17" spans="1:5" ht="15" x14ac:dyDescent="0.2">
      <c r="E17" s="15"/>
    </row>
    <row r="19" spans="1:5" ht="18" x14ac:dyDescent="0.25">
      <c r="A19" s="16" t="s">
        <v>62</v>
      </c>
      <c r="B19" s="16"/>
    </row>
  </sheetData>
  <mergeCells count="16"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T5"/>
    <mergeCell ref="A8:T8"/>
    <mergeCell ref="A11:T11"/>
    <mergeCell ref="D3:D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E7" sqref="E7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2" style="4" bestFit="1" customWidth="1"/>
    <col min="7" max="7" width="7.140625" style="3" customWidth="1"/>
    <col min="8" max="8" width="10" style="28" customWidth="1"/>
    <col min="9" max="9" width="8.5703125" style="4" customWidth="1"/>
    <col min="10" max="10" width="9.5703125" style="3" bestFit="1" customWidth="1"/>
    <col min="11" max="11" width="17.85546875" style="4" bestFit="1" customWidth="1"/>
    <col min="12" max="16384" width="9.140625" style="3"/>
  </cols>
  <sheetData>
    <row r="1" spans="1:11" s="2" customFormat="1" ht="29.1" customHeight="1" x14ac:dyDescent="0.2">
      <c r="A1" s="42" t="s">
        <v>1174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996</v>
      </c>
      <c r="E3" s="37" t="s">
        <v>7</v>
      </c>
      <c r="F3" s="37" t="s">
        <v>11</v>
      </c>
      <c r="G3" s="37" t="s">
        <v>1019</v>
      </c>
      <c r="H3" s="37"/>
      <c r="I3" s="37" t="s">
        <v>1022</v>
      </c>
      <c r="J3" s="37" t="s">
        <v>6</v>
      </c>
      <c r="K3" s="39" t="s">
        <v>5</v>
      </c>
    </row>
    <row r="4" spans="1:11" s="1" customFormat="1" ht="21" customHeight="1" thickBot="1" x14ac:dyDescent="0.25">
      <c r="A4" s="49"/>
      <c r="B4" s="38"/>
      <c r="C4" s="38"/>
      <c r="D4" s="38"/>
      <c r="E4" s="38"/>
      <c r="F4" s="38"/>
      <c r="G4" s="5" t="s">
        <v>1020</v>
      </c>
      <c r="H4" s="26" t="s">
        <v>1021</v>
      </c>
      <c r="I4" s="38"/>
      <c r="J4" s="38"/>
      <c r="K4" s="40"/>
    </row>
    <row r="5" spans="1:11" ht="15" x14ac:dyDescent="0.2">
      <c r="A5" s="41" t="s">
        <v>202</v>
      </c>
      <c r="B5" s="41"/>
      <c r="C5" s="41"/>
      <c r="D5" s="41"/>
      <c r="E5" s="41"/>
      <c r="F5" s="41"/>
      <c r="G5" s="41"/>
      <c r="H5" s="41"/>
      <c r="I5" s="41"/>
      <c r="J5" s="41"/>
    </row>
    <row r="6" spans="1:11" x14ac:dyDescent="0.2">
      <c r="A6" s="6" t="s">
        <v>1023</v>
      </c>
      <c r="B6" s="6" t="s">
        <v>599</v>
      </c>
      <c r="C6" s="6" t="s">
        <v>600</v>
      </c>
      <c r="D6" s="6" t="str">
        <f>"0,9997"</f>
        <v>0,9997</v>
      </c>
      <c r="E6" s="33" t="s">
        <v>1177</v>
      </c>
      <c r="F6" s="6" t="s">
        <v>18</v>
      </c>
      <c r="G6" s="7" t="s">
        <v>192</v>
      </c>
      <c r="H6" s="27" t="s">
        <v>1024</v>
      </c>
      <c r="I6" s="6" t="str">
        <f>"600,0"</f>
        <v>600,0</v>
      </c>
      <c r="J6" s="7" t="str">
        <f>"599,8200"</f>
        <v>599,8200</v>
      </c>
      <c r="K6" s="6" t="s">
        <v>601</v>
      </c>
    </row>
    <row r="8" spans="1:11" ht="15" x14ac:dyDescent="0.2">
      <c r="A8" s="36" t="s">
        <v>117</v>
      </c>
      <c r="B8" s="36"/>
      <c r="C8" s="36"/>
      <c r="D8" s="36"/>
      <c r="E8" s="36"/>
      <c r="F8" s="36"/>
      <c r="G8" s="36"/>
      <c r="H8" s="36"/>
      <c r="I8" s="36"/>
      <c r="J8" s="36"/>
    </row>
    <row r="9" spans="1:11" x14ac:dyDescent="0.2">
      <c r="A9" s="6" t="s">
        <v>1026</v>
      </c>
      <c r="B9" s="6" t="s">
        <v>1027</v>
      </c>
      <c r="C9" s="6" t="s">
        <v>1028</v>
      </c>
      <c r="D9" s="6" t="str">
        <f>"0,8595"</f>
        <v>0,8595</v>
      </c>
      <c r="E9" s="6" t="s">
        <v>17</v>
      </c>
      <c r="F9" s="6" t="s">
        <v>18</v>
      </c>
      <c r="G9" s="7" t="s">
        <v>95</v>
      </c>
      <c r="H9" s="27" t="s">
        <v>1029</v>
      </c>
      <c r="I9" s="6" t="str">
        <f>"1377,5"</f>
        <v>1377,5</v>
      </c>
      <c r="J9" s="7" t="str">
        <f>"1184,0301"</f>
        <v>1184,0301</v>
      </c>
      <c r="K9" s="6" t="s">
        <v>1030</v>
      </c>
    </row>
    <row r="11" spans="1:11" ht="15" x14ac:dyDescent="0.2">
      <c r="A11" s="36" t="s">
        <v>117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1" x14ac:dyDescent="0.2">
      <c r="A12" s="9" t="s">
        <v>1032</v>
      </c>
      <c r="B12" s="9" t="s">
        <v>1033</v>
      </c>
      <c r="C12" s="9" t="s">
        <v>1034</v>
      </c>
      <c r="D12" s="9" t="str">
        <f>"0,7117"</f>
        <v>0,7117</v>
      </c>
      <c r="E12" s="9" t="s">
        <v>31</v>
      </c>
      <c r="F12" s="9" t="s">
        <v>1035</v>
      </c>
      <c r="G12" s="10" t="s">
        <v>95</v>
      </c>
      <c r="H12" s="29" t="s">
        <v>33</v>
      </c>
      <c r="I12" s="9" t="str">
        <f>"11600,0"</f>
        <v>11600,0</v>
      </c>
      <c r="J12" s="10" t="str">
        <f>"8255,7203"</f>
        <v>8255,7203</v>
      </c>
      <c r="K12" s="9" t="s">
        <v>98</v>
      </c>
    </row>
    <row r="13" spans="1:11" x14ac:dyDescent="0.2">
      <c r="A13" s="12" t="s">
        <v>1036</v>
      </c>
      <c r="B13" s="12" t="s">
        <v>1037</v>
      </c>
      <c r="C13" s="12" t="s">
        <v>647</v>
      </c>
      <c r="D13" s="12" t="str">
        <f>"0,6885"</f>
        <v>0,6885</v>
      </c>
      <c r="E13" s="12" t="s">
        <v>17</v>
      </c>
      <c r="F13" s="12" t="s">
        <v>18</v>
      </c>
      <c r="G13" s="13" t="s">
        <v>80</v>
      </c>
      <c r="H13" s="30" t="s">
        <v>1038</v>
      </c>
      <c r="I13" s="12" t="str">
        <f>"2025,0"</f>
        <v>2025,0</v>
      </c>
      <c r="J13" s="13" t="str">
        <f>"1394,3137"</f>
        <v>1394,3137</v>
      </c>
      <c r="K13" s="12" t="s">
        <v>1039</v>
      </c>
    </row>
    <row r="15" spans="1:11" ht="15" x14ac:dyDescent="0.2">
      <c r="A15" s="36" t="s">
        <v>13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1" x14ac:dyDescent="0.2">
      <c r="A16" s="9" t="s">
        <v>1040</v>
      </c>
      <c r="B16" s="9" t="s">
        <v>1041</v>
      </c>
      <c r="C16" s="9" t="s">
        <v>1042</v>
      </c>
      <c r="D16" s="9" t="str">
        <f>"0,6761"</f>
        <v>0,6761</v>
      </c>
      <c r="E16" s="34" t="s">
        <v>1177</v>
      </c>
      <c r="F16" s="9" t="s">
        <v>18</v>
      </c>
      <c r="G16" s="10" t="s">
        <v>86</v>
      </c>
      <c r="H16" s="29" t="s">
        <v>96</v>
      </c>
      <c r="I16" s="9" t="str">
        <f>"2712,5"</f>
        <v>2712,5</v>
      </c>
      <c r="J16" s="10" t="str">
        <f>"1833,9213"</f>
        <v>1833,9213</v>
      </c>
      <c r="K16" s="9" t="s">
        <v>1043</v>
      </c>
    </row>
    <row r="17" spans="1:11" x14ac:dyDescent="0.2">
      <c r="A17" s="12" t="s">
        <v>1044</v>
      </c>
      <c r="B17" s="12" t="s">
        <v>1045</v>
      </c>
      <c r="C17" s="12" t="s">
        <v>938</v>
      </c>
      <c r="D17" s="12" t="str">
        <f>"0,6682"</f>
        <v>0,6682</v>
      </c>
      <c r="E17" s="12" t="s">
        <v>31</v>
      </c>
      <c r="F17" s="12" t="s">
        <v>412</v>
      </c>
      <c r="G17" s="13" t="s">
        <v>198</v>
      </c>
      <c r="H17" s="30" t="s">
        <v>1038</v>
      </c>
      <c r="I17" s="12" t="str">
        <f>"2160,0"</f>
        <v>2160,0</v>
      </c>
      <c r="J17" s="13" t="str">
        <f>"1443,2040"</f>
        <v>1443,2040</v>
      </c>
      <c r="K17" s="12" t="s">
        <v>145</v>
      </c>
    </row>
    <row r="19" spans="1:11" ht="15" x14ac:dyDescent="0.2">
      <c r="A19" s="36" t="s">
        <v>27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1" x14ac:dyDescent="0.2">
      <c r="A20" s="9" t="s">
        <v>1047</v>
      </c>
      <c r="B20" s="9" t="s">
        <v>1048</v>
      </c>
      <c r="C20" s="9" t="s">
        <v>1049</v>
      </c>
      <c r="D20" s="9" t="str">
        <f>"0,6349"</f>
        <v>0,6349</v>
      </c>
      <c r="E20" s="9" t="s">
        <v>17</v>
      </c>
      <c r="F20" s="9" t="s">
        <v>18</v>
      </c>
      <c r="G20" s="10" t="s">
        <v>81</v>
      </c>
      <c r="H20" s="29" t="s">
        <v>1050</v>
      </c>
      <c r="I20" s="9" t="str">
        <f>"3230,0"</f>
        <v>3230,0</v>
      </c>
      <c r="J20" s="10" t="str">
        <f>"2050,8884"</f>
        <v>2050,8884</v>
      </c>
      <c r="K20" s="9" t="s">
        <v>1051</v>
      </c>
    </row>
    <row r="21" spans="1:11" x14ac:dyDescent="0.2">
      <c r="A21" s="23" t="s">
        <v>1053</v>
      </c>
      <c r="B21" s="23" t="s">
        <v>1054</v>
      </c>
      <c r="C21" s="23" t="s">
        <v>479</v>
      </c>
      <c r="D21" s="23" t="str">
        <f>"0,6177"</f>
        <v>0,6177</v>
      </c>
      <c r="E21" s="23" t="s">
        <v>17</v>
      </c>
      <c r="F21" s="23" t="s">
        <v>18</v>
      </c>
      <c r="G21" s="24" t="s">
        <v>70</v>
      </c>
      <c r="H21" s="31" t="s">
        <v>96</v>
      </c>
      <c r="I21" s="23" t="str">
        <f>"3150,0"</f>
        <v>3150,0</v>
      </c>
      <c r="J21" s="24" t="str">
        <f>"1945,7549"</f>
        <v>1945,7549</v>
      </c>
      <c r="K21" s="23" t="s">
        <v>1055</v>
      </c>
    </row>
    <row r="22" spans="1:11" x14ac:dyDescent="0.2">
      <c r="A22" s="23" t="s">
        <v>1056</v>
      </c>
      <c r="B22" s="23" t="s">
        <v>1057</v>
      </c>
      <c r="C22" s="23" t="s">
        <v>148</v>
      </c>
      <c r="D22" s="23" t="str">
        <f>"0,6161"</f>
        <v>0,6161</v>
      </c>
      <c r="E22" s="23" t="s">
        <v>17</v>
      </c>
      <c r="F22" s="23" t="s">
        <v>18</v>
      </c>
      <c r="G22" s="24" t="s">
        <v>70</v>
      </c>
      <c r="H22" s="31" t="s">
        <v>96</v>
      </c>
      <c r="I22" s="23" t="str">
        <f>"3150,0"</f>
        <v>3150,0</v>
      </c>
      <c r="J22" s="24" t="str">
        <f>"2047,2882"</f>
        <v>2047,2882</v>
      </c>
      <c r="K22" s="23" t="s">
        <v>275</v>
      </c>
    </row>
    <row r="23" spans="1:11" x14ac:dyDescent="0.2">
      <c r="A23" s="12" t="s">
        <v>711</v>
      </c>
      <c r="B23" s="12" t="s">
        <v>1058</v>
      </c>
      <c r="C23" s="12" t="s">
        <v>352</v>
      </c>
      <c r="D23" s="12" t="str">
        <f>"0,6222"</f>
        <v>0,6222</v>
      </c>
      <c r="E23" s="12" t="s">
        <v>17</v>
      </c>
      <c r="F23" s="12" t="s">
        <v>18</v>
      </c>
      <c r="G23" s="13" t="s">
        <v>306</v>
      </c>
      <c r="H23" s="30" t="s">
        <v>1029</v>
      </c>
      <c r="I23" s="12" t="str">
        <f>"1662,5"</f>
        <v>1662,5</v>
      </c>
      <c r="J23" s="13" t="str">
        <f>"1134,6538"</f>
        <v>1134,6538</v>
      </c>
      <c r="K23" s="12" t="s">
        <v>98</v>
      </c>
    </row>
    <row r="25" spans="1:11" ht="15" x14ac:dyDescent="0.2">
      <c r="A25" s="36" t="s">
        <v>39</v>
      </c>
      <c r="B25" s="36"/>
      <c r="C25" s="36"/>
      <c r="D25" s="36"/>
      <c r="E25" s="36"/>
      <c r="F25" s="36"/>
      <c r="G25" s="36"/>
      <c r="H25" s="36"/>
      <c r="I25" s="36"/>
      <c r="J25" s="36"/>
    </row>
    <row r="26" spans="1:11" x14ac:dyDescent="0.2">
      <c r="A26" s="6" t="s">
        <v>1059</v>
      </c>
      <c r="B26" s="6" t="s">
        <v>742</v>
      </c>
      <c r="C26" s="6" t="s">
        <v>736</v>
      </c>
      <c r="D26" s="6" t="str">
        <f>"0,5853"</f>
        <v>0,5853</v>
      </c>
      <c r="E26" s="6" t="s">
        <v>17</v>
      </c>
      <c r="F26" s="6" t="s">
        <v>18</v>
      </c>
      <c r="G26" s="7" t="s">
        <v>19</v>
      </c>
      <c r="H26" s="27" t="s">
        <v>1060</v>
      </c>
      <c r="I26" s="6" t="str">
        <f>"2200,0"</f>
        <v>2200,0</v>
      </c>
      <c r="J26" s="7" t="str">
        <f>"1287,7699"</f>
        <v>1287,7699</v>
      </c>
      <c r="K26" s="6" t="s">
        <v>98</v>
      </c>
    </row>
    <row r="28" spans="1:11" ht="15" x14ac:dyDescent="0.2">
      <c r="A28" s="36" t="s">
        <v>290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1" x14ac:dyDescent="0.2">
      <c r="A29" s="6" t="s">
        <v>1061</v>
      </c>
      <c r="B29" s="6" t="s">
        <v>1062</v>
      </c>
      <c r="C29" s="6" t="s">
        <v>1063</v>
      </c>
      <c r="D29" s="6" t="str">
        <f>"0,5445"</f>
        <v>0,5445</v>
      </c>
      <c r="E29" s="6" t="s">
        <v>17</v>
      </c>
      <c r="F29" s="6" t="s">
        <v>18</v>
      </c>
      <c r="G29" s="7" t="s">
        <v>37</v>
      </c>
      <c r="H29" s="27" t="s">
        <v>1015</v>
      </c>
      <c r="I29" s="6" t="str">
        <f>"3315,0"</f>
        <v>3315,0</v>
      </c>
      <c r="J29" s="7" t="str">
        <f>"1804,9513"</f>
        <v>1804,9513</v>
      </c>
      <c r="K29" s="6" t="s">
        <v>1064</v>
      </c>
    </row>
    <row r="31" spans="1:11" ht="15" x14ac:dyDescent="0.2">
      <c r="E31" s="15" t="s">
        <v>57</v>
      </c>
    </row>
    <row r="32" spans="1:11" ht="15" x14ac:dyDescent="0.2">
      <c r="E32" s="15" t="s">
        <v>58</v>
      </c>
    </row>
    <row r="33" spans="1:5" ht="15" x14ac:dyDescent="0.2">
      <c r="E33" s="15"/>
    </row>
    <row r="35" spans="1:5" ht="18" x14ac:dyDescent="0.25">
      <c r="A35" s="16" t="s">
        <v>62</v>
      </c>
      <c r="B35" s="16"/>
    </row>
    <row r="36" spans="1:5" ht="15" x14ac:dyDescent="0.2">
      <c r="A36" s="17" t="s">
        <v>182</v>
      </c>
      <c r="B36" s="17"/>
    </row>
    <row r="37" spans="1:5" ht="14.25" x14ac:dyDescent="0.2">
      <c r="A37" s="19"/>
      <c r="B37" s="20" t="s">
        <v>64</v>
      </c>
    </row>
    <row r="38" spans="1:5" ht="15" x14ac:dyDescent="0.2">
      <c r="A38" s="21" t="s">
        <v>65</v>
      </c>
      <c r="B38" s="21" t="s">
        <v>66</v>
      </c>
      <c r="C38" s="21" t="s">
        <v>67</v>
      </c>
      <c r="D38" s="21" t="s">
        <v>68</v>
      </c>
      <c r="E38" s="21" t="s">
        <v>1016</v>
      </c>
    </row>
    <row r="39" spans="1:5" x14ac:dyDescent="0.2">
      <c r="A39" s="18" t="s">
        <v>1025</v>
      </c>
      <c r="B39" s="4" t="s">
        <v>64</v>
      </c>
      <c r="C39" s="4" t="s">
        <v>80</v>
      </c>
      <c r="D39" s="4" t="s">
        <v>1065</v>
      </c>
      <c r="E39" s="22" t="s">
        <v>1066</v>
      </c>
    </row>
    <row r="40" spans="1:5" x14ac:dyDescent="0.2">
      <c r="A40" s="18" t="s">
        <v>597</v>
      </c>
      <c r="B40" s="4" t="s">
        <v>64</v>
      </c>
      <c r="C40" s="4" t="s">
        <v>192</v>
      </c>
      <c r="D40" s="4" t="s">
        <v>398</v>
      </c>
      <c r="E40" s="22" t="s">
        <v>1067</v>
      </c>
    </row>
    <row r="43" spans="1:5" ht="15" x14ac:dyDescent="0.2">
      <c r="A43" s="17" t="s">
        <v>63</v>
      </c>
      <c r="B43" s="17"/>
    </row>
    <row r="44" spans="1:5" ht="14.25" x14ac:dyDescent="0.2">
      <c r="A44" s="19"/>
      <c r="B44" s="20" t="s">
        <v>64</v>
      </c>
    </row>
    <row r="45" spans="1:5" ht="15" x14ac:dyDescent="0.2">
      <c r="A45" s="21" t="s">
        <v>65</v>
      </c>
      <c r="B45" s="21" t="s">
        <v>66</v>
      </c>
      <c r="C45" s="21" t="s">
        <v>67</v>
      </c>
      <c r="D45" s="21" t="s">
        <v>68</v>
      </c>
      <c r="E45" s="21" t="s">
        <v>1016</v>
      </c>
    </row>
    <row r="46" spans="1:5" x14ac:dyDescent="0.2">
      <c r="A46" s="18" t="s">
        <v>1031</v>
      </c>
      <c r="B46" s="4" t="s">
        <v>64</v>
      </c>
      <c r="C46" s="4" t="s">
        <v>80</v>
      </c>
      <c r="D46" s="4" t="s">
        <v>1068</v>
      </c>
      <c r="E46" s="22" t="s">
        <v>1069</v>
      </c>
    </row>
    <row r="47" spans="1:5" x14ac:dyDescent="0.2">
      <c r="A47" s="18" t="s">
        <v>1046</v>
      </c>
      <c r="B47" s="4" t="s">
        <v>64</v>
      </c>
      <c r="C47" s="4" t="s">
        <v>70</v>
      </c>
      <c r="D47" s="4" t="s">
        <v>1070</v>
      </c>
      <c r="E47" s="22" t="s">
        <v>1071</v>
      </c>
    </row>
    <row r="48" spans="1:5" x14ac:dyDescent="0.2">
      <c r="A48" s="18" t="s">
        <v>1052</v>
      </c>
      <c r="B48" s="4" t="s">
        <v>64</v>
      </c>
      <c r="C48" s="4" t="s">
        <v>70</v>
      </c>
      <c r="D48" s="4" t="s">
        <v>1072</v>
      </c>
      <c r="E48" s="22" t="s">
        <v>1073</v>
      </c>
    </row>
  </sheetData>
  <mergeCells count="18">
    <mergeCell ref="K3:K4"/>
    <mergeCell ref="A5:J5"/>
    <mergeCell ref="A8:J8"/>
    <mergeCell ref="A11:J11"/>
    <mergeCell ref="A1:K2"/>
    <mergeCell ref="A3:A4"/>
    <mergeCell ref="B3:B4"/>
    <mergeCell ref="C3:C4"/>
    <mergeCell ref="D3:D4"/>
    <mergeCell ref="E3:E4"/>
    <mergeCell ref="F3:F4"/>
    <mergeCell ref="G3:H3"/>
    <mergeCell ref="A15:J15"/>
    <mergeCell ref="A19:J19"/>
    <mergeCell ref="A25:J25"/>
    <mergeCell ref="A28:J28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3" workbookViewId="0">
      <selection activeCell="E23" sqref="E2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7.42578125" style="4" bestFit="1" customWidth="1"/>
    <col min="7" max="7" width="6.28515625" style="3" customWidth="1"/>
    <col min="8" max="8" width="12" style="28" customWidth="1"/>
    <col min="9" max="9" width="9.5703125" style="4" customWidth="1"/>
    <col min="10" max="10" width="9.5703125" style="3" bestFit="1" customWidth="1"/>
    <col min="11" max="11" width="11.140625" style="4" bestFit="1" customWidth="1"/>
    <col min="12" max="16384" width="9.140625" style="3"/>
  </cols>
  <sheetData>
    <row r="1" spans="1:11" s="2" customFormat="1" ht="29.1" customHeight="1" x14ac:dyDescent="0.2">
      <c r="A1" s="42" t="s">
        <v>1175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996</v>
      </c>
      <c r="E3" s="37" t="s">
        <v>7</v>
      </c>
      <c r="F3" s="37" t="s">
        <v>11</v>
      </c>
      <c r="G3" s="37" t="s">
        <v>1019</v>
      </c>
      <c r="H3" s="37"/>
      <c r="I3" s="37" t="s">
        <v>1022</v>
      </c>
      <c r="J3" s="37" t="s">
        <v>6</v>
      </c>
      <c r="K3" s="39" t="s">
        <v>5</v>
      </c>
    </row>
    <row r="4" spans="1:11" s="1" customFormat="1" ht="21" customHeight="1" thickBot="1" x14ac:dyDescent="0.25">
      <c r="A4" s="49"/>
      <c r="B4" s="38"/>
      <c r="C4" s="38"/>
      <c r="D4" s="38"/>
      <c r="E4" s="38"/>
      <c r="F4" s="38"/>
      <c r="G4" s="5" t="s">
        <v>1020</v>
      </c>
      <c r="H4" s="26" t="s">
        <v>1021</v>
      </c>
      <c r="I4" s="38"/>
      <c r="J4" s="38"/>
      <c r="K4" s="40"/>
    </row>
    <row r="5" spans="1:11" ht="15" x14ac:dyDescent="0.2">
      <c r="A5" s="41" t="s">
        <v>202</v>
      </c>
      <c r="B5" s="41"/>
      <c r="C5" s="41"/>
      <c r="D5" s="41"/>
      <c r="E5" s="41"/>
      <c r="F5" s="41"/>
      <c r="G5" s="41"/>
      <c r="H5" s="41"/>
      <c r="I5" s="41"/>
      <c r="J5" s="41"/>
    </row>
    <row r="6" spans="1:11" x14ac:dyDescent="0.2">
      <c r="A6" s="6" t="s">
        <v>997</v>
      </c>
      <c r="B6" s="6" t="s">
        <v>998</v>
      </c>
      <c r="C6" s="6" t="s">
        <v>999</v>
      </c>
      <c r="D6" s="6" t="str">
        <f>"0,9984"</f>
        <v>0,9984</v>
      </c>
      <c r="E6" s="6" t="s">
        <v>17</v>
      </c>
      <c r="F6" s="6" t="s">
        <v>18</v>
      </c>
      <c r="G6" s="7" t="s">
        <v>192</v>
      </c>
      <c r="H6" s="27" t="s">
        <v>1000</v>
      </c>
      <c r="I6" s="6" t="str">
        <f>"660,0"</f>
        <v>660,0</v>
      </c>
      <c r="J6" s="7" t="str">
        <f>"658,9110"</f>
        <v>658,9110</v>
      </c>
      <c r="K6" s="6" t="s">
        <v>145</v>
      </c>
    </row>
    <row r="8" spans="1:11" ht="15" x14ac:dyDescent="0.2">
      <c r="A8" s="36" t="s">
        <v>99</v>
      </c>
      <c r="B8" s="36"/>
      <c r="C8" s="36"/>
      <c r="D8" s="36"/>
      <c r="E8" s="36"/>
      <c r="F8" s="36"/>
      <c r="G8" s="36"/>
      <c r="H8" s="36"/>
      <c r="I8" s="36"/>
      <c r="J8" s="36"/>
    </row>
    <row r="9" spans="1:11" x14ac:dyDescent="0.2">
      <c r="A9" s="6" t="s">
        <v>1001</v>
      </c>
      <c r="B9" s="6" t="s">
        <v>1002</v>
      </c>
      <c r="C9" s="6" t="s">
        <v>1003</v>
      </c>
      <c r="D9" s="6" t="str">
        <f>"0,9387"</f>
        <v>0,9387</v>
      </c>
      <c r="E9" s="6" t="s">
        <v>17</v>
      </c>
      <c r="F9" s="6" t="s">
        <v>18</v>
      </c>
      <c r="G9" s="7" t="s">
        <v>213</v>
      </c>
      <c r="H9" s="27" t="s">
        <v>1004</v>
      </c>
      <c r="I9" s="6" t="str">
        <f>"935,0"</f>
        <v>935,0</v>
      </c>
      <c r="J9" s="7" t="str">
        <f>"877,6845"</f>
        <v>877,6845</v>
      </c>
      <c r="K9" s="6" t="s">
        <v>98</v>
      </c>
    </row>
    <row r="11" spans="1:11" ht="15" x14ac:dyDescent="0.2">
      <c r="A11" s="36" t="s">
        <v>109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1" x14ac:dyDescent="0.2">
      <c r="A12" s="6" t="s">
        <v>1006</v>
      </c>
      <c r="B12" s="6" t="s">
        <v>1007</v>
      </c>
      <c r="C12" s="6" t="s">
        <v>1008</v>
      </c>
      <c r="D12" s="6" t="str">
        <f>"0,7829"</f>
        <v>0,7829</v>
      </c>
      <c r="E12" s="6" t="s">
        <v>31</v>
      </c>
      <c r="F12" s="6" t="s">
        <v>1009</v>
      </c>
      <c r="G12" s="7" t="s">
        <v>79</v>
      </c>
      <c r="H12" s="27" t="s">
        <v>1010</v>
      </c>
      <c r="I12" s="6" t="str">
        <f>"7995,0"</f>
        <v>7995,0</v>
      </c>
      <c r="J12" s="7" t="str">
        <f>"6259,6851"</f>
        <v>6259,6851</v>
      </c>
      <c r="K12" s="6" t="s">
        <v>1011</v>
      </c>
    </row>
    <row r="14" spans="1:11" ht="15" x14ac:dyDescent="0.2">
      <c r="A14" s="36" t="s">
        <v>27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1" x14ac:dyDescent="0.2">
      <c r="A15" s="6" t="s">
        <v>1012</v>
      </c>
      <c r="B15" s="6" t="s">
        <v>1013</v>
      </c>
      <c r="C15" s="6" t="s">
        <v>1014</v>
      </c>
      <c r="D15" s="6" t="str">
        <f>"0,6340"</f>
        <v>0,6340</v>
      </c>
      <c r="E15" s="6" t="s">
        <v>31</v>
      </c>
      <c r="F15" s="6" t="s">
        <v>221</v>
      </c>
      <c r="G15" s="7" t="s">
        <v>81</v>
      </c>
      <c r="H15" s="27" t="s">
        <v>1015</v>
      </c>
      <c r="I15" s="6" t="str">
        <f>"2210,0"</f>
        <v>2210,0</v>
      </c>
      <c r="J15" s="7" t="str">
        <f>"1401,1400"</f>
        <v>1401,1400</v>
      </c>
      <c r="K15" s="6" t="s">
        <v>145</v>
      </c>
    </row>
    <row r="17" spans="1:5" ht="15" x14ac:dyDescent="0.2">
      <c r="E17" s="15" t="s">
        <v>57</v>
      </c>
    </row>
    <row r="18" spans="1:5" ht="15" x14ac:dyDescent="0.2">
      <c r="E18" s="15" t="s">
        <v>58</v>
      </c>
    </row>
    <row r="19" spans="1:5" ht="15" x14ac:dyDescent="0.2">
      <c r="E19" s="15"/>
    </row>
    <row r="21" spans="1:5" ht="18" x14ac:dyDescent="0.25">
      <c r="A21" s="16" t="s">
        <v>62</v>
      </c>
      <c r="B21" s="16"/>
    </row>
    <row r="22" spans="1:5" ht="15" x14ac:dyDescent="0.2">
      <c r="A22" s="17" t="s">
        <v>63</v>
      </c>
      <c r="B22" s="17"/>
    </row>
    <row r="23" spans="1:5" ht="14.25" x14ac:dyDescent="0.2">
      <c r="A23" s="19"/>
      <c r="B23" s="20" t="s">
        <v>64</v>
      </c>
    </row>
    <row r="24" spans="1:5" ht="15" x14ac:dyDescent="0.2">
      <c r="A24" s="21" t="s">
        <v>65</v>
      </c>
      <c r="B24" s="21" t="s">
        <v>66</v>
      </c>
      <c r="C24" s="21" t="s">
        <v>67</v>
      </c>
      <c r="D24" s="21" t="s">
        <v>68</v>
      </c>
      <c r="E24" s="21" t="s">
        <v>1016</v>
      </c>
    </row>
    <row r="25" spans="1:5" x14ac:dyDescent="0.2">
      <c r="A25" s="18" t="s">
        <v>1005</v>
      </c>
      <c r="B25" s="4" t="s">
        <v>64</v>
      </c>
      <c r="C25" s="4" t="s">
        <v>93</v>
      </c>
      <c r="D25" s="4" t="s">
        <v>1017</v>
      </c>
      <c r="E25" s="22" t="s">
        <v>1018</v>
      </c>
    </row>
  </sheetData>
  <mergeCells count="15">
    <mergeCell ref="A1:K2"/>
    <mergeCell ref="A3:A4"/>
    <mergeCell ref="B3:B4"/>
    <mergeCell ref="C3:C4"/>
    <mergeCell ref="D3:D4"/>
    <mergeCell ref="E3:E4"/>
    <mergeCell ref="F3:F4"/>
    <mergeCell ref="G3:H3"/>
    <mergeCell ref="A14:J14"/>
    <mergeCell ref="I3:I4"/>
    <mergeCell ref="J3:J4"/>
    <mergeCell ref="K3:K4"/>
    <mergeCell ref="A5:J5"/>
    <mergeCell ref="A8:J8"/>
    <mergeCell ref="A11:J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5.5703125" style="4" bestFit="1" customWidth="1"/>
    <col min="7" max="9" width="5.5703125" style="3" bestFit="1" customWidth="1"/>
    <col min="10" max="10" width="4.85546875" style="3" bestFit="1" customWidth="1"/>
    <col min="11" max="11" width="10.7109375" style="4" customWidth="1"/>
    <col min="12" max="12" width="8.5703125" style="3" bestFit="1" customWidth="1"/>
    <col min="13" max="13" width="15.42578125" style="4" bestFit="1" customWidth="1"/>
    <col min="14" max="16384" width="9.140625" style="3"/>
  </cols>
  <sheetData>
    <row r="1" spans="1:13" s="2" customFormat="1" ht="29.1" customHeight="1" x14ac:dyDescent="0.2">
      <c r="A1" s="42" t="s">
        <v>1176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3</v>
      </c>
      <c r="H3" s="37"/>
      <c r="I3" s="37"/>
      <c r="J3" s="37"/>
      <c r="K3" s="37" t="s">
        <v>552</v>
      </c>
      <c r="L3" s="37" t="s">
        <v>6</v>
      </c>
      <c r="M3" s="39" t="s">
        <v>5</v>
      </c>
    </row>
    <row r="4" spans="1:13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38"/>
      <c r="L4" s="38"/>
      <c r="M4" s="40"/>
    </row>
    <row r="5" spans="1:13" ht="15" x14ac:dyDescent="0.2">
      <c r="A5" s="41" t="s">
        <v>109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x14ac:dyDescent="0.2">
      <c r="A6" s="6" t="s">
        <v>987</v>
      </c>
      <c r="B6" s="6" t="s">
        <v>988</v>
      </c>
      <c r="C6" s="6" t="s">
        <v>989</v>
      </c>
      <c r="D6" s="6" t="str">
        <f>"1,0444"</f>
        <v>1,0444</v>
      </c>
      <c r="E6" s="33" t="s">
        <v>1177</v>
      </c>
      <c r="F6" s="6" t="s">
        <v>18</v>
      </c>
      <c r="G6" s="7" t="s">
        <v>19</v>
      </c>
      <c r="H6" s="8" t="s">
        <v>22</v>
      </c>
      <c r="I6" s="7" t="s">
        <v>20</v>
      </c>
      <c r="J6" s="8"/>
      <c r="K6" s="6" t="str">
        <f>"110,0"</f>
        <v>110,0</v>
      </c>
      <c r="L6" s="7" t="str">
        <f>"114,8840"</f>
        <v>114,8840</v>
      </c>
      <c r="M6" s="6" t="s">
        <v>990</v>
      </c>
    </row>
    <row r="8" spans="1:13" ht="15" x14ac:dyDescent="0.2">
      <c r="A8" s="36" t="s">
        <v>117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3" x14ac:dyDescent="0.2">
      <c r="A9" s="6" t="s">
        <v>991</v>
      </c>
      <c r="B9" s="6" t="s">
        <v>992</v>
      </c>
      <c r="C9" s="6" t="s">
        <v>120</v>
      </c>
      <c r="D9" s="6" t="str">
        <f>"0,7179"</f>
        <v>0,7179</v>
      </c>
      <c r="E9" s="6" t="s">
        <v>31</v>
      </c>
      <c r="F9" s="6" t="s">
        <v>659</v>
      </c>
      <c r="G9" s="7" t="s">
        <v>177</v>
      </c>
      <c r="H9" s="8" t="s">
        <v>144</v>
      </c>
      <c r="I9" s="8" t="s">
        <v>144</v>
      </c>
      <c r="J9" s="8"/>
      <c r="K9" s="6" t="str">
        <f>"210,0"</f>
        <v>210,0</v>
      </c>
      <c r="L9" s="7" t="str">
        <f>"150,7590"</f>
        <v>150,7590</v>
      </c>
      <c r="M9" s="6" t="s">
        <v>145</v>
      </c>
    </row>
    <row r="11" spans="1:13" ht="15" x14ac:dyDescent="0.2">
      <c r="A11" s="36" t="s">
        <v>39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3" x14ac:dyDescent="0.2">
      <c r="A12" s="6" t="s">
        <v>993</v>
      </c>
      <c r="B12" s="6" t="s">
        <v>994</v>
      </c>
      <c r="C12" s="6" t="s">
        <v>995</v>
      </c>
      <c r="D12" s="6" t="str">
        <f>"0,6161"</f>
        <v>0,6161</v>
      </c>
      <c r="E12" s="6" t="s">
        <v>17</v>
      </c>
      <c r="F12" s="6" t="s">
        <v>18</v>
      </c>
      <c r="G12" s="7" t="s">
        <v>49</v>
      </c>
      <c r="H12" s="8" t="s">
        <v>157</v>
      </c>
      <c r="I12" s="8"/>
      <c r="J12" s="8"/>
      <c r="K12" s="6" t="str">
        <f>"240,0"</f>
        <v>240,0</v>
      </c>
      <c r="L12" s="7" t="str">
        <f>"150,8213"</f>
        <v>150,8213</v>
      </c>
      <c r="M12" s="6" t="s">
        <v>98</v>
      </c>
    </row>
    <row r="14" spans="1:13" ht="15" x14ac:dyDescent="0.2">
      <c r="E14" s="15" t="s">
        <v>57</v>
      </c>
    </row>
    <row r="15" spans="1:13" ht="15" x14ac:dyDescent="0.2">
      <c r="E15" s="15" t="s">
        <v>58</v>
      </c>
    </row>
    <row r="16" spans="1:13" ht="15" x14ac:dyDescent="0.2">
      <c r="E16" s="15"/>
    </row>
    <row r="18" spans="1:2" ht="18" x14ac:dyDescent="0.25">
      <c r="A18" s="16" t="s">
        <v>62</v>
      </c>
      <c r="B18" s="16"/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63" workbookViewId="0">
      <selection activeCell="A84" sqref="A84:XFD90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3.42578125" style="4" bestFit="1" customWidth="1"/>
    <col min="14" max="16384" width="9.140625" style="3"/>
  </cols>
  <sheetData>
    <row r="1" spans="1:13" s="2" customFormat="1" ht="29.1" customHeight="1" x14ac:dyDescent="0.2">
      <c r="A1" s="42" t="s">
        <v>1179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3</v>
      </c>
      <c r="H3" s="37"/>
      <c r="I3" s="37"/>
      <c r="J3" s="37"/>
      <c r="K3" s="37" t="s">
        <v>552</v>
      </c>
      <c r="L3" s="37" t="s">
        <v>6</v>
      </c>
      <c r="M3" s="39" t="s">
        <v>5</v>
      </c>
    </row>
    <row r="4" spans="1:13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38"/>
      <c r="L4" s="38"/>
      <c r="M4" s="40"/>
    </row>
    <row r="5" spans="1:13" ht="15" x14ac:dyDescent="0.2">
      <c r="A5" s="41" t="s">
        <v>74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x14ac:dyDescent="0.2">
      <c r="A6" s="9" t="s">
        <v>885</v>
      </c>
      <c r="B6" s="9" t="s">
        <v>886</v>
      </c>
      <c r="C6" s="9" t="s">
        <v>887</v>
      </c>
      <c r="D6" s="9" t="str">
        <f>"1,3305"</f>
        <v>1,3305</v>
      </c>
      <c r="E6" s="9" t="s">
        <v>17</v>
      </c>
      <c r="F6" s="9" t="s">
        <v>18</v>
      </c>
      <c r="G6" s="10" t="s">
        <v>20</v>
      </c>
      <c r="H6" s="10" t="s">
        <v>131</v>
      </c>
      <c r="I6" s="10" t="s">
        <v>107</v>
      </c>
      <c r="J6" s="11"/>
      <c r="K6" s="9" t="str">
        <f>"122,5"</f>
        <v>122,5</v>
      </c>
      <c r="L6" s="10" t="str">
        <f>"162,9863"</f>
        <v>162,9863</v>
      </c>
      <c r="M6" s="9" t="s">
        <v>172</v>
      </c>
    </row>
    <row r="7" spans="1:13" x14ac:dyDescent="0.2">
      <c r="A7" s="12" t="s">
        <v>888</v>
      </c>
      <c r="B7" s="12" t="s">
        <v>889</v>
      </c>
      <c r="C7" s="12" t="s">
        <v>890</v>
      </c>
      <c r="D7" s="12" t="str">
        <f>"1,3387"</f>
        <v>1,3387</v>
      </c>
      <c r="E7" s="12" t="s">
        <v>17</v>
      </c>
      <c r="F7" s="12" t="s">
        <v>18</v>
      </c>
      <c r="G7" s="13" t="s">
        <v>115</v>
      </c>
      <c r="H7" s="13" t="s">
        <v>23</v>
      </c>
      <c r="I7" s="14" t="s">
        <v>37</v>
      </c>
      <c r="J7" s="14"/>
      <c r="K7" s="12" t="str">
        <f>"112,5"</f>
        <v>112,5</v>
      </c>
      <c r="L7" s="13" t="str">
        <f>"150,6038"</f>
        <v>150,6038</v>
      </c>
      <c r="M7" s="12" t="s">
        <v>891</v>
      </c>
    </row>
    <row r="9" spans="1:13" ht="15" x14ac:dyDescent="0.2">
      <c r="A9" s="36" t="s">
        <v>89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3" x14ac:dyDescent="0.2">
      <c r="A10" s="9" t="s">
        <v>892</v>
      </c>
      <c r="B10" s="9" t="s">
        <v>893</v>
      </c>
      <c r="C10" s="9" t="s">
        <v>894</v>
      </c>
      <c r="D10" s="9" t="str">
        <f>"1,2597"</f>
        <v>1,2597</v>
      </c>
      <c r="E10" s="9" t="s">
        <v>17</v>
      </c>
      <c r="F10" s="9" t="s">
        <v>18</v>
      </c>
      <c r="G10" s="10" t="s">
        <v>70</v>
      </c>
      <c r="H10" s="10" t="s">
        <v>87</v>
      </c>
      <c r="I10" s="10" t="s">
        <v>105</v>
      </c>
      <c r="J10" s="11"/>
      <c r="K10" s="9" t="str">
        <f>"102,5"</f>
        <v>102,5</v>
      </c>
      <c r="L10" s="10" t="str">
        <f>"129,1192"</f>
        <v>129,1192</v>
      </c>
      <c r="M10" s="9" t="s">
        <v>763</v>
      </c>
    </row>
    <row r="11" spans="1:13" x14ac:dyDescent="0.2">
      <c r="A11" s="23" t="s">
        <v>895</v>
      </c>
      <c r="B11" s="23" t="s">
        <v>896</v>
      </c>
      <c r="C11" s="23" t="s">
        <v>566</v>
      </c>
      <c r="D11" s="23" t="str">
        <f>"1,2466"</f>
        <v>1,2466</v>
      </c>
      <c r="E11" s="23" t="s">
        <v>17</v>
      </c>
      <c r="F11" s="23" t="s">
        <v>18</v>
      </c>
      <c r="G11" s="24" t="s">
        <v>103</v>
      </c>
      <c r="H11" s="24" t="s">
        <v>104</v>
      </c>
      <c r="I11" s="25" t="s">
        <v>105</v>
      </c>
      <c r="J11" s="25"/>
      <c r="K11" s="23" t="str">
        <f>"97,5"</f>
        <v>97,5</v>
      </c>
      <c r="L11" s="24" t="str">
        <f>"121,5435"</f>
        <v>121,5435</v>
      </c>
      <c r="M11" s="23" t="s">
        <v>897</v>
      </c>
    </row>
    <row r="12" spans="1:13" x14ac:dyDescent="0.2">
      <c r="A12" s="12" t="s">
        <v>898</v>
      </c>
      <c r="B12" s="12" t="s">
        <v>899</v>
      </c>
      <c r="C12" s="12" t="s">
        <v>900</v>
      </c>
      <c r="D12" s="12" t="str">
        <f>"1,2944"</f>
        <v>1,2944</v>
      </c>
      <c r="E12" s="12" t="s">
        <v>17</v>
      </c>
      <c r="F12" s="12" t="s">
        <v>18</v>
      </c>
      <c r="G12" s="13" t="s">
        <v>81</v>
      </c>
      <c r="H12" s="13" t="s">
        <v>70</v>
      </c>
      <c r="I12" s="14" t="s">
        <v>19</v>
      </c>
      <c r="J12" s="14"/>
      <c r="K12" s="12" t="str">
        <f>"90,0"</f>
        <v>90,0</v>
      </c>
      <c r="L12" s="13" t="str">
        <f>"116,4960"</f>
        <v>116,4960</v>
      </c>
      <c r="M12" s="12" t="s">
        <v>98</v>
      </c>
    </row>
    <row r="14" spans="1:13" ht="15" x14ac:dyDescent="0.2">
      <c r="A14" s="36" t="s">
        <v>99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3" x14ac:dyDescent="0.2">
      <c r="A15" s="9" t="s">
        <v>901</v>
      </c>
      <c r="B15" s="9" t="s">
        <v>902</v>
      </c>
      <c r="C15" s="9" t="s">
        <v>102</v>
      </c>
      <c r="D15" s="9" t="str">
        <f>"1,1783"</f>
        <v>1,1783</v>
      </c>
      <c r="E15" s="9" t="s">
        <v>17</v>
      </c>
      <c r="F15" s="9" t="s">
        <v>18</v>
      </c>
      <c r="G15" s="10" t="s">
        <v>23</v>
      </c>
      <c r="H15" s="10" t="s">
        <v>21</v>
      </c>
      <c r="I15" s="10" t="s">
        <v>37</v>
      </c>
      <c r="J15" s="11"/>
      <c r="K15" s="9" t="str">
        <f>"127,5"</f>
        <v>127,5</v>
      </c>
      <c r="L15" s="10" t="str">
        <f>"150,2333"</f>
        <v>150,2333</v>
      </c>
      <c r="M15" s="9" t="s">
        <v>903</v>
      </c>
    </row>
    <row r="16" spans="1:13" x14ac:dyDescent="0.2">
      <c r="A16" s="23" t="s">
        <v>572</v>
      </c>
      <c r="B16" s="23" t="s">
        <v>573</v>
      </c>
      <c r="C16" s="23" t="s">
        <v>574</v>
      </c>
      <c r="D16" s="23" t="str">
        <f>"1,1916"</f>
        <v>1,1916</v>
      </c>
      <c r="E16" s="23" t="s">
        <v>17</v>
      </c>
      <c r="F16" s="23" t="s">
        <v>18</v>
      </c>
      <c r="G16" s="24" t="s">
        <v>19</v>
      </c>
      <c r="H16" s="25" t="s">
        <v>115</v>
      </c>
      <c r="I16" s="25" t="s">
        <v>115</v>
      </c>
      <c r="J16" s="25"/>
      <c r="K16" s="23" t="str">
        <f>"100,0"</f>
        <v>100,0</v>
      </c>
      <c r="L16" s="24" t="str">
        <f>"119,1600"</f>
        <v>119,1600</v>
      </c>
      <c r="M16" s="23" t="s">
        <v>575</v>
      </c>
    </row>
    <row r="17" spans="1:13" x14ac:dyDescent="0.2">
      <c r="A17" s="23" t="s">
        <v>905</v>
      </c>
      <c r="B17" s="23" t="s">
        <v>906</v>
      </c>
      <c r="C17" s="23" t="s">
        <v>907</v>
      </c>
      <c r="D17" s="23" t="str">
        <f>"1,2036"</f>
        <v>1,2036</v>
      </c>
      <c r="E17" s="23" t="s">
        <v>17</v>
      </c>
      <c r="F17" s="23" t="s">
        <v>18</v>
      </c>
      <c r="G17" s="24" t="s">
        <v>24</v>
      </c>
      <c r="H17" s="24" t="s">
        <v>164</v>
      </c>
      <c r="I17" s="25" t="s">
        <v>54</v>
      </c>
      <c r="J17" s="25"/>
      <c r="K17" s="23" t="str">
        <f>"137,5"</f>
        <v>137,5</v>
      </c>
      <c r="L17" s="24" t="str">
        <f>"165,4950"</f>
        <v>165,4950</v>
      </c>
      <c r="M17" s="23" t="s">
        <v>579</v>
      </c>
    </row>
    <row r="18" spans="1:13" x14ac:dyDescent="0.2">
      <c r="A18" s="23" t="s">
        <v>908</v>
      </c>
      <c r="B18" s="23" t="s">
        <v>909</v>
      </c>
      <c r="C18" s="23" t="s">
        <v>102</v>
      </c>
      <c r="D18" s="23" t="str">
        <f>"1,1783"</f>
        <v>1,1783</v>
      </c>
      <c r="E18" s="23" t="s">
        <v>17</v>
      </c>
      <c r="F18" s="23" t="s">
        <v>18</v>
      </c>
      <c r="G18" s="24" t="s">
        <v>23</v>
      </c>
      <c r="H18" s="24" t="s">
        <v>21</v>
      </c>
      <c r="I18" s="24" t="s">
        <v>37</v>
      </c>
      <c r="J18" s="25"/>
      <c r="K18" s="23" t="str">
        <f>"127,5"</f>
        <v>127,5</v>
      </c>
      <c r="L18" s="24" t="str">
        <f>"150,2333"</f>
        <v>150,2333</v>
      </c>
      <c r="M18" s="23" t="s">
        <v>903</v>
      </c>
    </row>
    <row r="19" spans="1:13" x14ac:dyDescent="0.2">
      <c r="A19" s="12" t="s">
        <v>910</v>
      </c>
      <c r="B19" s="12" t="s">
        <v>911</v>
      </c>
      <c r="C19" s="12" t="s">
        <v>578</v>
      </c>
      <c r="D19" s="12" t="str">
        <f>"1,2054"</f>
        <v>1,2054</v>
      </c>
      <c r="E19" s="12" t="s">
        <v>31</v>
      </c>
      <c r="F19" s="12" t="s">
        <v>335</v>
      </c>
      <c r="G19" s="13" t="s">
        <v>19</v>
      </c>
      <c r="H19" s="13" t="s">
        <v>20</v>
      </c>
      <c r="I19" s="14" t="s">
        <v>107</v>
      </c>
      <c r="J19" s="14"/>
      <c r="K19" s="12" t="str">
        <f>"110,0"</f>
        <v>110,0</v>
      </c>
      <c r="L19" s="13" t="str">
        <f>"136,7044"</f>
        <v>136,7044</v>
      </c>
      <c r="M19" s="12" t="s">
        <v>912</v>
      </c>
    </row>
    <row r="21" spans="1:13" ht="15" x14ac:dyDescent="0.2">
      <c r="A21" s="36" t="s">
        <v>202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3" x14ac:dyDescent="0.2">
      <c r="A22" s="6" t="s">
        <v>913</v>
      </c>
      <c r="B22" s="6" t="s">
        <v>914</v>
      </c>
      <c r="C22" s="6" t="s">
        <v>915</v>
      </c>
      <c r="D22" s="6" t="str">
        <f>"1,1192"</f>
        <v>1,1192</v>
      </c>
      <c r="E22" s="6" t="s">
        <v>17</v>
      </c>
      <c r="F22" s="6" t="s">
        <v>18</v>
      </c>
      <c r="G22" s="7" t="s">
        <v>19</v>
      </c>
      <c r="H22" s="7" t="s">
        <v>115</v>
      </c>
      <c r="I22" s="8" t="s">
        <v>23</v>
      </c>
      <c r="J22" s="8"/>
      <c r="K22" s="6" t="str">
        <f>"105,0"</f>
        <v>105,0</v>
      </c>
      <c r="L22" s="7" t="str">
        <f>"117,5160"</f>
        <v>117,5160</v>
      </c>
      <c r="M22" s="6" t="s">
        <v>98</v>
      </c>
    </row>
    <row r="24" spans="1:13" ht="15" x14ac:dyDescent="0.2">
      <c r="A24" s="36" t="s">
        <v>109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3" x14ac:dyDescent="0.2">
      <c r="A25" s="9" t="s">
        <v>916</v>
      </c>
      <c r="B25" s="9" t="s">
        <v>917</v>
      </c>
      <c r="C25" s="9" t="s">
        <v>918</v>
      </c>
      <c r="D25" s="9" t="str">
        <f>"1,0217"</f>
        <v>1,0217</v>
      </c>
      <c r="E25" s="9" t="s">
        <v>31</v>
      </c>
      <c r="F25" s="9" t="s">
        <v>703</v>
      </c>
      <c r="G25" s="10" t="s">
        <v>19</v>
      </c>
      <c r="H25" s="10" t="s">
        <v>23</v>
      </c>
      <c r="I25" s="11" t="s">
        <v>107</v>
      </c>
      <c r="J25" s="11"/>
      <c r="K25" s="9" t="str">
        <f>"112,5"</f>
        <v>112,5</v>
      </c>
      <c r="L25" s="10" t="str">
        <f>"114,9413"</f>
        <v>114,9413</v>
      </c>
      <c r="M25" s="9" t="s">
        <v>919</v>
      </c>
    </row>
    <row r="26" spans="1:13" x14ac:dyDescent="0.2">
      <c r="A26" s="12" t="s">
        <v>920</v>
      </c>
      <c r="B26" s="12" t="s">
        <v>921</v>
      </c>
      <c r="C26" s="12" t="s">
        <v>922</v>
      </c>
      <c r="D26" s="12" t="str">
        <f>"1,0239"</f>
        <v>1,0239</v>
      </c>
      <c r="E26" s="12" t="s">
        <v>17</v>
      </c>
      <c r="F26" s="12" t="s">
        <v>18</v>
      </c>
      <c r="G26" s="13" t="s">
        <v>21</v>
      </c>
      <c r="H26" s="14" t="s">
        <v>37</v>
      </c>
      <c r="I26" s="13" t="s">
        <v>367</v>
      </c>
      <c r="J26" s="14"/>
      <c r="K26" s="12" t="str">
        <f>"132,5"</f>
        <v>132,5</v>
      </c>
      <c r="L26" s="13" t="str">
        <f>"175,1458"</f>
        <v>175,1458</v>
      </c>
      <c r="M26" s="12" t="s">
        <v>923</v>
      </c>
    </row>
    <row r="28" spans="1:13" ht="15" x14ac:dyDescent="0.2">
      <c r="A28" s="36" t="s">
        <v>117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3" x14ac:dyDescent="0.2">
      <c r="A29" s="9" t="s">
        <v>924</v>
      </c>
      <c r="B29" s="9" t="s">
        <v>925</v>
      </c>
      <c r="C29" s="9" t="s">
        <v>216</v>
      </c>
      <c r="D29" s="9" t="str">
        <f>"0,9604"</f>
        <v>0,9604</v>
      </c>
      <c r="E29" s="9" t="s">
        <v>31</v>
      </c>
      <c r="F29" s="9" t="s">
        <v>250</v>
      </c>
      <c r="G29" s="10" t="s">
        <v>198</v>
      </c>
      <c r="H29" s="10" t="s">
        <v>87</v>
      </c>
      <c r="I29" s="10" t="s">
        <v>20</v>
      </c>
      <c r="J29" s="11"/>
      <c r="K29" s="9" t="str">
        <f>"110,0"</f>
        <v>110,0</v>
      </c>
      <c r="L29" s="10" t="str">
        <f>"105,6440"</f>
        <v>105,6440</v>
      </c>
      <c r="M29" s="9" t="s">
        <v>926</v>
      </c>
    </row>
    <row r="30" spans="1:13" x14ac:dyDescent="0.2">
      <c r="A30" s="12" t="s">
        <v>927</v>
      </c>
      <c r="B30" s="12" t="s">
        <v>928</v>
      </c>
      <c r="C30" s="12" t="s">
        <v>631</v>
      </c>
      <c r="D30" s="12" t="str">
        <f>"0,9716"</f>
        <v>0,9716</v>
      </c>
      <c r="E30" s="12" t="s">
        <v>17</v>
      </c>
      <c r="F30" s="12" t="s">
        <v>18</v>
      </c>
      <c r="G30" s="13" t="s">
        <v>54</v>
      </c>
      <c r="H30" s="13" t="s">
        <v>47</v>
      </c>
      <c r="I30" s="14" t="s">
        <v>253</v>
      </c>
      <c r="J30" s="14"/>
      <c r="K30" s="12" t="str">
        <f>"150,0"</f>
        <v>150,0</v>
      </c>
      <c r="L30" s="13" t="str">
        <f>"148,6548"</f>
        <v>148,6548</v>
      </c>
      <c r="M30" s="12" t="s">
        <v>98</v>
      </c>
    </row>
    <row r="32" spans="1:13" ht="15" x14ac:dyDescent="0.2">
      <c r="A32" s="36" t="s">
        <v>13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3" x14ac:dyDescent="0.2">
      <c r="A33" s="6" t="s">
        <v>610</v>
      </c>
      <c r="B33" s="6" t="s">
        <v>611</v>
      </c>
      <c r="C33" s="6" t="s">
        <v>612</v>
      </c>
      <c r="D33" s="6" t="str">
        <f>"0,9106"</f>
        <v>0,9106</v>
      </c>
      <c r="E33" s="6" t="s">
        <v>31</v>
      </c>
      <c r="F33" s="6" t="s">
        <v>206</v>
      </c>
      <c r="G33" s="7" t="s">
        <v>19</v>
      </c>
      <c r="H33" s="7" t="s">
        <v>22</v>
      </c>
      <c r="I33" s="7" t="s">
        <v>55</v>
      </c>
      <c r="J33" s="8"/>
      <c r="K33" s="6" t="str">
        <f>"115,0"</f>
        <v>115,0</v>
      </c>
      <c r="L33" s="7" t="str">
        <f>"104,7190"</f>
        <v>104,7190</v>
      </c>
      <c r="M33" s="6" t="s">
        <v>50</v>
      </c>
    </row>
    <row r="35" spans="1:13" ht="15" x14ac:dyDescent="0.2">
      <c r="A35" s="36" t="s">
        <v>109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3" x14ac:dyDescent="0.2">
      <c r="A36" s="9" t="s">
        <v>613</v>
      </c>
      <c r="B36" s="9" t="s">
        <v>614</v>
      </c>
      <c r="C36" s="9" t="s">
        <v>615</v>
      </c>
      <c r="D36" s="9" t="str">
        <f>"0,7832"</f>
        <v>0,7832</v>
      </c>
      <c r="E36" s="9" t="s">
        <v>17</v>
      </c>
      <c r="F36" s="9" t="s">
        <v>18</v>
      </c>
      <c r="G36" s="11" t="s">
        <v>105</v>
      </c>
      <c r="H36" s="10" t="s">
        <v>115</v>
      </c>
      <c r="I36" s="10" t="s">
        <v>23</v>
      </c>
      <c r="J36" s="11"/>
      <c r="K36" s="9" t="str">
        <f>"112,5"</f>
        <v>112,5</v>
      </c>
      <c r="L36" s="10" t="str">
        <f>"88,1100"</f>
        <v>88,1100</v>
      </c>
      <c r="M36" s="9" t="s">
        <v>616</v>
      </c>
    </row>
    <row r="37" spans="1:13" x14ac:dyDescent="0.2">
      <c r="A37" s="12" t="s">
        <v>929</v>
      </c>
      <c r="B37" s="12" t="s">
        <v>930</v>
      </c>
      <c r="C37" s="12" t="s">
        <v>931</v>
      </c>
      <c r="D37" s="12" t="str">
        <f>"0,7932"</f>
        <v>0,7932</v>
      </c>
      <c r="E37" s="12" t="s">
        <v>31</v>
      </c>
      <c r="F37" s="12" t="s">
        <v>43</v>
      </c>
      <c r="G37" s="13" t="s">
        <v>25</v>
      </c>
      <c r="H37" s="13" t="s">
        <v>47</v>
      </c>
      <c r="I37" s="13" t="s">
        <v>48</v>
      </c>
      <c r="J37" s="14"/>
      <c r="K37" s="12" t="str">
        <f>"155,0"</f>
        <v>155,0</v>
      </c>
      <c r="L37" s="13" t="str">
        <f>"122,9460"</f>
        <v>122,9460</v>
      </c>
      <c r="M37" s="12" t="s">
        <v>98</v>
      </c>
    </row>
    <row r="39" spans="1:13" ht="15" x14ac:dyDescent="0.2">
      <c r="A39" s="36" t="s">
        <v>117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3" x14ac:dyDescent="0.2">
      <c r="A40" s="6" t="s">
        <v>932</v>
      </c>
      <c r="B40" s="6" t="s">
        <v>933</v>
      </c>
      <c r="C40" s="6" t="s">
        <v>934</v>
      </c>
      <c r="D40" s="6" t="str">
        <f>"0,7390"</f>
        <v>0,7390</v>
      </c>
      <c r="E40" s="6" t="s">
        <v>17</v>
      </c>
      <c r="F40" s="6" t="s">
        <v>18</v>
      </c>
      <c r="G40" s="7" t="s">
        <v>21</v>
      </c>
      <c r="H40" s="7" t="s">
        <v>37</v>
      </c>
      <c r="I40" s="7" t="s">
        <v>367</v>
      </c>
      <c r="J40" s="8"/>
      <c r="K40" s="6" t="str">
        <f>"132,5"</f>
        <v>132,5</v>
      </c>
      <c r="L40" s="7" t="str">
        <f>"97,9175"</f>
        <v>97,9175</v>
      </c>
      <c r="M40" s="6" t="s">
        <v>98</v>
      </c>
    </row>
    <row r="42" spans="1:13" ht="15" x14ac:dyDescent="0.2">
      <c r="A42" s="36" t="s">
        <v>13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3" x14ac:dyDescent="0.2">
      <c r="A43" s="9" t="s">
        <v>936</v>
      </c>
      <c r="B43" s="9" t="s">
        <v>937</v>
      </c>
      <c r="C43" s="9" t="s">
        <v>938</v>
      </c>
      <c r="D43" s="9" t="str">
        <f>"0,6927"</f>
        <v>0,6927</v>
      </c>
      <c r="E43" s="9" t="s">
        <v>42</v>
      </c>
      <c r="F43" s="9" t="s">
        <v>939</v>
      </c>
      <c r="G43" s="10" t="s">
        <v>45</v>
      </c>
      <c r="H43" s="10" t="s">
        <v>157</v>
      </c>
      <c r="I43" s="11" t="s">
        <v>940</v>
      </c>
      <c r="J43" s="11"/>
      <c r="K43" s="9" t="str">
        <f>"250,0"</f>
        <v>250,0</v>
      </c>
      <c r="L43" s="10" t="str">
        <f>"173,1750"</f>
        <v>173,1750</v>
      </c>
      <c r="M43" s="9" t="s">
        <v>941</v>
      </c>
    </row>
    <row r="44" spans="1:13" x14ac:dyDescent="0.2">
      <c r="A44" s="23" t="s">
        <v>942</v>
      </c>
      <c r="B44" s="23" t="s">
        <v>943</v>
      </c>
      <c r="C44" s="23" t="s">
        <v>871</v>
      </c>
      <c r="D44" s="23" t="str">
        <f>"0,6774"</f>
        <v>0,6774</v>
      </c>
      <c r="E44" s="23" t="s">
        <v>17</v>
      </c>
      <c r="F44" s="23" t="s">
        <v>18</v>
      </c>
      <c r="G44" s="24" t="s">
        <v>124</v>
      </c>
      <c r="H44" s="24" t="s">
        <v>163</v>
      </c>
      <c r="I44" s="25"/>
      <c r="J44" s="25"/>
      <c r="K44" s="23" t="str">
        <f>"222,5"</f>
        <v>222,5</v>
      </c>
      <c r="L44" s="24" t="str">
        <f>"150,7215"</f>
        <v>150,7215</v>
      </c>
      <c r="M44" s="23" t="s">
        <v>145</v>
      </c>
    </row>
    <row r="45" spans="1:13" x14ac:dyDescent="0.2">
      <c r="A45" s="23" t="s">
        <v>944</v>
      </c>
      <c r="B45" s="23" t="s">
        <v>657</v>
      </c>
      <c r="C45" s="23" t="s">
        <v>658</v>
      </c>
      <c r="D45" s="23" t="str">
        <f>"0,6816"</f>
        <v>0,6816</v>
      </c>
      <c r="E45" s="23" t="s">
        <v>31</v>
      </c>
      <c r="F45" s="23" t="s">
        <v>659</v>
      </c>
      <c r="G45" s="24" t="s">
        <v>475</v>
      </c>
      <c r="H45" s="24" t="s">
        <v>124</v>
      </c>
      <c r="I45" s="24" t="s">
        <v>945</v>
      </c>
      <c r="J45" s="25"/>
      <c r="K45" s="23" t="str">
        <f>"202,5"</f>
        <v>202,5</v>
      </c>
      <c r="L45" s="24" t="str">
        <f>"138,0240"</f>
        <v>138,0240</v>
      </c>
      <c r="M45" s="23" t="s">
        <v>255</v>
      </c>
    </row>
    <row r="46" spans="1:13" x14ac:dyDescent="0.2">
      <c r="A46" s="23" t="s">
        <v>946</v>
      </c>
      <c r="B46" s="23" t="s">
        <v>947</v>
      </c>
      <c r="C46" s="23" t="s">
        <v>462</v>
      </c>
      <c r="D46" s="23" t="str">
        <f>"0,6779"</f>
        <v>0,6779</v>
      </c>
      <c r="E46" s="23" t="s">
        <v>17</v>
      </c>
      <c r="F46" s="23" t="s">
        <v>18</v>
      </c>
      <c r="G46" s="24" t="s">
        <v>38</v>
      </c>
      <c r="H46" s="24" t="s">
        <v>124</v>
      </c>
      <c r="I46" s="24" t="s">
        <v>945</v>
      </c>
      <c r="J46" s="25"/>
      <c r="K46" s="23" t="str">
        <f>"202,5"</f>
        <v>202,5</v>
      </c>
      <c r="L46" s="24" t="str">
        <f>"137,2748"</f>
        <v>137,2748</v>
      </c>
      <c r="M46" s="23" t="s">
        <v>763</v>
      </c>
    </row>
    <row r="47" spans="1:13" x14ac:dyDescent="0.2">
      <c r="A47" s="23" t="s">
        <v>948</v>
      </c>
      <c r="B47" s="23" t="s">
        <v>949</v>
      </c>
      <c r="C47" s="23" t="s">
        <v>950</v>
      </c>
      <c r="D47" s="23" t="str">
        <f>"0,6759"</f>
        <v>0,6759</v>
      </c>
      <c r="E47" s="23" t="s">
        <v>17</v>
      </c>
      <c r="F47" s="23" t="s">
        <v>18</v>
      </c>
      <c r="G47" s="25" t="s">
        <v>38</v>
      </c>
      <c r="H47" s="25" t="s">
        <v>38</v>
      </c>
      <c r="I47" s="25" t="s">
        <v>38</v>
      </c>
      <c r="J47" s="25"/>
      <c r="K47" s="23" t="str">
        <f>"0.00"</f>
        <v>0.00</v>
      </c>
      <c r="L47" s="24" t="str">
        <f>"0,0000"</f>
        <v>0,0000</v>
      </c>
      <c r="M47" s="23" t="s">
        <v>951</v>
      </c>
    </row>
    <row r="48" spans="1:13" x14ac:dyDescent="0.2">
      <c r="A48" s="12" t="s">
        <v>952</v>
      </c>
      <c r="B48" s="12" t="s">
        <v>953</v>
      </c>
      <c r="C48" s="12" t="s">
        <v>954</v>
      </c>
      <c r="D48" s="12" t="str">
        <f>"0,6714"</f>
        <v>0,6714</v>
      </c>
      <c r="E48" s="12" t="s">
        <v>17</v>
      </c>
      <c r="F48" s="12" t="s">
        <v>18</v>
      </c>
      <c r="G48" s="13" t="s">
        <v>162</v>
      </c>
      <c r="H48" s="13" t="s">
        <v>44</v>
      </c>
      <c r="I48" s="14" t="s">
        <v>45</v>
      </c>
      <c r="J48" s="14"/>
      <c r="K48" s="12" t="str">
        <f>"220,0"</f>
        <v>220,0</v>
      </c>
      <c r="L48" s="13" t="str">
        <f>"157,7521"</f>
        <v>157,7521</v>
      </c>
      <c r="M48" s="12" t="s">
        <v>145</v>
      </c>
    </row>
    <row r="50" spans="1:13" ht="15" x14ac:dyDescent="0.2">
      <c r="A50" s="36" t="s">
        <v>27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3" x14ac:dyDescent="0.2">
      <c r="A51" s="9" t="s">
        <v>956</v>
      </c>
      <c r="B51" s="9" t="s">
        <v>957</v>
      </c>
      <c r="C51" s="9" t="s">
        <v>958</v>
      </c>
      <c r="D51" s="9" t="str">
        <f>"0,6388"</f>
        <v>0,6388</v>
      </c>
      <c r="E51" s="9" t="s">
        <v>31</v>
      </c>
      <c r="F51" s="9" t="s">
        <v>335</v>
      </c>
      <c r="G51" s="10" t="s">
        <v>44</v>
      </c>
      <c r="H51" s="10" t="s">
        <v>45</v>
      </c>
      <c r="I51" s="10" t="s">
        <v>49</v>
      </c>
      <c r="J51" s="11"/>
      <c r="K51" s="9" t="str">
        <f>"240,0"</f>
        <v>240,0</v>
      </c>
      <c r="L51" s="10" t="str">
        <f>"153,3120"</f>
        <v>153,3120</v>
      </c>
      <c r="M51" s="9" t="s">
        <v>959</v>
      </c>
    </row>
    <row r="52" spans="1:13" x14ac:dyDescent="0.2">
      <c r="A52" s="23" t="s">
        <v>960</v>
      </c>
      <c r="B52" s="23" t="s">
        <v>701</v>
      </c>
      <c r="C52" s="23" t="s">
        <v>702</v>
      </c>
      <c r="D52" s="23" t="str">
        <f>"0,6507"</f>
        <v>0,6507</v>
      </c>
      <c r="E52" s="23" t="s">
        <v>31</v>
      </c>
      <c r="F52" s="23" t="s">
        <v>703</v>
      </c>
      <c r="G52" s="24" t="s">
        <v>20</v>
      </c>
      <c r="H52" s="24" t="s">
        <v>21</v>
      </c>
      <c r="I52" s="24" t="s">
        <v>164</v>
      </c>
      <c r="J52" s="25"/>
      <c r="K52" s="23" t="str">
        <f>"137,5"</f>
        <v>137,5</v>
      </c>
      <c r="L52" s="24" t="str">
        <f>"89,4712"</f>
        <v>89,4712</v>
      </c>
      <c r="M52" s="23" t="s">
        <v>616</v>
      </c>
    </row>
    <row r="53" spans="1:13" x14ac:dyDescent="0.2">
      <c r="A53" s="23" t="s">
        <v>961</v>
      </c>
      <c r="B53" s="23" t="s">
        <v>962</v>
      </c>
      <c r="C53" s="23" t="s">
        <v>963</v>
      </c>
      <c r="D53" s="23" t="str">
        <f>"0,6444"</f>
        <v>0,6444</v>
      </c>
      <c r="E53" s="23" t="s">
        <v>31</v>
      </c>
      <c r="F53" s="23" t="s">
        <v>206</v>
      </c>
      <c r="G53" s="24" t="s">
        <v>55</v>
      </c>
      <c r="H53" s="24" t="s">
        <v>24</v>
      </c>
      <c r="I53" s="24" t="s">
        <v>171</v>
      </c>
      <c r="J53" s="25"/>
      <c r="K53" s="23" t="str">
        <f>"145,0"</f>
        <v>145,0</v>
      </c>
      <c r="L53" s="24" t="str">
        <f>"93,4380"</f>
        <v>93,4380</v>
      </c>
      <c r="M53" s="23" t="s">
        <v>50</v>
      </c>
    </row>
    <row r="54" spans="1:13" x14ac:dyDescent="0.2">
      <c r="A54" s="12" t="s">
        <v>964</v>
      </c>
      <c r="B54" s="12" t="s">
        <v>965</v>
      </c>
      <c r="C54" s="12" t="s">
        <v>966</v>
      </c>
      <c r="D54" s="12" t="str">
        <f>"0,6592"</f>
        <v>0,6592</v>
      </c>
      <c r="E54" s="12" t="s">
        <v>42</v>
      </c>
      <c r="F54" s="12" t="s">
        <v>18</v>
      </c>
      <c r="G54" s="13" t="s">
        <v>229</v>
      </c>
      <c r="H54" s="13" t="s">
        <v>142</v>
      </c>
      <c r="I54" s="14" t="s">
        <v>162</v>
      </c>
      <c r="J54" s="14"/>
      <c r="K54" s="12" t="str">
        <f>"205,0"</f>
        <v>205,0</v>
      </c>
      <c r="L54" s="13" t="str">
        <f>"146,2172"</f>
        <v>146,2172</v>
      </c>
      <c r="M54" s="12" t="s">
        <v>418</v>
      </c>
    </row>
    <row r="56" spans="1:13" ht="15" x14ac:dyDescent="0.2">
      <c r="A56" s="36" t="s">
        <v>39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3" x14ac:dyDescent="0.2">
      <c r="A57" s="9" t="s">
        <v>726</v>
      </c>
      <c r="B57" s="9" t="s">
        <v>727</v>
      </c>
      <c r="C57" s="9" t="s">
        <v>728</v>
      </c>
      <c r="D57" s="9" t="str">
        <f>"0,6101"</f>
        <v>0,6101</v>
      </c>
      <c r="E57" s="9" t="s">
        <v>42</v>
      </c>
      <c r="F57" s="9" t="s">
        <v>18</v>
      </c>
      <c r="G57" s="10" t="s">
        <v>294</v>
      </c>
      <c r="H57" s="10" t="s">
        <v>178</v>
      </c>
      <c r="I57" s="11" t="s">
        <v>226</v>
      </c>
      <c r="J57" s="11"/>
      <c r="K57" s="9" t="str">
        <f>"280,0"</f>
        <v>280,0</v>
      </c>
      <c r="L57" s="10" t="str">
        <f>"170,8280"</f>
        <v>170,8280</v>
      </c>
      <c r="M57" s="9" t="s">
        <v>729</v>
      </c>
    </row>
    <row r="58" spans="1:13" x14ac:dyDescent="0.2">
      <c r="A58" s="23" t="s">
        <v>968</v>
      </c>
      <c r="B58" s="23" t="s">
        <v>969</v>
      </c>
      <c r="C58" s="23" t="s">
        <v>970</v>
      </c>
      <c r="D58" s="23" t="str">
        <f>"0,6200"</f>
        <v>0,6200</v>
      </c>
      <c r="E58" s="23" t="s">
        <v>31</v>
      </c>
      <c r="F58" s="23" t="s">
        <v>971</v>
      </c>
      <c r="G58" s="24" t="s">
        <v>49</v>
      </c>
      <c r="H58" s="24" t="s">
        <v>157</v>
      </c>
      <c r="I58" s="24" t="s">
        <v>251</v>
      </c>
      <c r="J58" s="25"/>
      <c r="K58" s="23" t="str">
        <f>"255,0"</f>
        <v>255,0</v>
      </c>
      <c r="L58" s="24" t="str">
        <f>"158,1000"</f>
        <v>158,1000</v>
      </c>
      <c r="M58" s="23" t="s">
        <v>145</v>
      </c>
    </row>
    <row r="59" spans="1:13" x14ac:dyDescent="0.2">
      <c r="A59" s="23" t="s">
        <v>972</v>
      </c>
      <c r="B59" s="23" t="s">
        <v>973</v>
      </c>
      <c r="C59" s="23" t="s">
        <v>728</v>
      </c>
      <c r="D59" s="23" t="str">
        <f>"0,6101"</f>
        <v>0,6101</v>
      </c>
      <c r="E59" s="23" t="s">
        <v>17</v>
      </c>
      <c r="F59" s="23" t="s">
        <v>18</v>
      </c>
      <c r="G59" s="24" t="s">
        <v>44</v>
      </c>
      <c r="H59" s="25" t="s">
        <v>49</v>
      </c>
      <c r="I59" s="25" t="s">
        <v>49</v>
      </c>
      <c r="J59" s="25"/>
      <c r="K59" s="23" t="str">
        <f>"220,0"</f>
        <v>220,0</v>
      </c>
      <c r="L59" s="24" t="str">
        <f>"134,2220"</f>
        <v>134,2220</v>
      </c>
      <c r="M59" s="23" t="s">
        <v>98</v>
      </c>
    </row>
    <row r="60" spans="1:13" x14ac:dyDescent="0.2">
      <c r="A60" s="23" t="s">
        <v>974</v>
      </c>
      <c r="B60" s="23" t="s">
        <v>975</v>
      </c>
      <c r="C60" s="23" t="s">
        <v>976</v>
      </c>
      <c r="D60" s="23" t="str">
        <f>"0,6197"</f>
        <v>0,6197</v>
      </c>
      <c r="E60" s="23" t="s">
        <v>31</v>
      </c>
      <c r="F60" s="23" t="s">
        <v>206</v>
      </c>
      <c r="G60" s="24" t="s">
        <v>35</v>
      </c>
      <c r="H60" s="24" t="s">
        <v>149</v>
      </c>
      <c r="I60" s="25" t="s">
        <v>336</v>
      </c>
      <c r="J60" s="25"/>
      <c r="K60" s="23" t="str">
        <f>"190,0"</f>
        <v>190,0</v>
      </c>
      <c r="L60" s="24" t="str">
        <f>"117,7430"</f>
        <v>117,7430</v>
      </c>
      <c r="M60" s="23" t="s">
        <v>977</v>
      </c>
    </row>
    <row r="61" spans="1:13" x14ac:dyDescent="0.2">
      <c r="A61" s="12" t="s">
        <v>978</v>
      </c>
      <c r="B61" s="12" t="s">
        <v>979</v>
      </c>
      <c r="C61" s="12" t="s">
        <v>728</v>
      </c>
      <c r="D61" s="12" t="str">
        <f>"0,6101"</f>
        <v>0,6101</v>
      </c>
      <c r="E61" s="12" t="s">
        <v>17</v>
      </c>
      <c r="F61" s="12" t="s">
        <v>18</v>
      </c>
      <c r="G61" s="13" t="s">
        <v>44</v>
      </c>
      <c r="H61" s="14" t="s">
        <v>49</v>
      </c>
      <c r="I61" s="14" t="s">
        <v>49</v>
      </c>
      <c r="J61" s="14"/>
      <c r="K61" s="12" t="str">
        <f>"220,0"</f>
        <v>220,0</v>
      </c>
      <c r="L61" s="13" t="str">
        <f>"139,9935"</f>
        <v>139,9935</v>
      </c>
      <c r="M61" s="12" t="s">
        <v>98</v>
      </c>
    </row>
    <row r="63" spans="1:13" ht="15" x14ac:dyDescent="0.2">
      <c r="A63" s="36" t="s">
        <v>158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3" x14ac:dyDescent="0.2">
      <c r="A64" s="9" t="s">
        <v>980</v>
      </c>
      <c r="B64" s="9" t="s">
        <v>981</v>
      </c>
      <c r="C64" s="9" t="s">
        <v>982</v>
      </c>
      <c r="D64" s="9" t="str">
        <f>"0,5941"</f>
        <v>0,5941</v>
      </c>
      <c r="E64" s="9" t="s">
        <v>17</v>
      </c>
      <c r="F64" s="9" t="s">
        <v>18</v>
      </c>
      <c r="G64" s="10" t="s">
        <v>49</v>
      </c>
      <c r="H64" s="10" t="s">
        <v>157</v>
      </c>
      <c r="I64" s="11" t="s">
        <v>294</v>
      </c>
      <c r="J64" s="11"/>
      <c r="K64" s="9" t="str">
        <f>"250,0"</f>
        <v>250,0</v>
      </c>
      <c r="L64" s="10" t="str">
        <f>"148,5250"</f>
        <v>148,5250</v>
      </c>
      <c r="M64" s="9" t="s">
        <v>98</v>
      </c>
    </row>
    <row r="65" spans="1:13" x14ac:dyDescent="0.2">
      <c r="A65" s="12" t="s">
        <v>782</v>
      </c>
      <c r="B65" s="12" t="s">
        <v>783</v>
      </c>
      <c r="C65" s="12" t="s">
        <v>784</v>
      </c>
      <c r="D65" s="12" t="str">
        <f>"0,5888"</f>
        <v>0,5888</v>
      </c>
      <c r="E65" s="12" t="s">
        <v>17</v>
      </c>
      <c r="F65" s="12" t="s">
        <v>18</v>
      </c>
      <c r="G65" s="13" t="s">
        <v>45</v>
      </c>
      <c r="H65" s="13" t="s">
        <v>271</v>
      </c>
      <c r="I65" s="13" t="s">
        <v>165</v>
      </c>
      <c r="J65" s="14"/>
      <c r="K65" s="12" t="str">
        <f>"242,5"</f>
        <v>242,5</v>
      </c>
      <c r="L65" s="13" t="str">
        <f>"144,2118"</f>
        <v>144,2118</v>
      </c>
      <c r="M65" s="12" t="s">
        <v>145</v>
      </c>
    </row>
    <row r="67" spans="1:13" ht="15" x14ac:dyDescent="0.2">
      <c r="E67" s="15" t="s">
        <v>57</v>
      </c>
    </row>
    <row r="68" spans="1:13" ht="15" x14ac:dyDescent="0.2">
      <c r="E68" s="15" t="s">
        <v>58</v>
      </c>
    </row>
    <row r="69" spans="1:13" ht="15" x14ac:dyDescent="0.2">
      <c r="E69" s="15"/>
    </row>
    <row r="71" spans="1:13" ht="18" x14ac:dyDescent="0.25">
      <c r="A71" s="16" t="s">
        <v>62</v>
      </c>
      <c r="B71" s="16"/>
    </row>
    <row r="72" spans="1:13" ht="15" x14ac:dyDescent="0.2">
      <c r="A72" s="17" t="s">
        <v>182</v>
      </c>
      <c r="B72" s="17"/>
    </row>
    <row r="73" spans="1:13" ht="14.25" x14ac:dyDescent="0.2">
      <c r="A73" s="19"/>
      <c r="B73" s="20" t="s">
        <v>64</v>
      </c>
    </row>
    <row r="74" spans="1:13" ht="15" x14ac:dyDescent="0.2">
      <c r="A74" s="21" t="s">
        <v>65</v>
      </c>
      <c r="B74" s="21" t="s">
        <v>66</v>
      </c>
      <c r="C74" s="21" t="s">
        <v>67</v>
      </c>
      <c r="D74" s="21" t="s">
        <v>68</v>
      </c>
      <c r="E74" s="21" t="s">
        <v>69</v>
      </c>
    </row>
    <row r="75" spans="1:13" x14ac:dyDescent="0.2">
      <c r="A75" s="18" t="s">
        <v>904</v>
      </c>
      <c r="B75" s="4" t="s">
        <v>64</v>
      </c>
      <c r="C75" s="4" t="s">
        <v>183</v>
      </c>
      <c r="D75" s="4" t="s">
        <v>164</v>
      </c>
      <c r="E75" s="22" t="s">
        <v>983</v>
      </c>
    </row>
    <row r="77" spans="1:13" ht="15" x14ac:dyDescent="0.2">
      <c r="A77" s="17" t="s">
        <v>63</v>
      </c>
      <c r="B77" s="17"/>
    </row>
    <row r="78" spans="1:13" ht="14.25" x14ac:dyDescent="0.2">
      <c r="A78" s="19"/>
      <c r="B78" s="20" t="s">
        <v>64</v>
      </c>
    </row>
    <row r="79" spans="1:13" ht="15" x14ac:dyDescent="0.2">
      <c r="A79" s="21" t="s">
        <v>65</v>
      </c>
      <c r="B79" s="21" t="s">
        <v>66</v>
      </c>
      <c r="C79" s="21" t="s">
        <v>67</v>
      </c>
      <c r="D79" s="21" t="s">
        <v>68</v>
      </c>
      <c r="E79" s="21" t="s">
        <v>69</v>
      </c>
    </row>
    <row r="80" spans="1:13" x14ac:dyDescent="0.2">
      <c r="A80" s="18" t="s">
        <v>935</v>
      </c>
      <c r="B80" s="4" t="s">
        <v>64</v>
      </c>
      <c r="C80" s="4" t="s">
        <v>73</v>
      </c>
      <c r="D80" s="4" t="s">
        <v>157</v>
      </c>
      <c r="E80" s="22" t="s">
        <v>984</v>
      </c>
    </row>
    <row r="81" spans="1:5" x14ac:dyDescent="0.2">
      <c r="A81" s="18" t="s">
        <v>967</v>
      </c>
      <c r="B81" s="4" t="s">
        <v>64</v>
      </c>
      <c r="C81" s="4" t="s">
        <v>19</v>
      </c>
      <c r="D81" s="4" t="s">
        <v>251</v>
      </c>
      <c r="E81" s="22" t="s">
        <v>985</v>
      </c>
    </row>
    <row r="82" spans="1:5" x14ac:dyDescent="0.2">
      <c r="A82" s="18" t="s">
        <v>955</v>
      </c>
      <c r="B82" s="4" t="s">
        <v>64</v>
      </c>
      <c r="C82" s="4" t="s">
        <v>70</v>
      </c>
      <c r="D82" s="4" t="s">
        <v>49</v>
      </c>
      <c r="E82" s="22" t="s">
        <v>986</v>
      </c>
    </row>
  </sheetData>
  <mergeCells count="24">
    <mergeCell ref="A14:L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  <mergeCell ref="A42:L42"/>
    <mergeCell ref="A50:L50"/>
    <mergeCell ref="A56:L56"/>
    <mergeCell ref="A63:L63"/>
    <mergeCell ref="A21:L21"/>
    <mergeCell ref="A24:L24"/>
    <mergeCell ref="A28:L28"/>
    <mergeCell ref="A32:L32"/>
    <mergeCell ref="A35:L35"/>
    <mergeCell ref="A39:L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30" workbookViewId="0">
      <selection activeCell="A49" sqref="A49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9.140625" style="4" bestFit="1" customWidth="1"/>
    <col min="7" max="9" width="5.5703125" style="3" bestFit="1" customWidth="1"/>
    <col min="10" max="10" width="4.85546875" style="3" bestFit="1" customWidth="1"/>
    <col min="11" max="11" width="11" style="4" customWidth="1"/>
    <col min="12" max="12" width="8.5703125" style="3" bestFit="1" customWidth="1"/>
    <col min="13" max="13" width="14.140625" style="4" bestFit="1" customWidth="1"/>
    <col min="14" max="16384" width="9.140625" style="3"/>
  </cols>
  <sheetData>
    <row r="1" spans="1:13" s="2" customFormat="1" ht="29.1" customHeight="1" x14ac:dyDescent="0.2">
      <c r="A1" s="42" t="s">
        <v>1180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3</v>
      </c>
      <c r="H3" s="37"/>
      <c r="I3" s="37"/>
      <c r="J3" s="37"/>
      <c r="K3" s="37" t="s">
        <v>552</v>
      </c>
      <c r="L3" s="37" t="s">
        <v>6</v>
      </c>
      <c r="M3" s="39" t="s">
        <v>5</v>
      </c>
    </row>
    <row r="4" spans="1:13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38"/>
      <c r="L4" s="38"/>
      <c r="M4" s="40"/>
    </row>
    <row r="5" spans="1:13" ht="15" x14ac:dyDescent="0.2">
      <c r="A5" s="41" t="s">
        <v>109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x14ac:dyDescent="0.2">
      <c r="A6" s="6" t="s">
        <v>857</v>
      </c>
      <c r="B6" s="6" t="s">
        <v>858</v>
      </c>
      <c r="C6" s="6" t="s">
        <v>859</v>
      </c>
      <c r="D6" s="6" t="str">
        <f>"1,1063"</f>
        <v>1,1063</v>
      </c>
      <c r="E6" s="6" t="s">
        <v>17</v>
      </c>
      <c r="F6" s="6" t="s">
        <v>18</v>
      </c>
      <c r="G6" s="7" t="s">
        <v>86</v>
      </c>
      <c r="H6" s="7" t="s">
        <v>81</v>
      </c>
      <c r="I6" s="7" t="s">
        <v>70</v>
      </c>
      <c r="J6" s="8"/>
      <c r="K6" s="6" t="str">
        <f>"90,0"</f>
        <v>90,0</v>
      </c>
      <c r="L6" s="7" t="str">
        <f>"99,5670"</f>
        <v>99,5670</v>
      </c>
      <c r="M6" s="6" t="s">
        <v>860</v>
      </c>
    </row>
    <row r="8" spans="1:13" ht="15" x14ac:dyDescent="0.2">
      <c r="A8" s="36" t="s">
        <v>117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3" x14ac:dyDescent="0.2">
      <c r="A9" s="9" t="s">
        <v>861</v>
      </c>
      <c r="B9" s="9" t="s">
        <v>862</v>
      </c>
      <c r="C9" s="9" t="s">
        <v>448</v>
      </c>
      <c r="D9" s="9" t="str">
        <f>"0,9555"</f>
        <v>0,9555</v>
      </c>
      <c r="E9" s="9" t="s">
        <v>31</v>
      </c>
      <c r="F9" s="9" t="s">
        <v>335</v>
      </c>
      <c r="G9" s="10" t="s">
        <v>48</v>
      </c>
      <c r="H9" s="10" t="s">
        <v>132</v>
      </c>
      <c r="I9" s="11"/>
      <c r="J9" s="11"/>
      <c r="K9" s="9" t="str">
        <f>"167,5"</f>
        <v>167,5</v>
      </c>
      <c r="L9" s="10" t="str">
        <f>"160,0463"</f>
        <v>160,0463</v>
      </c>
      <c r="M9" s="9" t="s">
        <v>863</v>
      </c>
    </row>
    <row r="10" spans="1:13" x14ac:dyDescent="0.2">
      <c r="A10" s="12" t="s">
        <v>864</v>
      </c>
      <c r="B10" s="12" t="s">
        <v>865</v>
      </c>
      <c r="C10" s="12" t="s">
        <v>866</v>
      </c>
      <c r="D10" s="12" t="str">
        <f>"0,9919"</f>
        <v>0,9919</v>
      </c>
      <c r="E10" s="12" t="s">
        <v>31</v>
      </c>
      <c r="F10" s="12" t="s">
        <v>206</v>
      </c>
      <c r="G10" s="13" t="s">
        <v>103</v>
      </c>
      <c r="H10" s="13" t="s">
        <v>19</v>
      </c>
      <c r="I10" s="13" t="s">
        <v>22</v>
      </c>
      <c r="J10" s="14"/>
      <c r="K10" s="12" t="str">
        <f>"107,5"</f>
        <v>107,5</v>
      </c>
      <c r="L10" s="13" t="str">
        <f>"111,2143"</f>
        <v>111,2143</v>
      </c>
      <c r="M10" s="12" t="s">
        <v>50</v>
      </c>
    </row>
    <row r="12" spans="1:13" ht="15" x14ac:dyDescent="0.2">
      <c r="A12" s="36" t="s">
        <v>117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3" x14ac:dyDescent="0.2">
      <c r="A13" s="6" t="s">
        <v>867</v>
      </c>
      <c r="B13" s="6" t="s">
        <v>868</v>
      </c>
      <c r="C13" s="6" t="s">
        <v>444</v>
      </c>
      <c r="D13" s="6" t="str">
        <f>"0,7293"</f>
        <v>0,7293</v>
      </c>
      <c r="E13" s="6" t="s">
        <v>17</v>
      </c>
      <c r="F13" s="6" t="s">
        <v>18</v>
      </c>
      <c r="G13" s="7" t="s">
        <v>142</v>
      </c>
      <c r="H13" s="7" t="s">
        <v>162</v>
      </c>
      <c r="I13" s="7" t="s">
        <v>143</v>
      </c>
      <c r="J13" s="8"/>
      <c r="K13" s="6" t="str">
        <f>"215,0"</f>
        <v>215,0</v>
      </c>
      <c r="L13" s="7" t="str">
        <f>"156,7995"</f>
        <v>156,7995</v>
      </c>
      <c r="M13" s="6" t="s">
        <v>98</v>
      </c>
    </row>
    <row r="15" spans="1:13" ht="15" x14ac:dyDescent="0.2">
      <c r="A15" s="36" t="s">
        <v>13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3" x14ac:dyDescent="0.2">
      <c r="A16" s="6" t="s">
        <v>869</v>
      </c>
      <c r="B16" s="6" t="s">
        <v>870</v>
      </c>
      <c r="C16" s="6" t="s">
        <v>871</v>
      </c>
      <c r="D16" s="6" t="str">
        <f>"0,6774"</f>
        <v>0,6774</v>
      </c>
      <c r="E16" s="6" t="s">
        <v>31</v>
      </c>
      <c r="F16" s="6" t="s">
        <v>381</v>
      </c>
      <c r="G16" s="7" t="s">
        <v>44</v>
      </c>
      <c r="H16" s="7" t="s">
        <v>46</v>
      </c>
      <c r="I16" s="8" t="s">
        <v>49</v>
      </c>
      <c r="J16" s="8"/>
      <c r="K16" s="6" t="str">
        <f>"235,0"</f>
        <v>235,0</v>
      </c>
      <c r="L16" s="7" t="str">
        <f>"159,1890"</f>
        <v>159,1890</v>
      </c>
      <c r="M16" s="6" t="s">
        <v>872</v>
      </c>
    </row>
    <row r="18" spans="1:13" ht="15" x14ac:dyDescent="0.2">
      <c r="A18" s="36" t="s">
        <v>27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3" x14ac:dyDescent="0.2">
      <c r="A19" s="9" t="s">
        <v>873</v>
      </c>
      <c r="B19" s="9" t="s">
        <v>874</v>
      </c>
      <c r="C19" s="9" t="s">
        <v>875</v>
      </c>
      <c r="D19" s="9" t="str">
        <f>"0,6459"</f>
        <v>0,6459</v>
      </c>
      <c r="E19" s="9" t="s">
        <v>17</v>
      </c>
      <c r="F19" s="9" t="s">
        <v>18</v>
      </c>
      <c r="G19" s="10" t="s">
        <v>45</v>
      </c>
      <c r="H19" s="10" t="s">
        <v>157</v>
      </c>
      <c r="I19" s="10" t="s">
        <v>413</v>
      </c>
      <c r="J19" s="11"/>
      <c r="K19" s="9" t="str">
        <f>"267,5"</f>
        <v>267,5</v>
      </c>
      <c r="L19" s="10" t="str">
        <f>"172,7783"</f>
        <v>172,7783</v>
      </c>
      <c r="M19" s="9" t="s">
        <v>145</v>
      </c>
    </row>
    <row r="20" spans="1:13" x14ac:dyDescent="0.2">
      <c r="A20" s="12" t="s">
        <v>876</v>
      </c>
      <c r="B20" s="12" t="s">
        <v>877</v>
      </c>
      <c r="C20" s="12" t="s">
        <v>878</v>
      </c>
      <c r="D20" s="12" t="str">
        <f>"0,6575"</f>
        <v>0,6575</v>
      </c>
      <c r="E20" s="12" t="s">
        <v>17</v>
      </c>
      <c r="F20" s="12" t="s">
        <v>18</v>
      </c>
      <c r="G20" s="13" t="s">
        <v>149</v>
      </c>
      <c r="H20" s="13" t="s">
        <v>177</v>
      </c>
      <c r="I20" s="13" t="s">
        <v>144</v>
      </c>
      <c r="J20" s="14"/>
      <c r="K20" s="12" t="str">
        <f>"225,0"</f>
        <v>225,0</v>
      </c>
      <c r="L20" s="13" t="str">
        <f>"160,0684"</f>
        <v>160,0684</v>
      </c>
      <c r="M20" s="12" t="s">
        <v>145</v>
      </c>
    </row>
    <row r="22" spans="1:13" ht="15" x14ac:dyDescent="0.2">
      <c r="A22" s="36" t="s">
        <v>158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3" x14ac:dyDescent="0.2">
      <c r="A23" s="6" t="s">
        <v>879</v>
      </c>
      <c r="B23" s="6" t="s">
        <v>880</v>
      </c>
      <c r="C23" s="6" t="s">
        <v>881</v>
      </c>
      <c r="D23" s="6" t="str">
        <f>"0,6011"</f>
        <v>0,6011</v>
      </c>
      <c r="E23" s="6" t="s">
        <v>17</v>
      </c>
      <c r="F23" s="6" t="s">
        <v>18</v>
      </c>
      <c r="G23" s="7" t="s">
        <v>45</v>
      </c>
      <c r="H23" s="7" t="s">
        <v>157</v>
      </c>
      <c r="I23" s="8" t="s">
        <v>294</v>
      </c>
      <c r="J23" s="8"/>
      <c r="K23" s="6" t="str">
        <f>"250,0"</f>
        <v>250,0</v>
      </c>
      <c r="L23" s="7" t="str">
        <f>"150,2750"</f>
        <v>150,2750</v>
      </c>
      <c r="M23" s="6" t="s">
        <v>882</v>
      </c>
    </row>
    <row r="25" spans="1:13" ht="15" x14ac:dyDescent="0.2">
      <c r="A25" s="36" t="s">
        <v>276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3" x14ac:dyDescent="0.2">
      <c r="A26" s="6" t="s">
        <v>883</v>
      </c>
      <c r="B26" s="6" t="s">
        <v>884</v>
      </c>
      <c r="C26" s="6" t="s">
        <v>535</v>
      </c>
      <c r="D26" s="6" t="str">
        <f>"0,5867"</f>
        <v>0,5867</v>
      </c>
      <c r="E26" s="6" t="s">
        <v>31</v>
      </c>
      <c r="F26" s="6" t="s">
        <v>206</v>
      </c>
      <c r="G26" s="7" t="s">
        <v>34</v>
      </c>
      <c r="H26" s="7" t="s">
        <v>123</v>
      </c>
      <c r="I26" s="7" t="s">
        <v>125</v>
      </c>
      <c r="J26" s="8"/>
      <c r="K26" s="6" t="str">
        <f>"200,0"</f>
        <v>200,0</v>
      </c>
      <c r="L26" s="7" t="str">
        <f>"130,5994"</f>
        <v>130,5994</v>
      </c>
      <c r="M26" s="6" t="s">
        <v>98</v>
      </c>
    </row>
    <row r="28" spans="1:13" ht="15" x14ac:dyDescent="0.2">
      <c r="E28" s="15" t="s">
        <v>57</v>
      </c>
    </row>
    <row r="29" spans="1:13" ht="15" x14ac:dyDescent="0.2">
      <c r="E29" s="15" t="s">
        <v>58</v>
      </c>
    </row>
    <row r="30" spans="1:13" ht="15" x14ac:dyDescent="0.2">
      <c r="E30" s="15"/>
    </row>
    <row r="32" spans="1:13" ht="18" x14ac:dyDescent="0.25">
      <c r="A32" s="16" t="s">
        <v>62</v>
      </c>
      <c r="B32" s="16"/>
    </row>
  </sheetData>
  <mergeCells count="18"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A18:L18"/>
    <mergeCell ref="A22:L22"/>
    <mergeCell ref="A25:L25"/>
    <mergeCell ref="K3:K4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20" workbookViewId="0">
      <selection activeCell="A27" sqref="A27:XFD41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1" width="11.42578125" style="4" customWidth="1"/>
    <col min="12" max="12" width="8.5703125" style="3" bestFit="1" customWidth="1"/>
    <col min="13" max="13" width="16.42578125" style="4" bestFit="1" customWidth="1"/>
    <col min="14" max="16384" width="9.140625" style="3"/>
  </cols>
  <sheetData>
    <row r="1" spans="1:13" s="2" customFormat="1" ht="29.1" customHeight="1" x14ac:dyDescent="0.2">
      <c r="A1" s="42" t="s">
        <v>1181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2</v>
      </c>
      <c r="H3" s="37"/>
      <c r="I3" s="37"/>
      <c r="J3" s="37"/>
      <c r="K3" s="37" t="s">
        <v>552</v>
      </c>
      <c r="L3" s="37" t="s">
        <v>6</v>
      </c>
      <c r="M3" s="39" t="s">
        <v>5</v>
      </c>
    </row>
    <row r="4" spans="1:13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38"/>
      <c r="L4" s="38"/>
      <c r="M4" s="40"/>
    </row>
    <row r="5" spans="1:13" ht="15" x14ac:dyDescent="0.2">
      <c r="A5" s="41" t="s">
        <v>202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x14ac:dyDescent="0.2">
      <c r="A6" s="6" t="s">
        <v>595</v>
      </c>
      <c r="B6" s="6" t="s">
        <v>596</v>
      </c>
      <c r="C6" s="6" t="s">
        <v>426</v>
      </c>
      <c r="D6" s="6" t="str">
        <f>"1,1525"</f>
        <v>1,1525</v>
      </c>
      <c r="E6" s="6" t="s">
        <v>17</v>
      </c>
      <c r="F6" s="6" t="s">
        <v>18</v>
      </c>
      <c r="G6" s="8" t="s">
        <v>55</v>
      </c>
      <c r="H6" s="8" t="s">
        <v>55</v>
      </c>
      <c r="I6" s="7" t="s">
        <v>55</v>
      </c>
      <c r="J6" s="8"/>
      <c r="K6" s="6" t="str">
        <f>"115,0"</f>
        <v>115,0</v>
      </c>
      <c r="L6" s="7" t="str">
        <f>"132,5375"</f>
        <v>132,5375</v>
      </c>
      <c r="M6" s="6" t="s">
        <v>145</v>
      </c>
    </row>
    <row r="8" spans="1:13" ht="15" x14ac:dyDescent="0.2">
      <c r="A8" s="36" t="s">
        <v>27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3" x14ac:dyDescent="0.2">
      <c r="A9" s="6" t="s">
        <v>847</v>
      </c>
      <c r="B9" s="6" t="s">
        <v>848</v>
      </c>
      <c r="C9" s="6" t="s">
        <v>148</v>
      </c>
      <c r="D9" s="6" t="str">
        <f>"0,6424"</f>
        <v>0,6424</v>
      </c>
      <c r="E9" s="6" t="s">
        <v>17</v>
      </c>
      <c r="F9" s="6" t="s">
        <v>18</v>
      </c>
      <c r="G9" s="8" t="s">
        <v>336</v>
      </c>
      <c r="H9" s="8" t="s">
        <v>336</v>
      </c>
      <c r="I9" s="7" t="s">
        <v>336</v>
      </c>
      <c r="J9" s="8"/>
      <c r="K9" s="6" t="str">
        <f>"207,5"</f>
        <v>207,5</v>
      </c>
      <c r="L9" s="7" t="str">
        <f>"133,2980"</f>
        <v>133,2980</v>
      </c>
      <c r="M9" s="6" t="s">
        <v>418</v>
      </c>
    </row>
    <row r="11" spans="1:13" ht="15" x14ac:dyDescent="0.2">
      <c r="A11" s="36" t="s">
        <v>39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3" x14ac:dyDescent="0.2">
      <c r="A12" s="6" t="s">
        <v>849</v>
      </c>
      <c r="B12" s="6" t="s">
        <v>850</v>
      </c>
      <c r="C12" s="6" t="s">
        <v>851</v>
      </c>
      <c r="D12" s="6" t="str">
        <f>"0,6136"</f>
        <v>0,6136</v>
      </c>
      <c r="E12" s="6" t="s">
        <v>17</v>
      </c>
      <c r="F12" s="6" t="s">
        <v>18</v>
      </c>
      <c r="G12" s="8" t="s">
        <v>125</v>
      </c>
      <c r="H12" s="8" t="s">
        <v>125</v>
      </c>
      <c r="I12" s="8"/>
      <c r="J12" s="8"/>
      <c r="K12" s="6" t="str">
        <f>"0.00"</f>
        <v>0.00</v>
      </c>
      <c r="L12" s="7" t="str">
        <f>"0,0000"</f>
        <v>0,0000</v>
      </c>
      <c r="M12" s="6" t="s">
        <v>377</v>
      </c>
    </row>
    <row r="14" spans="1:13" ht="15" x14ac:dyDescent="0.2">
      <c r="A14" s="36" t="s">
        <v>158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3" x14ac:dyDescent="0.2">
      <c r="A15" s="9" t="s">
        <v>852</v>
      </c>
      <c r="B15" s="9" t="s">
        <v>853</v>
      </c>
      <c r="C15" s="9" t="s">
        <v>854</v>
      </c>
      <c r="D15" s="9" t="str">
        <f>"0,5996"</f>
        <v>0,5996</v>
      </c>
      <c r="E15" s="9" t="s">
        <v>42</v>
      </c>
      <c r="F15" s="9" t="s">
        <v>18</v>
      </c>
      <c r="G15" s="10" t="s">
        <v>294</v>
      </c>
      <c r="H15" s="11" t="s">
        <v>184</v>
      </c>
      <c r="I15" s="11" t="s">
        <v>184</v>
      </c>
      <c r="J15" s="11"/>
      <c r="K15" s="9" t="str">
        <f>"260,0"</f>
        <v>260,0</v>
      </c>
      <c r="L15" s="10" t="str">
        <f>"155,8960"</f>
        <v>155,8960</v>
      </c>
      <c r="M15" s="9" t="s">
        <v>855</v>
      </c>
    </row>
    <row r="16" spans="1:13" x14ac:dyDescent="0.2">
      <c r="A16" s="12" t="s">
        <v>852</v>
      </c>
      <c r="B16" s="12" t="s">
        <v>856</v>
      </c>
      <c r="C16" s="12" t="s">
        <v>854</v>
      </c>
      <c r="D16" s="12" t="str">
        <f>"0,5996"</f>
        <v>0,5996</v>
      </c>
      <c r="E16" s="12" t="s">
        <v>42</v>
      </c>
      <c r="F16" s="12" t="s">
        <v>18</v>
      </c>
      <c r="G16" s="13" t="s">
        <v>294</v>
      </c>
      <c r="H16" s="14" t="s">
        <v>184</v>
      </c>
      <c r="I16" s="14" t="s">
        <v>184</v>
      </c>
      <c r="J16" s="14"/>
      <c r="K16" s="12" t="str">
        <f>"260,0"</f>
        <v>260,0</v>
      </c>
      <c r="L16" s="13" t="str">
        <f>"159,0139"</f>
        <v>159,0139</v>
      </c>
      <c r="M16" s="12" t="s">
        <v>855</v>
      </c>
    </row>
    <row r="18" spans="1:5" ht="15" x14ac:dyDescent="0.2">
      <c r="E18" s="15" t="s">
        <v>57</v>
      </c>
    </row>
    <row r="19" spans="1:5" ht="15" x14ac:dyDescent="0.2">
      <c r="E19" s="15" t="s">
        <v>58</v>
      </c>
    </row>
    <row r="20" spans="1:5" ht="15" x14ac:dyDescent="0.2">
      <c r="E20" s="15" t="s">
        <v>59</v>
      </c>
    </row>
    <row r="21" spans="1:5" ht="15" x14ac:dyDescent="0.2">
      <c r="E21" s="15" t="s">
        <v>60</v>
      </c>
    </row>
    <row r="22" spans="1:5" ht="15" x14ac:dyDescent="0.2">
      <c r="E22" s="15" t="s">
        <v>60</v>
      </c>
    </row>
    <row r="23" spans="1:5" ht="15" x14ac:dyDescent="0.2">
      <c r="E23" s="15" t="s">
        <v>61</v>
      </c>
    </row>
    <row r="24" spans="1:5" ht="15" x14ac:dyDescent="0.2">
      <c r="E24" s="15"/>
    </row>
    <row r="26" spans="1:5" ht="18" x14ac:dyDescent="0.25">
      <c r="A26" s="16" t="s">
        <v>62</v>
      </c>
      <c r="B26" s="16"/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K3:K4"/>
    <mergeCell ref="L3:L4"/>
    <mergeCell ref="M3:M4"/>
    <mergeCell ref="A5:L5"/>
    <mergeCell ref="A8:L8"/>
    <mergeCell ref="A11:L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opLeftCell="A122" workbookViewId="0">
      <selection activeCell="A136" sqref="A136:XFD151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2" style="4" bestFit="1" customWidth="1"/>
    <col min="7" max="10" width="5.5703125" style="3" bestFit="1" customWidth="1"/>
    <col min="11" max="11" width="11.5703125" style="4" customWidth="1"/>
    <col min="12" max="12" width="8.5703125" style="3" bestFit="1" customWidth="1"/>
    <col min="13" max="13" width="28.28515625" style="4" bestFit="1" customWidth="1"/>
    <col min="14" max="16384" width="9.140625" style="3"/>
  </cols>
  <sheetData>
    <row r="1" spans="1:13" s="2" customFormat="1" ht="29.1" customHeight="1" x14ac:dyDescent="0.2">
      <c r="A1" s="42" t="s">
        <v>1183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2</v>
      </c>
      <c r="H3" s="37"/>
      <c r="I3" s="37"/>
      <c r="J3" s="37"/>
      <c r="K3" s="37" t="s">
        <v>552</v>
      </c>
      <c r="L3" s="37" t="s">
        <v>6</v>
      </c>
      <c r="M3" s="39" t="s">
        <v>5</v>
      </c>
    </row>
    <row r="4" spans="1:13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38"/>
      <c r="L4" s="38"/>
      <c r="M4" s="40"/>
    </row>
    <row r="5" spans="1:13" ht="15" x14ac:dyDescent="0.2">
      <c r="A5" s="41" t="s">
        <v>74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x14ac:dyDescent="0.2">
      <c r="A6" s="9" t="s">
        <v>553</v>
      </c>
      <c r="B6" s="9" t="s">
        <v>554</v>
      </c>
      <c r="C6" s="9" t="s">
        <v>77</v>
      </c>
      <c r="D6" s="9" t="str">
        <f>"1,3490"</f>
        <v>1,3490</v>
      </c>
      <c r="E6" s="9" t="s">
        <v>17</v>
      </c>
      <c r="F6" s="9" t="s">
        <v>18</v>
      </c>
      <c r="G6" s="11" t="s">
        <v>85</v>
      </c>
      <c r="H6" s="10" t="s">
        <v>85</v>
      </c>
      <c r="I6" s="11" t="s">
        <v>113</v>
      </c>
      <c r="J6" s="11"/>
      <c r="K6" s="9" t="str">
        <f>"45,0"</f>
        <v>45,0</v>
      </c>
      <c r="L6" s="10" t="str">
        <f>"60,7050"</f>
        <v>60,7050</v>
      </c>
      <c r="M6" s="9" t="s">
        <v>555</v>
      </c>
    </row>
    <row r="7" spans="1:13" x14ac:dyDescent="0.2">
      <c r="A7" s="23" t="s">
        <v>556</v>
      </c>
      <c r="B7" s="23" t="s">
        <v>557</v>
      </c>
      <c r="C7" s="23" t="s">
        <v>558</v>
      </c>
      <c r="D7" s="23" t="str">
        <f>"1,3720"</f>
        <v>1,3720</v>
      </c>
      <c r="E7" s="23" t="s">
        <v>31</v>
      </c>
      <c r="F7" s="23" t="s">
        <v>250</v>
      </c>
      <c r="G7" s="24" t="s">
        <v>84</v>
      </c>
      <c r="H7" s="25" t="s">
        <v>85</v>
      </c>
      <c r="I7" s="25" t="s">
        <v>85</v>
      </c>
      <c r="J7" s="25"/>
      <c r="K7" s="23" t="str">
        <f>"42,5"</f>
        <v>42,5</v>
      </c>
      <c r="L7" s="24" t="str">
        <f>"58,3100"</f>
        <v>58,3100</v>
      </c>
      <c r="M7" s="23" t="s">
        <v>559</v>
      </c>
    </row>
    <row r="8" spans="1:13" x14ac:dyDescent="0.2">
      <c r="A8" s="12" t="s">
        <v>560</v>
      </c>
      <c r="B8" s="12" t="s">
        <v>561</v>
      </c>
      <c r="C8" s="12" t="s">
        <v>562</v>
      </c>
      <c r="D8" s="12" t="str">
        <f>"1,3346"</f>
        <v>1,3346</v>
      </c>
      <c r="E8" s="12" t="s">
        <v>17</v>
      </c>
      <c r="F8" s="12" t="s">
        <v>18</v>
      </c>
      <c r="G8" s="13" t="s">
        <v>83</v>
      </c>
      <c r="H8" s="13" t="s">
        <v>84</v>
      </c>
      <c r="I8" s="14" t="s">
        <v>85</v>
      </c>
      <c r="J8" s="14"/>
      <c r="K8" s="12" t="str">
        <f>"42,5"</f>
        <v>42,5</v>
      </c>
      <c r="L8" s="13" t="str">
        <f>"56,7205"</f>
        <v>56,7205</v>
      </c>
      <c r="M8" s="12" t="s">
        <v>563</v>
      </c>
    </row>
    <row r="10" spans="1:13" ht="15" x14ac:dyDescent="0.2">
      <c r="A10" s="36" t="s">
        <v>89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3" x14ac:dyDescent="0.2">
      <c r="A11" s="9" t="s">
        <v>564</v>
      </c>
      <c r="B11" s="9" t="s">
        <v>565</v>
      </c>
      <c r="C11" s="9" t="s">
        <v>566</v>
      </c>
      <c r="D11" s="9" t="str">
        <f>"1,2466"</f>
        <v>1,2466</v>
      </c>
      <c r="E11" s="9" t="s">
        <v>17</v>
      </c>
      <c r="F11" s="9" t="s">
        <v>18</v>
      </c>
      <c r="G11" s="10" t="s">
        <v>114</v>
      </c>
      <c r="H11" s="11" t="s">
        <v>427</v>
      </c>
      <c r="I11" s="11" t="s">
        <v>427</v>
      </c>
      <c r="J11" s="11"/>
      <c r="K11" s="9" t="str">
        <f>"50,0"</f>
        <v>50,0</v>
      </c>
      <c r="L11" s="10" t="str">
        <f>"62,3300"</f>
        <v>62,3300</v>
      </c>
      <c r="M11" s="9" t="s">
        <v>567</v>
      </c>
    </row>
    <row r="12" spans="1:13" x14ac:dyDescent="0.2">
      <c r="A12" s="12" t="s">
        <v>568</v>
      </c>
      <c r="B12" s="12" t="s">
        <v>569</v>
      </c>
      <c r="C12" s="12" t="s">
        <v>570</v>
      </c>
      <c r="D12" s="12" t="str">
        <f>"1,2750"</f>
        <v>1,2750</v>
      </c>
      <c r="E12" s="12" t="s">
        <v>17</v>
      </c>
      <c r="F12" s="12" t="s">
        <v>18</v>
      </c>
      <c r="G12" s="14" t="s">
        <v>85</v>
      </c>
      <c r="H12" s="13" t="s">
        <v>85</v>
      </c>
      <c r="I12" s="14" t="s">
        <v>113</v>
      </c>
      <c r="J12" s="14"/>
      <c r="K12" s="12" t="str">
        <f>"45,0"</f>
        <v>45,0</v>
      </c>
      <c r="L12" s="13" t="str">
        <f>"62,9404"</f>
        <v>62,9404</v>
      </c>
      <c r="M12" s="12" t="s">
        <v>571</v>
      </c>
    </row>
    <row r="14" spans="1:13" ht="15" x14ac:dyDescent="0.2">
      <c r="A14" s="36" t="s">
        <v>99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3" x14ac:dyDescent="0.2">
      <c r="A15" s="9" t="s">
        <v>572</v>
      </c>
      <c r="B15" s="9" t="s">
        <v>573</v>
      </c>
      <c r="C15" s="9" t="s">
        <v>574</v>
      </c>
      <c r="D15" s="9" t="str">
        <f>"1,1916"</f>
        <v>1,1916</v>
      </c>
      <c r="E15" s="9" t="s">
        <v>17</v>
      </c>
      <c r="F15" s="9" t="s">
        <v>18</v>
      </c>
      <c r="G15" s="11" t="s">
        <v>114</v>
      </c>
      <c r="H15" s="10" t="s">
        <v>114</v>
      </c>
      <c r="I15" s="10" t="s">
        <v>213</v>
      </c>
      <c r="J15" s="11"/>
      <c r="K15" s="9" t="str">
        <f>"55,0"</f>
        <v>55,0</v>
      </c>
      <c r="L15" s="10" t="str">
        <f>"65,5380"</f>
        <v>65,5380</v>
      </c>
      <c r="M15" s="9" t="s">
        <v>575</v>
      </c>
    </row>
    <row r="16" spans="1:13" x14ac:dyDescent="0.2">
      <c r="A16" s="23" t="s">
        <v>576</v>
      </c>
      <c r="B16" s="23" t="s">
        <v>577</v>
      </c>
      <c r="C16" s="23" t="s">
        <v>578</v>
      </c>
      <c r="D16" s="23" t="str">
        <f>"1,2054"</f>
        <v>1,2054</v>
      </c>
      <c r="E16" s="23" t="s">
        <v>17</v>
      </c>
      <c r="F16" s="23" t="s">
        <v>18</v>
      </c>
      <c r="G16" s="24" t="s">
        <v>85</v>
      </c>
      <c r="H16" s="24" t="s">
        <v>113</v>
      </c>
      <c r="I16" s="25" t="s">
        <v>114</v>
      </c>
      <c r="J16" s="25"/>
      <c r="K16" s="23" t="str">
        <f>"47,5"</f>
        <v>47,5</v>
      </c>
      <c r="L16" s="24" t="str">
        <f>"57,2565"</f>
        <v>57,2565</v>
      </c>
      <c r="M16" s="23" t="s">
        <v>579</v>
      </c>
    </row>
    <row r="17" spans="1:13" x14ac:dyDescent="0.2">
      <c r="A17" s="23" t="s">
        <v>580</v>
      </c>
      <c r="B17" s="23" t="s">
        <v>581</v>
      </c>
      <c r="C17" s="23" t="s">
        <v>582</v>
      </c>
      <c r="D17" s="23" t="str">
        <f>"1,1883"</f>
        <v>1,1883</v>
      </c>
      <c r="E17" s="23" t="s">
        <v>17</v>
      </c>
      <c r="F17" s="23" t="s">
        <v>18</v>
      </c>
      <c r="G17" s="24" t="s">
        <v>213</v>
      </c>
      <c r="H17" s="25" t="s">
        <v>427</v>
      </c>
      <c r="I17" s="25" t="s">
        <v>427</v>
      </c>
      <c r="J17" s="25"/>
      <c r="K17" s="23" t="str">
        <f>"55,0"</f>
        <v>55,0</v>
      </c>
      <c r="L17" s="24" t="str">
        <f>"65,3565"</f>
        <v>65,3565</v>
      </c>
      <c r="M17" s="23" t="s">
        <v>583</v>
      </c>
    </row>
    <row r="18" spans="1:13" x14ac:dyDescent="0.2">
      <c r="A18" s="23" t="s">
        <v>584</v>
      </c>
      <c r="B18" s="23" t="s">
        <v>585</v>
      </c>
      <c r="C18" s="23" t="s">
        <v>586</v>
      </c>
      <c r="D18" s="23" t="str">
        <f>"1,2002"</f>
        <v>1,2002</v>
      </c>
      <c r="E18" s="23" t="s">
        <v>17</v>
      </c>
      <c r="F18" s="23" t="s">
        <v>18</v>
      </c>
      <c r="G18" s="24" t="s">
        <v>114</v>
      </c>
      <c r="H18" s="25" t="s">
        <v>213</v>
      </c>
      <c r="I18" s="25" t="s">
        <v>213</v>
      </c>
      <c r="J18" s="25"/>
      <c r="K18" s="23" t="str">
        <f>"50,0"</f>
        <v>50,0</v>
      </c>
      <c r="L18" s="24" t="str">
        <f>"60,0100"</f>
        <v>60,0100</v>
      </c>
      <c r="M18" s="23" t="s">
        <v>587</v>
      </c>
    </row>
    <row r="19" spans="1:13" x14ac:dyDescent="0.2">
      <c r="A19" s="12" t="s">
        <v>588</v>
      </c>
      <c r="B19" s="12" t="s">
        <v>589</v>
      </c>
      <c r="C19" s="12" t="s">
        <v>590</v>
      </c>
      <c r="D19" s="12" t="str">
        <f>"1,1967"</f>
        <v>1,1967</v>
      </c>
      <c r="E19" s="12" t="s">
        <v>17</v>
      </c>
      <c r="F19" s="12" t="s">
        <v>18</v>
      </c>
      <c r="G19" s="14" t="s">
        <v>93</v>
      </c>
      <c r="H19" s="14" t="s">
        <v>93</v>
      </c>
      <c r="I19" s="14" t="s">
        <v>93</v>
      </c>
      <c r="J19" s="14"/>
      <c r="K19" s="12" t="str">
        <f>"0.00"</f>
        <v>0.00</v>
      </c>
      <c r="L19" s="13" t="str">
        <f>"0,0000"</f>
        <v>0,0000</v>
      </c>
      <c r="M19" s="12" t="s">
        <v>145</v>
      </c>
    </row>
    <row r="21" spans="1:13" ht="15" x14ac:dyDescent="0.2">
      <c r="A21" s="36" t="s">
        <v>202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3" x14ac:dyDescent="0.2">
      <c r="A22" s="9" t="s">
        <v>591</v>
      </c>
      <c r="B22" s="9" t="s">
        <v>592</v>
      </c>
      <c r="C22" s="9" t="s">
        <v>593</v>
      </c>
      <c r="D22" s="9" t="str">
        <f>"1,1355"</f>
        <v>1,1355</v>
      </c>
      <c r="E22" s="9" t="s">
        <v>17</v>
      </c>
      <c r="F22" s="9" t="s">
        <v>18</v>
      </c>
      <c r="G22" s="10" t="s">
        <v>84</v>
      </c>
      <c r="H22" s="10" t="s">
        <v>85</v>
      </c>
      <c r="I22" s="11" t="s">
        <v>113</v>
      </c>
      <c r="J22" s="11"/>
      <c r="K22" s="9" t="str">
        <f>"45,0"</f>
        <v>45,0</v>
      </c>
      <c r="L22" s="10" t="str">
        <f>"51,0975"</f>
        <v>51,0975</v>
      </c>
      <c r="M22" s="9" t="s">
        <v>579</v>
      </c>
    </row>
    <row r="23" spans="1:13" x14ac:dyDescent="0.2">
      <c r="A23" s="23" t="s">
        <v>595</v>
      </c>
      <c r="B23" s="23" t="s">
        <v>596</v>
      </c>
      <c r="C23" s="23" t="s">
        <v>426</v>
      </c>
      <c r="D23" s="23" t="str">
        <f>"1,1525"</f>
        <v>1,1525</v>
      </c>
      <c r="E23" s="23" t="s">
        <v>17</v>
      </c>
      <c r="F23" s="23" t="s">
        <v>18</v>
      </c>
      <c r="G23" s="24" t="s">
        <v>198</v>
      </c>
      <c r="H23" s="25"/>
      <c r="I23" s="25"/>
      <c r="J23" s="25"/>
      <c r="K23" s="23" t="str">
        <f>"80,0"</f>
        <v>80,0</v>
      </c>
      <c r="L23" s="24" t="str">
        <f>"92,2000"</f>
        <v>92,2000</v>
      </c>
      <c r="M23" s="23" t="s">
        <v>145</v>
      </c>
    </row>
    <row r="24" spans="1:13" x14ac:dyDescent="0.2">
      <c r="A24" s="23" t="s">
        <v>598</v>
      </c>
      <c r="B24" s="23" t="s">
        <v>599</v>
      </c>
      <c r="C24" s="23" t="s">
        <v>600</v>
      </c>
      <c r="D24" s="23" t="str">
        <f>"1,1281"</f>
        <v>1,1281</v>
      </c>
      <c r="E24" s="35" t="s">
        <v>17</v>
      </c>
      <c r="F24" s="23" t="s">
        <v>18</v>
      </c>
      <c r="G24" s="24" t="s">
        <v>94</v>
      </c>
      <c r="H24" s="25" t="s">
        <v>80</v>
      </c>
      <c r="I24" s="24" t="s">
        <v>80</v>
      </c>
      <c r="J24" s="25"/>
      <c r="K24" s="23" t="str">
        <f>"75,0"</f>
        <v>75,0</v>
      </c>
      <c r="L24" s="24" t="str">
        <f>"84,6075"</f>
        <v>84,6075</v>
      </c>
      <c r="M24" s="23" t="s">
        <v>601</v>
      </c>
    </row>
    <row r="25" spans="1:13" x14ac:dyDescent="0.2">
      <c r="A25" s="12" t="s">
        <v>602</v>
      </c>
      <c r="B25" s="12" t="s">
        <v>603</v>
      </c>
      <c r="C25" s="12" t="s">
        <v>205</v>
      </c>
      <c r="D25" s="12" t="str">
        <f>"1,1340"</f>
        <v>1,1340</v>
      </c>
      <c r="E25" s="12" t="s">
        <v>31</v>
      </c>
      <c r="F25" s="12" t="s">
        <v>206</v>
      </c>
      <c r="G25" s="13" t="s">
        <v>84</v>
      </c>
      <c r="H25" s="13" t="s">
        <v>85</v>
      </c>
      <c r="I25" s="13" t="s">
        <v>113</v>
      </c>
      <c r="J25" s="14"/>
      <c r="K25" s="12" t="str">
        <f>"47,5"</f>
        <v>47,5</v>
      </c>
      <c r="L25" s="13" t="str">
        <f>"53,8650"</f>
        <v>53,8650</v>
      </c>
      <c r="M25" s="12" t="s">
        <v>50</v>
      </c>
    </row>
    <row r="27" spans="1:13" ht="15" x14ac:dyDescent="0.2">
      <c r="A27" s="36" t="s">
        <v>109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3" x14ac:dyDescent="0.2">
      <c r="A28" s="9" t="s">
        <v>604</v>
      </c>
      <c r="B28" s="9" t="s">
        <v>605</v>
      </c>
      <c r="C28" s="9" t="s">
        <v>606</v>
      </c>
      <c r="D28" s="9" t="str">
        <f>"1,0294"</f>
        <v>1,0294</v>
      </c>
      <c r="E28" s="9" t="s">
        <v>17</v>
      </c>
      <c r="F28" s="9" t="s">
        <v>18</v>
      </c>
      <c r="G28" s="10" t="s">
        <v>106</v>
      </c>
      <c r="H28" s="10" t="s">
        <v>213</v>
      </c>
      <c r="I28" s="10" t="s">
        <v>427</v>
      </c>
      <c r="J28" s="11"/>
      <c r="K28" s="9" t="str">
        <f>"57,5"</f>
        <v>57,5</v>
      </c>
      <c r="L28" s="10" t="str">
        <f>"59,1905"</f>
        <v>59,1905</v>
      </c>
      <c r="M28" s="9" t="s">
        <v>579</v>
      </c>
    </row>
    <row r="29" spans="1:13" x14ac:dyDescent="0.2">
      <c r="A29" s="12" t="s">
        <v>607</v>
      </c>
      <c r="B29" s="12" t="s">
        <v>608</v>
      </c>
      <c r="C29" s="12" t="s">
        <v>609</v>
      </c>
      <c r="D29" s="12" t="str">
        <f>"1,0206"</f>
        <v>1,0206</v>
      </c>
      <c r="E29" s="12" t="s">
        <v>17</v>
      </c>
      <c r="F29" s="12" t="s">
        <v>18</v>
      </c>
      <c r="G29" s="14" t="s">
        <v>79</v>
      </c>
      <c r="H29" s="14" t="s">
        <v>79</v>
      </c>
      <c r="I29" s="14" t="s">
        <v>79</v>
      </c>
      <c r="J29" s="14"/>
      <c r="K29" s="12" t="str">
        <f>"0.00"</f>
        <v>0.00</v>
      </c>
      <c r="L29" s="13" t="str">
        <f>"0,0000"</f>
        <v>0,0000</v>
      </c>
      <c r="M29" s="12" t="s">
        <v>563</v>
      </c>
    </row>
    <row r="31" spans="1:13" ht="15" x14ac:dyDescent="0.2">
      <c r="A31" s="36" t="s">
        <v>13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3" x14ac:dyDescent="0.2">
      <c r="A32" s="6" t="s">
        <v>610</v>
      </c>
      <c r="B32" s="6" t="s">
        <v>611</v>
      </c>
      <c r="C32" s="6" t="s">
        <v>612</v>
      </c>
      <c r="D32" s="6" t="str">
        <f>"0,9106"</f>
        <v>0,9106</v>
      </c>
      <c r="E32" s="6" t="s">
        <v>31</v>
      </c>
      <c r="F32" s="6" t="s">
        <v>206</v>
      </c>
      <c r="G32" s="7" t="s">
        <v>114</v>
      </c>
      <c r="H32" s="7" t="s">
        <v>213</v>
      </c>
      <c r="I32" s="8" t="s">
        <v>427</v>
      </c>
      <c r="J32" s="8"/>
      <c r="K32" s="6" t="str">
        <f>"55,0"</f>
        <v>55,0</v>
      </c>
      <c r="L32" s="7" t="str">
        <f>"50,0830"</f>
        <v>50,0830</v>
      </c>
      <c r="M32" s="6" t="s">
        <v>50</v>
      </c>
    </row>
    <row r="34" spans="1:13" ht="15" x14ac:dyDescent="0.2">
      <c r="A34" s="36" t="s">
        <v>109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3" x14ac:dyDescent="0.2">
      <c r="A35" s="9" t="s">
        <v>613</v>
      </c>
      <c r="B35" s="9" t="s">
        <v>614</v>
      </c>
      <c r="C35" s="9" t="s">
        <v>615</v>
      </c>
      <c r="D35" s="9" t="str">
        <f>"0,7832"</f>
        <v>0,7832</v>
      </c>
      <c r="E35" s="9" t="s">
        <v>17</v>
      </c>
      <c r="F35" s="9" t="s">
        <v>18</v>
      </c>
      <c r="G35" s="10" t="s">
        <v>114</v>
      </c>
      <c r="H35" s="10" t="s">
        <v>192</v>
      </c>
      <c r="I35" s="10" t="s">
        <v>193</v>
      </c>
      <c r="J35" s="11"/>
      <c r="K35" s="9" t="str">
        <f>"62,5"</f>
        <v>62,5</v>
      </c>
      <c r="L35" s="10" t="str">
        <f>"48,9500"</f>
        <v>48,9500</v>
      </c>
      <c r="M35" s="9" t="s">
        <v>616</v>
      </c>
    </row>
    <row r="36" spans="1:13" x14ac:dyDescent="0.2">
      <c r="A36" s="23" t="s">
        <v>617</v>
      </c>
      <c r="B36" s="23" t="s">
        <v>618</v>
      </c>
      <c r="C36" s="23" t="s">
        <v>619</v>
      </c>
      <c r="D36" s="23" t="str">
        <f>"0,8166"</f>
        <v>0,8166</v>
      </c>
      <c r="E36" s="23" t="s">
        <v>31</v>
      </c>
      <c r="F36" s="23" t="s">
        <v>206</v>
      </c>
      <c r="G36" s="24" t="s">
        <v>94</v>
      </c>
      <c r="H36" s="24" t="s">
        <v>95</v>
      </c>
      <c r="I36" s="24" t="s">
        <v>80</v>
      </c>
      <c r="J36" s="25"/>
      <c r="K36" s="23" t="str">
        <f>"75,0"</f>
        <v>75,0</v>
      </c>
      <c r="L36" s="24" t="str">
        <f>"61,2450"</f>
        <v>61,2450</v>
      </c>
      <c r="M36" s="23" t="s">
        <v>50</v>
      </c>
    </row>
    <row r="37" spans="1:13" x14ac:dyDescent="0.2">
      <c r="A37" s="23" t="s">
        <v>620</v>
      </c>
      <c r="B37" s="23" t="s">
        <v>621</v>
      </c>
      <c r="C37" s="23" t="s">
        <v>622</v>
      </c>
      <c r="D37" s="23" t="str">
        <f>"0,7901"</f>
        <v>0,7901</v>
      </c>
      <c r="E37" s="23" t="s">
        <v>353</v>
      </c>
      <c r="F37" s="23" t="s">
        <v>623</v>
      </c>
      <c r="G37" s="24" t="s">
        <v>105</v>
      </c>
      <c r="H37" s="24" t="s">
        <v>22</v>
      </c>
      <c r="I37" s="24" t="s">
        <v>20</v>
      </c>
      <c r="J37" s="25"/>
      <c r="K37" s="23" t="str">
        <f>"110,0"</f>
        <v>110,0</v>
      </c>
      <c r="L37" s="24" t="str">
        <f>"86,9110"</f>
        <v>86,9110</v>
      </c>
      <c r="M37" s="23" t="s">
        <v>275</v>
      </c>
    </row>
    <row r="38" spans="1:13" x14ac:dyDescent="0.2">
      <c r="A38" s="12" t="s">
        <v>624</v>
      </c>
      <c r="B38" s="12" t="s">
        <v>625</v>
      </c>
      <c r="C38" s="12" t="s">
        <v>626</v>
      </c>
      <c r="D38" s="12" t="str">
        <f>"0,7813"</f>
        <v>0,7813</v>
      </c>
      <c r="E38" s="12" t="s">
        <v>627</v>
      </c>
      <c r="F38" s="12" t="s">
        <v>628</v>
      </c>
      <c r="G38" s="14" t="s">
        <v>19</v>
      </c>
      <c r="H38" s="13" t="s">
        <v>19</v>
      </c>
      <c r="I38" s="14" t="s">
        <v>20</v>
      </c>
      <c r="J38" s="14"/>
      <c r="K38" s="12" t="str">
        <f>"100,0"</f>
        <v>100,0</v>
      </c>
      <c r="L38" s="13" t="str">
        <f>"78,1300"</f>
        <v>78,1300</v>
      </c>
      <c r="M38" s="12" t="s">
        <v>98</v>
      </c>
    </row>
    <row r="40" spans="1:13" ht="15" x14ac:dyDescent="0.2">
      <c r="A40" s="36" t="s">
        <v>117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3" x14ac:dyDescent="0.2">
      <c r="A41" s="9" t="s">
        <v>629</v>
      </c>
      <c r="B41" s="9" t="s">
        <v>630</v>
      </c>
      <c r="C41" s="9" t="s">
        <v>631</v>
      </c>
      <c r="D41" s="9" t="str">
        <f>"0,7300"</f>
        <v>0,7300</v>
      </c>
      <c r="E41" s="9" t="s">
        <v>31</v>
      </c>
      <c r="F41" s="9" t="s">
        <v>381</v>
      </c>
      <c r="G41" s="10" t="s">
        <v>131</v>
      </c>
      <c r="H41" s="10" t="s">
        <v>21</v>
      </c>
      <c r="I41" s="10" t="s">
        <v>36</v>
      </c>
      <c r="J41" s="11"/>
      <c r="K41" s="9" t="str">
        <f>"125,0"</f>
        <v>125,0</v>
      </c>
      <c r="L41" s="10" t="str">
        <f>"91,2500"</f>
        <v>91,2500</v>
      </c>
      <c r="M41" s="9" t="s">
        <v>632</v>
      </c>
    </row>
    <row r="42" spans="1:13" x14ac:dyDescent="0.2">
      <c r="A42" s="23" t="s">
        <v>633</v>
      </c>
      <c r="B42" s="23" t="s">
        <v>634</v>
      </c>
      <c r="C42" s="23" t="s">
        <v>635</v>
      </c>
      <c r="D42" s="23" t="str">
        <f>"0,7437"</f>
        <v>0,7437</v>
      </c>
      <c r="E42" s="23" t="s">
        <v>31</v>
      </c>
      <c r="F42" s="23" t="s">
        <v>32</v>
      </c>
      <c r="G42" s="25" t="s">
        <v>22</v>
      </c>
      <c r="H42" s="24" t="s">
        <v>22</v>
      </c>
      <c r="I42" s="25" t="s">
        <v>23</v>
      </c>
      <c r="J42" s="25"/>
      <c r="K42" s="23" t="str">
        <f>"107,5"</f>
        <v>107,5</v>
      </c>
      <c r="L42" s="24" t="str">
        <f>"79,9478"</f>
        <v>79,9478</v>
      </c>
      <c r="M42" s="23" t="s">
        <v>145</v>
      </c>
    </row>
    <row r="43" spans="1:13" x14ac:dyDescent="0.2">
      <c r="A43" s="23" t="s">
        <v>636</v>
      </c>
      <c r="B43" s="23" t="s">
        <v>637</v>
      </c>
      <c r="C43" s="23" t="s">
        <v>638</v>
      </c>
      <c r="D43" s="23" t="str">
        <f>"0,7494"</f>
        <v>0,7494</v>
      </c>
      <c r="E43" s="23" t="s">
        <v>31</v>
      </c>
      <c r="F43" s="23" t="s">
        <v>639</v>
      </c>
      <c r="G43" s="25" t="s">
        <v>70</v>
      </c>
      <c r="H43" s="25" t="s">
        <v>115</v>
      </c>
      <c r="I43" s="24" t="s">
        <v>115</v>
      </c>
      <c r="J43" s="25"/>
      <c r="K43" s="23" t="str">
        <f>"105,0"</f>
        <v>105,0</v>
      </c>
      <c r="L43" s="24" t="str">
        <f>"78,6870"</f>
        <v>78,6870</v>
      </c>
      <c r="M43" s="23" t="s">
        <v>640</v>
      </c>
    </row>
    <row r="44" spans="1:13" x14ac:dyDescent="0.2">
      <c r="A44" s="23" t="s">
        <v>641</v>
      </c>
      <c r="B44" s="23" t="s">
        <v>642</v>
      </c>
      <c r="C44" s="23" t="s">
        <v>643</v>
      </c>
      <c r="D44" s="23" t="str">
        <f>"0,7264"</f>
        <v>0,7264</v>
      </c>
      <c r="E44" s="23" t="s">
        <v>17</v>
      </c>
      <c r="F44" s="23" t="s">
        <v>17</v>
      </c>
      <c r="G44" s="25" t="s">
        <v>115</v>
      </c>
      <c r="H44" s="25" t="s">
        <v>115</v>
      </c>
      <c r="I44" s="25" t="s">
        <v>115</v>
      </c>
      <c r="J44" s="25"/>
      <c r="K44" s="23" t="str">
        <f>"0.00"</f>
        <v>0.00</v>
      </c>
      <c r="L44" s="24" t="str">
        <f>"0,0000"</f>
        <v>0,0000</v>
      </c>
      <c r="M44" s="23" t="s">
        <v>644</v>
      </c>
    </row>
    <row r="45" spans="1:13" x14ac:dyDescent="0.2">
      <c r="A45" s="23" t="s">
        <v>645</v>
      </c>
      <c r="B45" s="23" t="s">
        <v>646</v>
      </c>
      <c r="C45" s="23" t="s">
        <v>647</v>
      </c>
      <c r="D45" s="23" t="str">
        <f>"0,7126"</f>
        <v>0,7126</v>
      </c>
      <c r="E45" s="23" t="s">
        <v>17</v>
      </c>
      <c r="F45" s="23" t="s">
        <v>18</v>
      </c>
      <c r="G45" s="25" t="s">
        <v>19</v>
      </c>
      <c r="H45" s="24" t="s">
        <v>19</v>
      </c>
      <c r="I45" s="25" t="s">
        <v>115</v>
      </c>
      <c r="J45" s="25"/>
      <c r="K45" s="23" t="str">
        <f>"100,0"</f>
        <v>100,0</v>
      </c>
      <c r="L45" s="24" t="str">
        <f>"83,0179"</f>
        <v>83,0179</v>
      </c>
      <c r="M45" s="23" t="s">
        <v>145</v>
      </c>
    </row>
    <row r="46" spans="1:13" x14ac:dyDescent="0.2">
      <c r="A46" s="12" t="s">
        <v>649</v>
      </c>
      <c r="B46" s="12" t="s">
        <v>650</v>
      </c>
      <c r="C46" s="12" t="s">
        <v>651</v>
      </c>
      <c r="D46" s="12" t="str">
        <f>"0,7139"</f>
        <v>0,7139</v>
      </c>
      <c r="E46" s="12" t="s">
        <v>17</v>
      </c>
      <c r="F46" s="12" t="s">
        <v>18</v>
      </c>
      <c r="G46" s="13" t="s">
        <v>103</v>
      </c>
      <c r="H46" s="13" t="s">
        <v>104</v>
      </c>
      <c r="I46" s="14" t="s">
        <v>105</v>
      </c>
      <c r="J46" s="14"/>
      <c r="K46" s="12" t="str">
        <f>"97,5"</f>
        <v>97,5</v>
      </c>
      <c r="L46" s="13" t="str">
        <f>"119,5818"</f>
        <v>119,5818</v>
      </c>
      <c r="M46" s="12" t="s">
        <v>571</v>
      </c>
    </row>
    <row r="48" spans="1:13" ht="15" x14ac:dyDescent="0.2">
      <c r="A48" s="36" t="s">
        <v>13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3" x14ac:dyDescent="0.2">
      <c r="A49" s="9" t="s">
        <v>652</v>
      </c>
      <c r="B49" s="9" t="s">
        <v>653</v>
      </c>
      <c r="C49" s="9" t="s">
        <v>654</v>
      </c>
      <c r="D49" s="9" t="str">
        <f>"0,6849"</f>
        <v>0,6849</v>
      </c>
      <c r="E49" s="9" t="s">
        <v>17</v>
      </c>
      <c r="F49" s="9" t="s">
        <v>18</v>
      </c>
      <c r="G49" s="10" t="s">
        <v>122</v>
      </c>
      <c r="H49" s="10" t="s">
        <v>25</v>
      </c>
      <c r="I49" s="10" t="s">
        <v>54</v>
      </c>
      <c r="J49" s="11"/>
      <c r="K49" s="9" t="str">
        <f>"142,5"</f>
        <v>142,5</v>
      </c>
      <c r="L49" s="10" t="str">
        <f>"97,5982"</f>
        <v>97,5982</v>
      </c>
      <c r="M49" s="9" t="s">
        <v>655</v>
      </c>
    </row>
    <row r="50" spans="1:13" x14ac:dyDescent="0.2">
      <c r="A50" s="23" t="s">
        <v>656</v>
      </c>
      <c r="B50" s="23" t="s">
        <v>657</v>
      </c>
      <c r="C50" s="23" t="s">
        <v>658</v>
      </c>
      <c r="D50" s="23" t="str">
        <f>"0,6816"</f>
        <v>0,6816</v>
      </c>
      <c r="E50" s="23" t="s">
        <v>31</v>
      </c>
      <c r="F50" s="23" t="s">
        <v>659</v>
      </c>
      <c r="G50" s="24" t="s">
        <v>105</v>
      </c>
      <c r="H50" s="24" t="s">
        <v>20</v>
      </c>
      <c r="I50" s="24" t="s">
        <v>55</v>
      </c>
      <c r="J50" s="25"/>
      <c r="K50" s="23" t="str">
        <f>"115,0"</f>
        <v>115,0</v>
      </c>
      <c r="L50" s="24" t="str">
        <f>"78,3840"</f>
        <v>78,3840</v>
      </c>
      <c r="M50" s="23" t="s">
        <v>255</v>
      </c>
    </row>
    <row r="51" spans="1:13" x14ac:dyDescent="0.2">
      <c r="A51" s="23" t="s">
        <v>660</v>
      </c>
      <c r="B51" s="23" t="s">
        <v>661</v>
      </c>
      <c r="C51" s="23" t="s">
        <v>662</v>
      </c>
      <c r="D51" s="23" t="str">
        <f>"0,6822"</f>
        <v>0,6822</v>
      </c>
      <c r="E51" s="35" t="s">
        <v>17</v>
      </c>
      <c r="F51" s="23" t="s">
        <v>18</v>
      </c>
      <c r="G51" s="24" t="s">
        <v>115</v>
      </c>
      <c r="H51" s="24" t="s">
        <v>20</v>
      </c>
      <c r="I51" s="24" t="s">
        <v>23</v>
      </c>
      <c r="J51" s="25"/>
      <c r="K51" s="23" t="str">
        <f>"112,5"</f>
        <v>112,5</v>
      </c>
      <c r="L51" s="24" t="str">
        <f>"76,7475"</f>
        <v>76,7475</v>
      </c>
      <c r="M51" s="23" t="s">
        <v>579</v>
      </c>
    </row>
    <row r="52" spans="1:13" x14ac:dyDescent="0.2">
      <c r="A52" s="23" t="s">
        <v>663</v>
      </c>
      <c r="B52" s="23" t="s">
        <v>664</v>
      </c>
      <c r="C52" s="23" t="s">
        <v>331</v>
      </c>
      <c r="D52" s="23" t="str">
        <f>"0,6843"</f>
        <v>0,6843</v>
      </c>
      <c r="E52" s="23" t="s">
        <v>17</v>
      </c>
      <c r="F52" s="23" t="s">
        <v>18</v>
      </c>
      <c r="G52" s="25" t="s">
        <v>367</v>
      </c>
      <c r="H52" s="25" t="s">
        <v>367</v>
      </c>
      <c r="I52" s="25" t="s">
        <v>367</v>
      </c>
      <c r="J52" s="25"/>
      <c r="K52" s="23" t="str">
        <f>"0.00"</f>
        <v>0.00</v>
      </c>
      <c r="L52" s="24" t="str">
        <f>"0,0000"</f>
        <v>0,0000</v>
      </c>
      <c r="M52" s="23" t="s">
        <v>665</v>
      </c>
    </row>
    <row r="53" spans="1:13" x14ac:dyDescent="0.2">
      <c r="A53" s="23" t="s">
        <v>666</v>
      </c>
      <c r="B53" s="23" t="s">
        <v>667</v>
      </c>
      <c r="C53" s="23" t="s">
        <v>612</v>
      </c>
      <c r="D53" s="23" t="str">
        <f>"0,6790"</f>
        <v>0,6790</v>
      </c>
      <c r="E53" s="35" t="s">
        <v>17</v>
      </c>
      <c r="F53" s="23" t="s">
        <v>18</v>
      </c>
      <c r="G53" s="25" t="s">
        <v>367</v>
      </c>
      <c r="H53" s="25" t="s">
        <v>367</v>
      </c>
      <c r="I53" s="25" t="s">
        <v>367</v>
      </c>
      <c r="J53" s="25"/>
      <c r="K53" s="23" t="str">
        <f>"0.00"</f>
        <v>0.00</v>
      </c>
      <c r="L53" s="24" t="str">
        <f>"0,0000"</f>
        <v>0,0000</v>
      </c>
      <c r="M53" s="23" t="s">
        <v>668</v>
      </c>
    </row>
    <row r="54" spans="1:13" x14ac:dyDescent="0.2">
      <c r="A54" s="23" t="s">
        <v>669</v>
      </c>
      <c r="B54" s="23" t="s">
        <v>670</v>
      </c>
      <c r="C54" s="23" t="s">
        <v>671</v>
      </c>
      <c r="D54" s="23" t="str">
        <f>"0,6769"</f>
        <v>0,6769</v>
      </c>
      <c r="E54" s="23" t="s">
        <v>31</v>
      </c>
      <c r="F54" s="23" t="s">
        <v>672</v>
      </c>
      <c r="G54" s="24" t="s">
        <v>55</v>
      </c>
      <c r="H54" s="25" t="s">
        <v>21</v>
      </c>
      <c r="I54" s="25" t="s">
        <v>21</v>
      </c>
      <c r="J54" s="25"/>
      <c r="K54" s="23" t="str">
        <f>"115,0"</f>
        <v>115,0</v>
      </c>
      <c r="L54" s="24" t="str">
        <f>"95,3583"</f>
        <v>95,3583</v>
      </c>
      <c r="M54" s="23" t="s">
        <v>98</v>
      </c>
    </row>
    <row r="55" spans="1:13" x14ac:dyDescent="0.2">
      <c r="A55" s="12" t="s">
        <v>673</v>
      </c>
      <c r="B55" s="12" t="s">
        <v>674</v>
      </c>
      <c r="C55" s="12" t="s">
        <v>675</v>
      </c>
      <c r="D55" s="12" t="str">
        <f>"0,6734"</f>
        <v>0,6734</v>
      </c>
      <c r="E55" s="12" t="s">
        <v>17</v>
      </c>
      <c r="F55" s="12" t="s">
        <v>18</v>
      </c>
      <c r="G55" s="13" t="s">
        <v>22</v>
      </c>
      <c r="H55" s="14" t="s">
        <v>23</v>
      </c>
      <c r="I55" s="14" t="s">
        <v>23</v>
      </c>
      <c r="J55" s="14"/>
      <c r="K55" s="12" t="str">
        <f>"107,5"</f>
        <v>107,5</v>
      </c>
      <c r="L55" s="13" t="str">
        <f>"100,8400"</f>
        <v>100,8400</v>
      </c>
      <c r="M55" s="12" t="s">
        <v>676</v>
      </c>
    </row>
    <row r="57" spans="1:13" ht="15" x14ac:dyDescent="0.2">
      <c r="A57" s="36" t="s">
        <v>27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3" x14ac:dyDescent="0.2">
      <c r="A58" s="9" t="s">
        <v>677</v>
      </c>
      <c r="B58" s="9" t="s">
        <v>678</v>
      </c>
      <c r="C58" s="9" t="s">
        <v>366</v>
      </c>
      <c r="D58" s="9" t="str">
        <f>"0,6421"</f>
        <v>0,6421</v>
      </c>
      <c r="E58" s="9" t="s">
        <v>31</v>
      </c>
      <c r="F58" s="9" t="s">
        <v>78</v>
      </c>
      <c r="G58" s="10" t="s">
        <v>131</v>
      </c>
      <c r="H58" s="10" t="s">
        <v>107</v>
      </c>
      <c r="I58" s="10" t="s">
        <v>36</v>
      </c>
      <c r="J58" s="11"/>
      <c r="K58" s="9" t="str">
        <f>"125,0"</f>
        <v>125,0</v>
      </c>
      <c r="L58" s="10" t="str">
        <f>"80,2625"</f>
        <v>80,2625</v>
      </c>
      <c r="M58" s="9" t="s">
        <v>679</v>
      </c>
    </row>
    <row r="59" spans="1:13" x14ac:dyDescent="0.2">
      <c r="A59" s="23" t="s">
        <v>680</v>
      </c>
      <c r="B59" s="23" t="s">
        <v>681</v>
      </c>
      <c r="C59" s="23" t="s">
        <v>682</v>
      </c>
      <c r="D59" s="23" t="str">
        <f>"0,6515"</f>
        <v>0,6515</v>
      </c>
      <c r="E59" s="23" t="s">
        <v>17</v>
      </c>
      <c r="F59" s="23" t="s">
        <v>18</v>
      </c>
      <c r="G59" s="24" t="s">
        <v>48</v>
      </c>
      <c r="H59" s="24" t="s">
        <v>324</v>
      </c>
      <c r="I59" s="25" t="s">
        <v>34</v>
      </c>
      <c r="J59" s="25"/>
      <c r="K59" s="23" t="str">
        <f>"162,5"</f>
        <v>162,5</v>
      </c>
      <c r="L59" s="24" t="str">
        <f>"105,8687"</f>
        <v>105,8687</v>
      </c>
      <c r="M59" s="23" t="s">
        <v>98</v>
      </c>
    </row>
    <row r="60" spans="1:13" x14ac:dyDescent="0.2">
      <c r="A60" s="23" t="s">
        <v>683</v>
      </c>
      <c r="B60" s="23" t="s">
        <v>684</v>
      </c>
      <c r="C60" s="23" t="s">
        <v>470</v>
      </c>
      <c r="D60" s="23" t="str">
        <f>"0,6410"</f>
        <v>0,6410</v>
      </c>
      <c r="E60" s="23" t="s">
        <v>17</v>
      </c>
      <c r="F60" s="23" t="s">
        <v>18</v>
      </c>
      <c r="G60" s="25" t="s">
        <v>36</v>
      </c>
      <c r="H60" s="24" t="s">
        <v>122</v>
      </c>
      <c r="I60" s="24" t="s">
        <v>25</v>
      </c>
      <c r="J60" s="25"/>
      <c r="K60" s="23" t="str">
        <f>"140,0"</f>
        <v>140,0</v>
      </c>
      <c r="L60" s="24" t="str">
        <f>"89,7400"</f>
        <v>89,7400</v>
      </c>
      <c r="M60" s="23" t="s">
        <v>685</v>
      </c>
    </row>
    <row r="61" spans="1:13" x14ac:dyDescent="0.2">
      <c r="A61" s="23" t="s">
        <v>686</v>
      </c>
      <c r="B61" s="23" t="s">
        <v>410</v>
      </c>
      <c r="C61" s="23" t="s">
        <v>687</v>
      </c>
      <c r="D61" s="23" t="str">
        <f>"0,6487"</f>
        <v>0,6487</v>
      </c>
      <c r="E61" s="23" t="s">
        <v>17</v>
      </c>
      <c r="F61" s="23" t="s">
        <v>18</v>
      </c>
      <c r="G61" s="25" t="s">
        <v>24</v>
      </c>
      <c r="H61" s="24" t="s">
        <v>122</v>
      </c>
      <c r="I61" s="25" t="s">
        <v>164</v>
      </c>
      <c r="J61" s="25"/>
      <c r="K61" s="23" t="str">
        <f>"135,0"</f>
        <v>135,0</v>
      </c>
      <c r="L61" s="24" t="str">
        <f>"87,5745"</f>
        <v>87,5745</v>
      </c>
      <c r="M61" s="23" t="s">
        <v>145</v>
      </c>
    </row>
    <row r="62" spans="1:13" x14ac:dyDescent="0.2">
      <c r="A62" s="23" t="s">
        <v>688</v>
      </c>
      <c r="B62" s="23" t="s">
        <v>689</v>
      </c>
      <c r="C62" s="23" t="s">
        <v>690</v>
      </c>
      <c r="D62" s="23" t="str">
        <f>"0,6391"</f>
        <v>0,6391</v>
      </c>
      <c r="E62" s="23" t="s">
        <v>17</v>
      </c>
      <c r="F62" s="23" t="s">
        <v>18</v>
      </c>
      <c r="G62" s="24" t="s">
        <v>36</v>
      </c>
      <c r="H62" s="24" t="s">
        <v>24</v>
      </c>
      <c r="I62" s="24" t="s">
        <v>122</v>
      </c>
      <c r="J62" s="25"/>
      <c r="K62" s="23" t="str">
        <f>"135,0"</f>
        <v>135,0</v>
      </c>
      <c r="L62" s="24" t="str">
        <f>"86,2785"</f>
        <v>86,2785</v>
      </c>
      <c r="M62" s="23" t="s">
        <v>579</v>
      </c>
    </row>
    <row r="63" spans="1:13" x14ac:dyDescent="0.2">
      <c r="A63" s="23" t="s">
        <v>691</v>
      </c>
      <c r="B63" s="23" t="s">
        <v>692</v>
      </c>
      <c r="C63" s="23" t="s">
        <v>358</v>
      </c>
      <c r="D63" s="23" t="str">
        <f>"0,6406"</f>
        <v>0,6406</v>
      </c>
      <c r="E63" s="23" t="s">
        <v>17</v>
      </c>
      <c r="F63" s="23" t="s">
        <v>18</v>
      </c>
      <c r="G63" s="24" t="s">
        <v>21</v>
      </c>
      <c r="H63" s="24" t="s">
        <v>36</v>
      </c>
      <c r="I63" s="25" t="s">
        <v>122</v>
      </c>
      <c r="J63" s="25"/>
      <c r="K63" s="23" t="str">
        <f>"125,0"</f>
        <v>125,0</v>
      </c>
      <c r="L63" s="24" t="str">
        <f>"80,0750"</f>
        <v>80,0750</v>
      </c>
      <c r="M63" s="23" t="s">
        <v>693</v>
      </c>
    </row>
    <row r="64" spans="1:13" x14ac:dyDescent="0.2">
      <c r="A64" s="23" t="s">
        <v>694</v>
      </c>
      <c r="B64" s="23" t="s">
        <v>695</v>
      </c>
      <c r="C64" s="23" t="s">
        <v>148</v>
      </c>
      <c r="D64" s="23" t="str">
        <f>"0,6424"</f>
        <v>0,6424</v>
      </c>
      <c r="E64" s="23" t="s">
        <v>17</v>
      </c>
      <c r="F64" s="23" t="s">
        <v>18</v>
      </c>
      <c r="G64" s="24" t="s">
        <v>107</v>
      </c>
      <c r="H64" s="25" t="s">
        <v>122</v>
      </c>
      <c r="I64" s="25" t="s">
        <v>122</v>
      </c>
      <c r="J64" s="25"/>
      <c r="K64" s="23" t="str">
        <f>"122,5"</f>
        <v>122,5</v>
      </c>
      <c r="L64" s="24" t="str">
        <f>"78,6940"</f>
        <v>78,6940</v>
      </c>
      <c r="M64" s="23" t="s">
        <v>696</v>
      </c>
    </row>
    <row r="65" spans="1:13" x14ac:dyDescent="0.2">
      <c r="A65" s="23" t="s">
        <v>697</v>
      </c>
      <c r="B65" s="23" t="s">
        <v>698</v>
      </c>
      <c r="C65" s="23" t="s">
        <v>682</v>
      </c>
      <c r="D65" s="23" t="str">
        <f>"0,6515"</f>
        <v>0,6515</v>
      </c>
      <c r="E65" s="23" t="s">
        <v>31</v>
      </c>
      <c r="F65" s="23" t="s">
        <v>699</v>
      </c>
      <c r="G65" s="24" t="s">
        <v>20</v>
      </c>
      <c r="H65" s="25" t="s">
        <v>21</v>
      </c>
      <c r="I65" s="25" t="s">
        <v>21</v>
      </c>
      <c r="J65" s="25"/>
      <c r="K65" s="23" t="str">
        <f>"110,0"</f>
        <v>110,0</v>
      </c>
      <c r="L65" s="24" t="str">
        <f>"71,6650"</f>
        <v>71,6650</v>
      </c>
      <c r="M65" s="23" t="s">
        <v>145</v>
      </c>
    </row>
    <row r="66" spans="1:13" x14ac:dyDescent="0.2">
      <c r="A66" s="23" t="s">
        <v>700</v>
      </c>
      <c r="B66" s="23" t="s">
        <v>701</v>
      </c>
      <c r="C66" s="23" t="s">
        <v>702</v>
      </c>
      <c r="D66" s="23" t="str">
        <f>"0,6507"</f>
        <v>0,6507</v>
      </c>
      <c r="E66" s="23" t="s">
        <v>31</v>
      </c>
      <c r="F66" s="23" t="s">
        <v>703</v>
      </c>
      <c r="G66" s="25" t="s">
        <v>87</v>
      </c>
      <c r="H66" s="25" t="s">
        <v>87</v>
      </c>
      <c r="I66" s="25" t="s">
        <v>87</v>
      </c>
      <c r="J66" s="25"/>
      <c r="K66" s="23" t="str">
        <f>"0.00"</f>
        <v>0.00</v>
      </c>
      <c r="L66" s="24" t="str">
        <f>"0,0000"</f>
        <v>0,0000</v>
      </c>
      <c r="M66" s="23" t="s">
        <v>616</v>
      </c>
    </row>
    <row r="67" spans="1:13" x14ac:dyDescent="0.2">
      <c r="A67" s="23" t="s">
        <v>704</v>
      </c>
      <c r="B67" s="23" t="s">
        <v>705</v>
      </c>
      <c r="C67" s="23" t="s">
        <v>706</v>
      </c>
      <c r="D67" s="23" t="str">
        <f>"0,6447"</f>
        <v>0,6447</v>
      </c>
      <c r="E67" s="23" t="s">
        <v>17</v>
      </c>
      <c r="F67" s="23" t="s">
        <v>18</v>
      </c>
      <c r="G67" s="24" t="s">
        <v>25</v>
      </c>
      <c r="H67" s="25" t="s">
        <v>47</v>
      </c>
      <c r="I67" s="25" t="s">
        <v>47</v>
      </c>
      <c r="J67" s="25"/>
      <c r="K67" s="23" t="str">
        <f>"140,0"</f>
        <v>140,0</v>
      </c>
      <c r="L67" s="24" t="str">
        <f>"90,2580"</f>
        <v>90,2580</v>
      </c>
      <c r="M67" s="35" t="s">
        <v>1173</v>
      </c>
    </row>
    <row r="68" spans="1:13" x14ac:dyDescent="0.2">
      <c r="A68" s="23" t="s">
        <v>707</v>
      </c>
      <c r="B68" s="23" t="s">
        <v>708</v>
      </c>
      <c r="C68" s="23" t="s">
        <v>709</v>
      </c>
      <c r="D68" s="23" t="str">
        <f>"0,6532"</f>
        <v>0,6532</v>
      </c>
      <c r="E68" s="23" t="s">
        <v>31</v>
      </c>
      <c r="F68" s="23" t="s">
        <v>710</v>
      </c>
      <c r="G68" s="24" t="s">
        <v>164</v>
      </c>
      <c r="H68" s="24" t="s">
        <v>54</v>
      </c>
      <c r="I68" s="25" t="s">
        <v>47</v>
      </c>
      <c r="J68" s="25"/>
      <c r="K68" s="23" t="str">
        <f>"142,5"</f>
        <v>142,5</v>
      </c>
      <c r="L68" s="24" t="str">
        <f>"100,7136"</f>
        <v>100,7136</v>
      </c>
      <c r="M68" s="23" t="s">
        <v>145</v>
      </c>
    </row>
    <row r="69" spans="1:13" x14ac:dyDescent="0.2">
      <c r="A69" s="23" t="s">
        <v>711</v>
      </c>
      <c r="B69" s="23" t="s">
        <v>712</v>
      </c>
      <c r="C69" s="23" t="s">
        <v>352</v>
      </c>
      <c r="D69" s="23" t="str">
        <f>"0,6483"</f>
        <v>0,6483</v>
      </c>
      <c r="E69" s="23" t="s">
        <v>17</v>
      </c>
      <c r="F69" s="23" t="s">
        <v>18</v>
      </c>
      <c r="G69" s="24" t="s">
        <v>36</v>
      </c>
      <c r="H69" s="24" t="s">
        <v>367</v>
      </c>
      <c r="I69" s="24" t="s">
        <v>122</v>
      </c>
      <c r="J69" s="25"/>
      <c r="K69" s="23" t="str">
        <f>"135,0"</f>
        <v>135,0</v>
      </c>
      <c r="L69" s="24" t="str">
        <f>"96,0100"</f>
        <v>96,0100</v>
      </c>
      <c r="M69" s="23" t="s">
        <v>98</v>
      </c>
    </row>
    <row r="70" spans="1:13" x14ac:dyDescent="0.2">
      <c r="A70" s="23" t="s">
        <v>713</v>
      </c>
      <c r="B70" s="23" t="s">
        <v>714</v>
      </c>
      <c r="C70" s="23" t="s">
        <v>715</v>
      </c>
      <c r="D70" s="23" t="str">
        <f>"0,6436"</f>
        <v>0,6436</v>
      </c>
      <c r="E70" s="23" t="s">
        <v>31</v>
      </c>
      <c r="F70" s="23" t="s">
        <v>412</v>
      </c>
      <c r="G70" s="24" t="s">
        <v>367</v>
      </c>
      <c r="H70" s="25" t="s">
        <v>25</v>
      </c>
      <c r="I70" s="25" t="s">
        <v>25</v>
      </c>
      <c r="J70" s="25"/>
      <c r="K70" s="23" t="str">
        <f>"132,5"</f>
        <v>132,5</v>
      </c>
      <c r="L70" s="24" t="str">
        <f>"94,9133"</f>
        <v>94,9133</v>
      </c>
      <c r="M70" s="23" t="s">
        <v>716</v>
      </c>
    </row>
    <row r="71" spans="1:13" x14ac:dyDescent="0.2">
      <c r="A71" s="12" t="s">
        <v>717</v>
      </c>
      <c r="B71" s="12" t="s">
        <v>718</v>
      </c>
      <c r="C71" s="12" t="s">
        <v>719</v>
      </c>
      <c r="D71" s="12" t="str">
        <f>"0,6545"</f>
        <v>0,6545</v>
      </c>
      <c r="E71" s="12" t="s">
        <v>17</v>
      </c>
      <c r="F71" s="12" t="s">
        <v>18</v>
      </c>
      <c r="G71" s="14" t="s">
        <v>70</v>
      </c>
      <c r="H71" s="14" t="s">
        <v>19</v>
      </c>
      <c r="I71" s="14" t="s">
        <v>19</v>
      </c>
      <c r="J71" s="14"/>
      <c r="K71" s="12" t="str">
        <f>"0.00"</f>
        <v>0.00</v>
      </c>
      <c r="L71" s="13" t="str">
        <f>"0,0000"</f>
        <v>0,0000</v>
      </c>
      <c r="M71" s="12" t="s">
        <v>98</v>
      </c>
    </row>
    <row r="73" spans="1:13" ht="15" x14ac:dyDescent="0.2">
      <c r="A73" s="36" t="s">
        <v>39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3" x14ac:dyDescent="0.2">
      <c r="A74" s="9" t="s">
        <v>720</v>
      </c>
      <c r="B74" s="9" t="s">
        <v>721</v>
      </c>
      <c r="C74" s="9" t="s">
        <v>501</v>
      </c>
      <c r="D74" s="9" t="str">
        <f>"0,6169"</f>
        <v>0,6169</v>
      </c>
      <c r="E74" s="9" t="s">
        <v>31</v>
      </c>
      <c r="F74" s="9" t="s">
        <v>710</v>
      </c>
      <c r="G74" s="10" t="s">
        <v>94</v>
      </c>
      <c r="H74" s="10" t="s">
        <v>198</v>
      </c>
      <c r="I74" s="10" t="s">
        <v>73</v>
      </c>
      <c r="J74" s="11"/>
      <c r="K74" s="9" t="str">
        <f>"82,5"</f>
        <v>82,5</v>
      </c>
      <c r="L74" s="10" t="str">
        <f>"50,8943"</f>
        <v>50,8943</v>
      </c>
      <c r="M74" s="9" t="s">
        <v>722</v>
      </c>
    </row>
    <row r="75" spans="1:13" x14ac:dyDescent="0.2">
      <c r="A75" s="23" t="s">
        <v>723</v>
      </c>
      <c r="B75" s="23" t="s">
        <v>724</v>
      </c>
      <c r="C75" s="23" t="s">
        <v>725</v>
      </c>
      <c r="D75" s="23" t="str">
        <f>"0,6356"</f>
        <v>0,6356</v>
      </c>
      <c r="E75" s="23" t="s">
        <v>31</v>
      </c>
      <c r="F75" s="23" t="s">
        <v>206</v>
      </c>
      <c r="G75" s="24" t="s">
        <v>24</v>
      </c>
      <c r="H75" s="24" t="s">
        <v>122</v>
      </c>
      <c r="I75" s="24" t="s">
        <v>25</v>
      </c>
      <c r="J75" s="25" t="s">
        <v>54</v>
      </c>
      <c r="K75" s="23" t="str">
        <f>"140,0"</f>
        <v>140,0</v>
      </c>
      <c r="L75" s="24" t="str">
        <f>"88,9840"</f>
        <v>88,9840</v>
      </c>
      <c r="M75" s="23" t="s">
        <v>50</v>
      </c>
    </row>
    <row r="76" spans="1:13" x14ac:dyDescent="0.2">
      <c r="A76" s="23" t="s">
        <v>726</v>
      </c>
      <c r="B76" s="23" t="s">
        <v>727</v>
      </c>
      <c r="C76" s="23" t="s">
        <v>728</v>
      </c>
      <c r="D76" s="23" t="str">
        <f>"0,6101"</f>
        <v>0,6101</v>
      </c>
      <c r="E76" s="35" t="s">
        <v>17</v>
      </c>
      <c r="F76" s="23" t="s">
        <v>18</v>
      </c>
      <c r="G76" s="24" t="s">
        <v>47</v>
      </c>
      <c r="H76" s="24" t="s">
        <v>137</v>
      </c>
      <c r="I76" s="25" t="s">
        <v>34</v>
      </c>
      <c r="J76" s="25"/>
      <c r="K76" s="23" t="str">
        <f>"165,0"</f>
        <v>165,0</v>
      </c>
      <c r="L76" s="24" t="str">
        <f>"100,6665"</f>
        <v>100,6665</v>
      </c>
      <c r="M76" s="23" t="s">
        <v>729</v>
      </c>
    </row>
    <row r="77" spans="1:13" x14ac:dyDescent="0.2">
      <c r="A77" s="23" t="s">
        <v>730</v>
      </c>
      <c r="B77" s="23" t="s">
        <v>731</v>
      </c>
      <c r="C77" s="23" t="s">
        <v>732</v>
      </c>
      <c r="D77" s="23" t="str">
        <f>"0,6144"</f>
        <v>0,6144</v>
      </c>
      <c r="E77" s="23" t="s">
        <v>17</v>
      </c>
      <c r="F77" s="23" t="s">
        <v>18</v>
      </c>
      <c r="G77" s="24" t="s">
        <v>33</v>
      </c>
      <c r="H77" s="24" t="s">
        <v>137</v>
      </c>
      <c r="I77" s="24" t="s">
        <v>34</v>
      </c>
      <c r="J77" s="25"/>
      <c r="K77" s="23" t="str">
        <f>"170,0"</f>
        <v>170,0</v>
      </c>
      <c r="L77" s="24" t="str">
        <f>"104,4480"</f>
        <v>104,4480</v>
      </c>
      <c r="M77" s="23" t="s">
        <v>733</v>
      </c>
    </row>
    <row r="78" spans="1:13" x14ac:dyDescent="0.2">
      <c r="A78" s="23" t="s">
        <v>734</v>
      </c>
      <c r="B78" s="23" t="s">
        <v>735</v>
      </c>
      <c r="C78" s="23" t="s">
        <v>736</v>
      </c>
      <c r="D78" s="23" t="str">
        <f>"0,6126"</f>
        <v>0,6126</v>
      </c>
      <c r="E78" s="23" t="s">
        <v>17</v>
      </c>
      <c r="F78" s="23" t="s">
        <v>18</v>
      </c>
      <c r="G78" s="24" t="s">
        <v>33</v>
      </c>
      <c r="H78" s="24" t="s">
        <v>34</v>
      </c>
      <c r="I78" s="25" t="s">
        <v>35</v>
      </c>
      <c r="J78" s="25"/>
      <c r="K78" s="23" t="str">
        <f>"170,0"</f>
        <v>170,0</v>
      </c>
      <c r="L78" s="24" t="str">
        <f>"104,1420"</f>
        <v>104,1420</v>
      </c>
      <c r="M78" s="23" t="s">
        <v>145</v>
      </c>
    </row>
    <row r="79" spans="1:13" x14ac:dyDescent="0.2">
      <c r="A79" s="23" t="s">
        <v>737</v>
      </c>
      <c r="B79" s="23" t="s">
        <v>738</v>
      </c>
      <c r="C79" s="23" t="s">
        <v>739</v>
      </c>
      <c r="D79" s="23" t="str">
        <f>"0,6088"</f>
        <v>0,6088</v>
      </c>
      <c r="E79" s="23" t="s">
        <v>17</v>
      </c>
      <c r="F79" s="23" t="s">
        <v>740</v>
      </c>
      <c r="G79" s="24" t="s">
        <v>137</v>
      </c>
      <c r="H79" s="24" t="s">
        <v>34</v>
      </c>
      <c r="I79" s="25" t="s">
        <v>133</v>
      </c>
      <c r="J79" s="25"/>
      <c r="K79" s="23" t="str">
        <f>"170,0"</f>
        <v>170,0</v>
      </c>
      <c r="L79" s="24" t="str">
        <f>"103,4960"</f>
        <v>103,4960</v>
      </c>
      <c r="M79" s="23" t="s">
        <v>145</v>
      </c>
    </row>
    <row r="80" spans="1:13" x14ac:dyDescent="0.2">
      <c r="A80" s="23" t="s">
        <v>741</v>
      </c>
      <c r="B80" s="23" t="s">
        <v>742</v>
      </c>
      <c r="C80" s="23" t="s">
        <v>736</v>
      </c>
      <c r="D80" s="23" t="str">
        <f>"0,6126"</f>
        <v>0,6126</v>
      </c>
      <c r="E80" s="23" t="s">
        <v>17</v>
      </c>
      <c r="F80" s="23" t="s">
        <v>18</v>
      </c>
      <c r="G80" s="24" t="s">
        <v>130</v>
      </c>
      <c r="H80" s="24" t="s">
        <v>48</v>
      </c>
      <c r="I80" s="25" t="s">
        <v>137</v>
      </c>
      <c r="J80" s="25"/>
      <c r="K80" s="23" t="str">
        <f>"155,0"</f>
        <v>155,0</v>
      </c>
      <c r="L80" s="24" t="str">
        <f>"94,9530"</f>
        <v>94,9530</v>
      </c>
      <c r="M80" s="23" t="s">
        <v>98</v>
      </c>
    </row>
    <row r="81" spans="1:13" x14ac:dyDescent="0.2">
      <c r="A81" s="23" t="s">
        <v>743</v>
      </c>
      <c r="B81" s="23" t="s">
        <v>744</v>
      </c>
      <c r="C81" s="23" t="s">
        <v>745</v>
      </c>
      <c r="D81" s="23" t="str">
        <f>"0,6338"</f>
        <v>0,6338</v>
      </c>
      <c r="E81" s="23" t="s">
        <v>31</v>
      </c>
      <c r="F81" s="23" t="s">
        <v>746</v>
      </c>
      <c r="G81" s="24" t="s">
        <v>171</v>
      </c>
      <c r="H81" s="25" t="s">
        <v>48</v>
      </c>
      <c r="I81" s="25" t="s">
        <v>48</v>
      </c>
      <c r="J81" s="25"/>
      <c r="K81" s="23" t="str">
        <f>"145,0"</f>
        <v>145,0</v>
      </c>
      <c r="L81" s="24" t="str">
        <f>"91,9010"</f>
        <v>91,9010</v>
      </c>
      <c r="M81" s="23" t="s">
        <v>98</v>
      </c>
    </row>
    <row r="82" spans="1:13" x14ac:dyDescent="0.2">
      <c r="A82" s="23" t="s">
        <v>747</v>
      </c>
      <c r="B82" s="23" t="s">
        <v>748</v>
      </c>
      <c r="C82" s="23" t="s">
        <v>501</v>
      </c>
      <c r="D82" s="23" t="str">
        <f>"0,6169"</f>
        <v>0,6169</v>
      </c>
      <c r="E82" s="23" t="s">
        <v>17</v>
      </c>
      <c r="F82" s="23" t="s">
        <v>18</v>
      </c>
      <c r="G82" s="24" t="s">
        <v>367</v>
      </c>
      <c r="H82" s="25" t="s">
        <v>164</v>
      </c>
      <c r="I82" s="25" t="s">
        <v>164</v>
      </c>
      <c r="J82" s="25"/>
      <c r="K82" s="23" t="str">
        <f>"132,5"</f>
        <v>132,5</v>
      </c>
      <c r="L82" s="24" t="str">
        <f>"81,7393"</f>
        <v>81,7393</v>
      </c>
      <c r="M82" s="23" t="s">
        <v>98</v>
      </c>
    </row>
    <row r="83" spans="1:13" x14ac:dyDescent="0.2">
      <c r="A83" s="23" t="s">
        <v>749</v>
      </c>
      <c r="B83" s="23" t="s">
        <v>750</v>
      </c>
      <c r="C83" s="23" t="s">
        <v>422</v>
      </c>
      <c r="D83" s="23" t="str">
        <f>"0,6086"</f>
        <v>0,6086</v>
      </c>
      <c r="E83" s="23" t="s">
        <v>751</v>
      </c>
      <c r="F83" s="23" t="s">
        <v>740</v>
      </c>
      <c r="G83" s="25" t="s">
        <v>33</v>
      </c>
      <c r="H83" s="25" t="s">
        <v>137</v>
      </c>
      <c r="I83" s="25" t="s">
        <v>137</v>
      </c>
      <c r="J83" s="25"/>
      <c r="K83" s="23" t="str">
        <f>"0.00"</f>
        <v>0.00</v>
      </c>
      <c r="L83" s="24" t="str">
        <f>"0,0000"</f>
        <v>0,0000</v>
      </c>
      <c r="M83" s="23" t="s">
        <v>752</v>
      </c>
    </row>
    <row r="84" spans="1:13" x14ac:dyDescent="0.2">
      <c r="A84" s="23" t="s">
        <v>730</v>
      </c>
      <c r="B84" s="23" t="s">
        <v>753</v>
      </c>
      <c r="C84" s="23" t="s">
        <v>732</v>
      </c>
      <c r="D84" s="23" t="str">
        <f>"0,6144"</f>
        <v>0,6144</v>
      </c>
      <c r="E84" s="23" t="s">
        <v>17</v>
      </c>
      <c r="F84" s="23" t="s">
        <v>18</v>
      </c>
      <c r="G84" s="24" t="s">
        <v>33</v>
      </c>
      <c r="H84" s="24" t="s">
        <v>137</v>
      </c>
      <c r="I84" s="24" t="s">
        <v>34</v>
      </c>
      <c r="J84" s="25"/>
      <c r="K84" s="23" t="str">
        <f>"170,0"</f>
        <v>170,0</v>
      </c>
      <c r="L84" s="24" t="str">
        <f>"106,5370"</f>
        <v>106,5370</v>
      </c>
      <c r="M84" s="23" t="s">
        <v>733</v>
      </c>
    </row>
    <row r="85" spans="1:13" x14ac:dyDescent="0.2">
      <c r="A85" s="23" t="s">
        <v>754</v>
      </c>
      <c r="B85" s="23" t="s">
        <v>755</v>
      </c>
      <c r="C85" s="23" t="s">
        <v>422</v>
      </c>
      <c r="D85" s="23" t="str">
        <f>"0,6086"</f>
        <v>0,6086</v>
      </c>
      <c r="E85" s="23" t="s">
        <v>17</v>
      </c>
      <c r="F85" s="23" t="s">
        <v>18</v>
      </c>
      <c r="G85" s="24" t="s">
        <v>137</v>
      </c>
      <c r="H85" s="24" t="s">
        <v>34</v>
      </c>
      <c r="I85" s="25" t="s">
        <v>133</v>
      </c>
      <c r="J85" s="25"/>
      <c r="K85" s="23" t="str">
        <f>"170,0"</f>
        <v>170,0</v>
      </c>
      <c r="L85" s="24" t="str">
        <f>"106,6693"</f>
        <v>106,6693</v>
      </c>
      <c r="M85" s="23" t="s">
        <v>756</v>
      </c>
    </row>
    <row r="86" spans="1:13" x14ac:dyDescent="0.2">
      <c r="A86" s="23" t="s">
        <v>757</v>
      </c>
      <c r="B86" s="23" t="s">
        <v>758</v>
      </c>
      <c r="C86" s="23" t="s">
        <v>759</v>
      </c>
      <c r="D86" s="23" t="str">
        <f>"0,6106"</f>
        <v>0,6106</v>
      </c>
      <c r="E86" s="23" t="s">
        <v>31</v>
      </c>
      <c r="F86" s="23" t="s">
        <v>381</v>
      </c>
      <c r="G86" s="24" t="s">
        <v>130</v>
      </c>
      <c r="H86" s="24" t="s">
        <v>253</v>
      </c>
      <c r="I86" s="25" t="s">
        <v>48</v>
      </c>
      <c r="J86" s="25"/>
      <c r="K86" s="23" t="str">
        <f>"152,5"</f>
        <v>152,5</v>
      </c>
      <c r="L86" s="24" t="str">
        <f>"97,1205"</f>
        <v>97,1205</v>
      </c>
      <c r="M86" s="23" t="s">
        <v>632</v>
      </c>
    </row>
    <row r="87" spans="1:13" x14ac:dyDescent="0.2">
      <c r="A87" s="12" t="s">
        <v>760</v>
      </c>
      <c r="B87" s="12" t="s">
        <v>761</v>
      </c>
      <c r="C87" s="12" t="s">
        <v>762</v>
      </c>
      <c r="D87" s="12" t="str">
        <f>"0,6194"</f>
        <v>0,6194</v>
      </c>
      <c r="E87" s="12" t="s">
        <v>17</v>
      </c>
      <c r="F87" s="12" t="s">
        <v>18</v>
      </c>
      <c r="G87" s="13" t="s">
        <v>24</v>
      </c>
      <c r="H87" s="13" t="s">
        <v>25</v>
      </c>
      <c r="I87" s="14" t="s">
        <v>47</v>
      </c>
      <c r="J87" s="14"/>
      <c r="K87" s="12" t="str">
        <f>"140,0"</f>
        <v>140,0</v>
      </c>
      <c r="L87" s="13" t="str">
        <f>"92,6127"</f>
        <v>92,6127</v>
      </c>
      <c r="M87" s="12" t="s">
        <v>763</v>
      </c>
    </row>
    <row r="89" spans="1:13" ht="15" x14ac:dyDescent="0.2">
      <c r="A89" s="36" t="s">
        <v>158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3" x14ac:dyDescent="0.2">
      <c r="A90" s="9" t="s">
        <v>764</v>
      </c>
      <c r="B90" s="9" t="s">
        <v>765</v>
      </c>
      <c r="C90" s="9" t="s">
        <v>274</v>
      </c>
      <c r="D90" s="9" t="str">
        <f>"0,5902"</f>
        <v>0,5902</v>
      </c>
      <c r="E90" s="9" t="s">
        <v>766</v>
      </c>
      <c r="F90" s="9" t="s">
        <v>767</v>
      </c>
      <c r="G90" s="10" t="s">
        <v>33</v>
      </c>
      <c r="H90" s="10" t="s">
        <v>34</v>
      </c>
      <c r="I90" s="10" t="s">
        <v>133</v>
      </c>
      <c r="J90" s="11"/>
      <c r="K90" s="9" t="str">
        <f>"172,5"</f>
        <v>172,5</v>
      </c>
      <c r="L90" s="10" t="str">
        <f>"101,8095"</f>
        <v>101,8095</v>
      </c>
      <c r="M90" s="9" t="s">
        <v>768</v>
      </c>
    </row>
    <row r="91" spans="1:13" x14ac:dyDescent="0.2">
      <c r="A91" s="23" t="s">
        <v>770</v>
      </c>
      <c r="B91" s="23" t="s">
        <v>771</v>
      </c>
      <c r="C91" s="23" t="s">
        <v>772</v>
      </c>
      <c r="D91" s="23" t="str">
        <f>"0,5903"</f>
        <v>0,5903</v>
      </c>
      <c r="E91" s="23" t="s">
        <v>31</v>
      </c>
      <c r="F91" s="23" t="s">
        <v>746</v>
      </c>
      <c r="G91" s="24" t="s">
        <v>34</v>
      </c>
      <c r="H91" s="24" t="s">
        <v>38</v>
      </c>
      <c r="I91" s="25" t="s">
        <v>149</v>
      </c>
      <c r="J91" s="25"/>
      <c r="K91" s="23" t="str">
        <f>"180,0"</f>
        <v>180,0</v>
      </c>
      <c r="L91" s="24" t="str">
        <f>"106,2540"</f>
        <v>106,2540</v>
      </c>
      <c r="M91" s="23" t="s">
        <v>98</v>
      </c>
    </row>
    <row r="92" spans="1:13" x14ac:dyDescent="0.2">
      <c r="A92" s="23" t="s">
        <v>773</v>
      </c>
      <c r="B92" s="23" t="s">
        <v>774</v>
      </c>
      <c r="C92" s="23" t="s">
        <v>775</v>
      </c>
      <c r="D92" s="23" t="str">
        <f>"0,5988"</f>
        <v>0,5988</v>
      </c>
      <c r="E92" s="23" t="s">
        <v>31</v>
      </c>
      <c r="F92" s="23" t="s">
        <v>43</v>
      </c>
      <c r="G92" s="24" t="s">
        <v>34</v>
      </c>
      <c r="H92" s="24" t="s">
        <v>35</v>
      </c>
      <c r="I92" s="25" t="s">
        <v>38</v>
      </c>
      <c r="J92" s="25"/>
      <c r="K92" s="23" t="str">
        <f>"175,0"</f>
        <v>175,0</v>
      </c>
      <c r="L92" s="24" t="str">
        <f>"104,7900"</f>
        <v>104,7900</v>
      </c>
      <c r="M92" s="23" t="s">
        <v>776</v>
      </c>
    </row>
    <row r="93" spans="1:13" x14ac:dyDescent="0.2">
      <c r="A93" s="23" t="s">
        <v>777</v>
      </c>
      <c r="B93" s="23" t="s">
        <v>778</v>
      </c>
      <c r="C93" s="23" t="s">
        <v>779</v>
      </c>
      <c r="D93" s="23" t="str">
        <f>"0,5885"</f>
        <v>0,5885</v>
      </c>
      <c r="E93" s="23" t="s">
        <v>31</v>
      </c>
      <c r="F93" s="23" t="s">
        <v>780</v>
      </c>
      <c r="G93" s="25" t="s">
        <v>44</v>
      </c>
      <c r="H93" s="25" t="s">
        <v>144</v>
      </c>
      <c r="I93" s="25" t="s">
        <v>144</v>
      </c>
      <c r="J93" s="25"/>
      <c r="K93" s="23" t="str">
        <f>"0.00"</f>
        <v>0.00</v>
      </c>
      <c r="L93" s="24" t="str">
        <f>"0,0000"</f>
        <v>0,0000</v>
      </c>
      <c r="M93" s="23" t="s">
        <v>781</v>
      </c>
    </row>
    <row r="94" spans="1:13" x14ac:dyDescent="0.2">
      <c r="A94" s="23" t="s">
        <v>782</v>
      </c>
      <c r="B94" s="23" t="s">
        <v>783</v>
      </c>
      <c r="C94" s="23" t="s">
        <v>784</v>
      </c>
      <c r="D94" s="23" t="str">
        <f>"0,5888"</f>
        <v>0,5888</v>
      </c>
      <c r="E94" s="23" t="s">
        <v>17</v>
      </c>
      <c r="F94" s="23" t="s">
        <v>18</v>
      </c>
      <c r="G94" s="24" t="s">
        <v>133</v>
      </c>
      <c r="H94" s="24" t="s">
        <v>35</v>
      </c>
      <c r="I94" s="24" t="s">
        <v>360</v>
      </c>
      <c r="J94" s="25"/>
      <c r="K94" s="23" t="str">
        <f>"177,5"</f>
        <v>177,5</v>
      </c>
      <c r="L94" s="24" t="str">
        <f>"105,5571"</f>
        <v>105,5571</v>
      </c>
      <c r="M94" s="23" t="s">
        <v>145</v>
      </c>
    </row>
    <row r="95" spans="1:13" x14ac:dyDescent="0.2">
      <c r="A95" s="23" t="s">
        <v>785</v>
      </c>
      <c r="B95" s="23" t="s">
        <v>786</v>
      </c>
      <c r="C95" s="23" t="s">
        <v>787</v>
      </c>
      <c r="D95" s="23" t="str">
        <f>"0,5907"</f>
        <v>0,5907</v>
      </c>
      <c r="E95" s="23" t="s">
        <v>17</v>
      </c>
      <c r="F95" s="23" t="s">
        <v>18</v>
      </c>
      <c r="G95" s="24" t="s">
        <v>133</v>
      </c>
      <c r="H95" s="25" t="s">
        <v>475</v>
      </c>
      <c r="I95" s="25" t="s">
        <v>475</v>
      </c>
      <c r="J95" s="25"/>
      <c r="K95" s="23" t="str">
        <f>"172,5"</f>
        <v>172,5</v>
      </c>
      <c r="L95" s="24" t="str">
        <f>"113,4100"</f>
        <v>113,4100</v>
      </c>
      <c r="M95" s="23" t="s">
        <v>788</v>
      </c>
    </row>
    <row r="96" spans="1:13" x14ac:dyDescent="0.2">
      <c r="A96" s="23" t="s">
        <v>789</v>
      </c>
      <c r="B96" s="23" t="s">
        <v>790</v>
      </c>
      <c r="C96" s="23" t="s">
        <v>791</v>
      </c>
      <c r="D96" s="23" t="str">
        <f>"0,5950"</f>
        <v>0,5950</v>
      </c>
      <c r="E96" s="23" t="s">
        <v>17</v>
      </c>
      <c r="F96" s="23" t="s">
        <v>18</v>
      </c>
      <c r="G96" s="25" t="s">
        <v>48</v>
      </c>
      <c r="H96" s="24" t="s">
        <v>483</v>
      </c>
      <c r="I96" s="25" t="s">
        <v>33</v>
      </c>
      <c r="J96" s="25"/>
      <c r="K96" s="23" t="str">
        <f>"157,5"</f>
        <v>157,5</v>
      </c>
      <c r="L96" s="24" t="str">
        <f>"104,3020"</f>
        <v>104,3020</v>
      </c>
      <c r="M96" s="23" t="s">
        <v>275</v>
      </c>
    </row>
    <row r="97" spans="1:13" x14ac:dyDescent="0.2">
      <c r="A97" s="23" t="s">
        <v>792</v>
      </c>
      <c r="B97" s="23" t="s">
        <v>793</v>
      </c>
      <c r="C97" s="23" t="s">
        <v>794</v>
      </c>
      <c r="D97" s="23" t="str">
        <f>"0,5916"</f>
        <v>0,5916</v>
      </c>
      <c r="E97" s="23" t="s">
        <v>17</v>
      </c>
      <c r="F97" s="23" t="s">
        <v>18</v>
      </c>
      <c r="G97" s="24" t="s">
        <v>21</v>
      </c>
      <c r="H97" s="24" t="s">
        <v>36</v>
      </c>
      <c r="I97" s="25" t="s">
        <v>367</v>
      </c>
      <c r="J97" s="25"/>
      <c r="K97" s="23" t="str">
        <f>"125,0"</f>
        <v>125,0</v>
      </c>
      <c r="L97" s="24" t="str">
        <f>"83,5635"</f>
        <v>83,5635</v>
      </c>
      <c r="M97" s="23" t="s">
        <v>98</v>
      </c>
    </row>
    <row r="98" spans="1:13" x14ac:dyDescent="0.2">
      <c r="A98" s="12" t="s">
        <v>796</v>
      </c>
      <c r="B98" s="12" t="s">
        <v>797</v>
      </c>
      <c r="C98" s="12" t="s">
        <v>798</v>
      </c>
      <c r="D98" s="12" t="str">
        <f>"0,5912"</f>
        <v>0,5912</v>
      </c>
      <c r="E98" s="12" t="s">
        <v>17</v>
      </c>
      <c r="F98" s="12" t="s">
        <v>18</v>
      </c>
      <c r="G98" s="14" t="s">
        <v>47</v>
      </c>
      <c r="H98" s="13" t="s">
        <v>47</v>
      </c>
      <c r="I98" s="13" t="s">
        <v>48</v>
      </c>
      <c r="J98" s="14"/>
      <c r="K98" s="12" t="str">
        <f>"155,0"</f>
        <v>155,0</v>
      </c>
      <c r="L98" s="13" t="str">
        <f>"114,1785"</f>
        <v>114,1785</v>
      </c>
      <c r="M98" s="12" t="s">
        <v>763</v>
      </c>
    </row>
    <row r="100" spans="1:13" ht="15" x14ac:dyDescent="0.2">
      <c r="A100" s="36" t="s">
        <v>276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</row>
    <row r="101" spans="1:13" x14ac:dyDescent="0.2">
      <c r="A101" s="9" t="s">
        <v>799</v>
      </c>
      <c r="B101" s="9" t="s">
        <v>800</v>
      </c>
      <c r="C101" s="9" t="s">
        <v>801</v>
      </c>
      <c r="D101" s="9" t="str">
        <f>"0,5766"</f>
        <v>0,5766</v>
      </c>
      <c r="E101" s="9" t="s">
        <v>17</v>
      </c>
      <c r="F101" s="9" t="s">
        <v>18</v>
      </c>
      <c r="G101" s="10" t="s">
        <v>137</v>
      </c>
      <c r="H101" s="10" t="s">
        <v>35</v>
      </c>
      <c r="I101" s="11" t="s">
        <v>38</v>
      </c>
      <c r="J101" s="11"/>
      <c r="K101" s="9" t="str">
        <f>"175,0"</f>
        <v>175,0</v>
      </c>
      <c r="L101" s="10" t="str">
        <f>"100,9050"</f>
        <v>100,9050</v>
      </c>
      <c r="M101" s="9" t="s">
        <v>145</v>
      </c>
    </row>
    <row r="102" spans="1:13" x14ac:dyDescent="0.2">
      <c r="A102" s="23" t="s">
        <v>803</v>
      </c>
      <c r="B102" s="23" t="s">
        <v>804</v>
      </c>
      <c r="C102" s="23" t="s">
        <v>805</v>
      </c>
      <c r="D102" s="23" t="str">
        <f>"0,5725"</f>
        <v>0,5725</v>
      </c>
      <c r="E102" s="23" t="s">
        <v>31</v>
      </c>
      <c r="F102" s="23" t="s">
        <v>672</v>
      </c>
      <c r="G102" s="24" t="s">
        <v>38</v>
      </c>
      <c r="H102" s="24" t="s">
        <v>123</v>
      </c>
      <c r="I102" s="25" t="s">
        <v>121</v>
      </c>
      <c r="J102" s="25"/>
      <c r="K102" s="23" t="str">
        <f>"185,0"</f>
        <v>185,0</v>
      </c>
      <c r="L102" s="24" t="str">
        <f>"105,9125"</f>
        <v>105,9125</v>
      </c>
      <c r="M102" s="23" t="s">
        <v>98</v>
      </c>
    </row>
    <row r="103" spans="1:13" x14ac:dyDescent="0.2">
      <c r="A103" s="23" t="s">
        <v>806</v>
      </c>
      <c r="B103" s="23" t="s">
        <v>807</v>
      </c>
      <c r="C103" s="23" t="s">
        <v>808</v>
      </c>
      <c r="D103" s="23" t="str">
        <f>"0,5764"</f>
        <v>0,5764</v>
      </c>
      <c r="E103" s="23" t="s">
        <v>31</v>
      </c>
      <c r="F103" s="23" t="s">
        <v>809</v>
      </c>
      <c r="G103" s="24" t="s">
        <v>34</v>
      </c>
      <c r="H103" s="25" t="s">
        <v>38</v>
      </c>
      <c r="I103" s="25" t="s">
        <v>38</v>
      </c>
      <c r="J103" s="25"/>
      <c r="K103" s="23" t="str">
        <f>"170,0"</f>
        <v>170,0</v>
      </c>
      <c r="L103" s="24" t="str">
        <f>"97,9880"</f>
        <v>97,9880</v>
      </c>
      <c r="M103" s="23" t="s">
        <v>98</v>
      </c>
    </row>
    <row r="104" spans="1:13" x14ac:dyDescent="0.2">
      <c r="A104" s="23" t="s">
        <v>810</v>
      </c>
      <c r="B104" s="23" t="s">
        <v>811</v>
      </c>
      <c r="C104" s="23" t="s">
        <v>812</v>
      </c>
      <c r="D104" s="23" t="str">
        <f>"0,5730"</f>
        <v>0,5730</v>
      </c>
      <c r="E104" s="23" t="s">
        <v>17</v>
      </c>
      <c r="F104" s="23" t="s">
        <v>18</v>
      </c>
      <c r="G104" s="25" t="s">
        <v>38</v>
      </c>
      <c r="H104" s="25" t="s">
        <v>38</v>
      </c>
      <c r="I104" s="25" t="s">
        <v>38</v>
      </c>
      <c r="J104" s="25"/>
      <c r="K104" s="23" t="str">
        <f>"0.00"</f>
        <v>0.00</v>
      </c>
      <c r="L104" s="24" t="str">
        <f>"0,0000"</f>
        <v>0,0000</v>
      </c>
      <c r="M104" s="23" t="s">
        <v>145</v>
      </c>
    </row>
    <row r="105" spans="1:13" x14ac:dyDescent="0.2">
      <c r="A105" s="23" t="s">
        <v>803</v>
      </c>
      <c r="B105" s="23" t="s">
        <v>813</v>
      </c>
      <c r="C105" s="23" t="s">
        <v>805</v>
      </c>
      <c r="D105" s="23" t="str">
        <f>"0,5725"</f>
        <v>0,5725</v>
      </c>
      <c r="E105" s="23" t="s">
        <v>31</v>
      </c>
      <c r="F105" s="23" t="s">
        <v>672</v>
      </c>
      <c r="G105" s="24" t="s">
        <v>38</v>
      </c>
      <c r="H105" s="24" t="s">
        <v>123</v>
      </c>
      <c r="I105" s="25" t="s">
        <v>121</v>
      </c>
      <c r="J105" s="25"/>
      <c r="K105" s="23" t="str">
        <f>"185,0"</f>
        <v>185,0</v>
      </c>
      <c r="L105" s="24" t="str">
        <f>"106,9716"</f>
        <v>106,9716</v>
      </c>
      <c r="M105" s="23" t="s">
        <v>98</v>
      </c>
    </row>
    <row r="106" spans="1:13" x14ac:dyDescent="0.2">
      <c r="A106" s="12" t="s">
        <v>814</v>
      </c>
      <c r="B106" s="12" t="s">
        <v>815</v>
      </c>
      <c r="C106" s="12" t="s">
        <v>816</v>
      </c>
      <c r="D106" s="12" t="str">
        <f>"0,5781"</f>
        <v>0,5781</v>
      </c>
      <c r="E106" s="12" t="s">
        <v>31</v>
      </c>
      <c r="F106" s="12" t="s">
        <v>817</v>
      </c>
      <c r="G106" s="14" t="s">
        <v>149</v>
      </c>
      <c r="H106" s="14" t="s">
        <v>149</v>
      </c>
      <c r="I106" s="14" t="s">
        <v>149</v>
      </c>
      <c r="J106" s="14"/>
      <c r="K106" s="12" t="str">
        <f>"0.00"</f>
        <v>0.00</v>
      </c>
      <c r="L106" s="13" t="str">
        <f>"0,0000"</f>
        <v>0,0000</v>
      </c>
      <c r="M106" s="12" t="s">
        <v>818</v>
      </c>
    </row>
    <row r="108" spans="1:13" ht="15" x14ac:dyDescent="0.2">
      <c r="A108" s="36" t="s">
        <v>290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</row>
    <row r="109" spans="1:13" x14ac:dyDescent="0.2">
      <c r="A109" s="6" t="s">
        <v>820</v>
      </c>
      <c r="B109" s="6" t="s">
        <v>821</v>
      </c>
      <c r="C109" s="6" t="s">
        <v>822</v>
      </c>
      <c r="D109" s="6" t="str">
        <f>"0,5600"</f>
        <v>0,5600</v>
      </c>
      <c r="E109" s="6" t="s">
        <v>17</v>
      </c>
      <c r="F109" s="6" t="s">
        <v>18</v>
      </c>
      <c r="G109" s="7" t="s">
        <v>360</v>
      </c>
      <c r="H109" s="7" t="s">
        <v>121</v>
      </c>
      <c r="I109" s="7" t="s">
        <v>149</v>
      </c>
      <c r="J109" s="8"/>
      <c r="K109" s="6" t="str">
        <f>"190,0"</f>
        <v>190,0</v>
      </c>
      <c r="L109" s="7" t="str">
        <f>"123,9560"</f>
        <v>123,9560</v>
      </c>
      <c r="M109" s="6" t="s">
        <v>145</v>
      </c>
    </row>
    <row r="111" spans="1:13" ht="15" x14ac:dyDescent="0.2">
      <c r="A111" s="36" t="s">
        <v>173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</row>
    <row r="112" spans="1:13" x14ac:dyDescent="0.2">
      <c r="A112" s="6" t="s">
        <v>824</v>
      </c>
      <c r="B112" s="6" t="s">
        <v>825</v>
      </c>
      <c r="C112" s="6" t="s">
        <v>826</v>
      </c>
      <c r="D112" s="6" t="str">
        <f>"0,5586"</f>
        <v>0,5586</v>
      </c>
      <c r="E112" s="6" t="s">
        <v>17</v>
      </c>
      <c r="F112" s="6" t="s">
        <v>18</v>
      </c>
      <c r="G112" s="7" t="s">
        <v>125</v>
      </c>
      <c r="H112" s="7" t="s">
        <v>177</v>
      </c>
      <c r="I112" s="7" t="s">
        <v>44</v>
      </c>
      <c r="J112" s="8"/>
      <c r="K112" s="6" t="str">
        <f>"220,0"</f>
        <v>220,0</v>
      </c>
      <c r="L112" s="7" t="str">
        <f>"122,8920"</f>
        <v>122,8920</v>
      </c>
      <c r="M112" s="6" t="s">
        <v>98</v>
      </c>
    </row>
    <row r="114" spans="1:5" ht="15" x14ac:dyDescent="0.2">
      <c r="E114" s="15" t="s">
        <v>57</v>
      </c>
    </row>
    <row r="115" spans="1:5" ht="15" x14ac:dyDescent="0.2">
      <c r="E115" s="15" t="s">
        <v>58</v>
      </c>
    </row>
    <row r="116" spans="1:5" ht="15" x14ac:dyDescent="0.2">
      <c r="E116" s="15"/>
    </row>
    <row r="118" spans="1:5" ht="18" x14ac:dyDescent="0.25">
      <c r="A118" s="16" t="s">
        <v>62</v>
      </c>
      <c r="B118" s="16"/>
    </row>
    <row r="119" spans="1:5" ht="15" x14ac:dyDescent="0.2">
      <c r="A119" s="17" t="s">
        <v>182</v>
      </c>
      <c r="B119" s="17"/>
    </row>
    <row r="120" spans="1:5" ht="14.25" x14ac:dyDescent="0.2">
      <c r="A120" s="19"/>
      <c r="B120" s="20" t="s">
        <v>64</v>
      </c>
    </row>
    <row r="121" spans="1:5" ht="15" x14ac:dyDescent="0.2">
      <c r="A121" s="21" t="s">
        <v>65</v>
      </c>
      <c r="B121" s="21" t="s">
        <v>66</v>
      </c>
      <c r="C121" s="21" t="s">
        <v>67</v>
      </c>
      <c r="D121" s="21" t="s">
        <v>68</v>
      </c>
      <c r="E121" s="21" t="s">
        <v>69</v>
      </c>
    </row>
    <row r="122" spans="1:5" x14ac:dyDescent="0.2">
      <c r="A122" s="18" t="s">
        <v>594</v>
      </c>
      <c r="B122" s="4" t="s">
        <v>64</v>
      </c>
      <c r="C122" s="4" t="s">
        <v>192</v>
      </c>
      <c r="D122" s="4" t="s">
        <v>198</v>
      </c>
      <c r="E122" s="22" t="s">
        <v>827</v>
      </c>
    </row>
    <row r="124" spans="1:5" ht="15" x14ac:dyDescent="0.2">
      <c r="A124" s="17" t="s">
        <v>63</v>
      </c>
      <c r="B124" s="17"/>
    </row>
    <row r="125" spans="1:5" ht="14.25" x14ac:dyDescent="0.2">
      <c r="A125" s="19"/>
      <c r="B125" s="20" t="s">
        <v>64</v>
      </c>
    </row>
    <row r="126" spans="1:5" ht="15" x14ac:dyDescent="0.2">
      <c r="A126" s="21" t="s">
        <v>65</v>
      </c>
      <c r="B126" s="21" t="s">
        <v>66</v>
      </c>
      <c r="C126" s="21" t="s">
        <v>67</v>
      </c>
      <c r="D126" s="21" t="s">
        <v>68</v>
      </c>
      <c r="E126" s="21" t="s">
        <v>69</v>
      </c>
    </row>
    <row r="127" spans="1:5" x14ac:dyDescent="0.2">
      <c r="A127" s="18" t="s">
        <v>823</v>
      </c>
      <c r="B127" s="4" t="s">
        <v>64</v>
      </c>
      <c r="C127" s="4" t="s">
        <v>188</v>
      </c>
      <c r="D127" s="4" t="s">
        <v>44</v>
      </c>
      <c r="E127" s="22" t="s">
        <v>828</v>
      </c>
    </row>
    <row r="128" spans="1:5" x14ac:dyDescent="0.2">
      <c r="A128" s="18" t="s">
        <v>769</v>
      </c>
      <c r="B128" s="4" t="s">
        <v>64</v>
      </c>
      <c r="C128" s="4" t="s">
        <v>20</v>
      </c>
      <c r="D128" s="4" t="s">
        <v>38</v>
      </c>
      <c r="E128" s="22" t="s">
        <v>829</v>
      </c>
    </row>
    <row r="129" spans="1:5" x14ac:dyDescent="0.2">
      <c r="A129" s="18" t="s">
        <v>802</v>
      </c>
      <c r="B129" s="4" t="s">
        <v>64</v>
      </c>
      <c r="C129" s="4" t="s">
        <v>36</v>
      </c>
      <c r="D129" s="4" t="s">
        <v>123</v>
      </c>
      <c r="E129" s="22" t="s">
        <v>830</v>
      </c>
    </row>
    <row r="131" spans="1:5" ht="14.25" x14ac:dyDescent="0.2">
      <c r="A131" s="19"/>
      <c r="B131" s="20" t="s">
        <v>71</v>
      </c>
    </row>
    <row r="132" spans="1:5" ht="15" x14ac:dyDescent="0.2">
      <c r="A132" s="21" t="s">
        <v>65</v>
      </c>
      <c r="B132" s="21" t="s">
        <v>66</v>
      </c>
      <c r="C132" s="21" t="s">
        <v>67</v>
      </c>
      <c r="D132" s="21" t="s">
        <v>68</v>
      </c>
      <c r="E132" s="21" t="s">
        <v>69</v>
      </c>
    </row>
    <row r="133" spans="1:5" x14ac:dyDescent="0.2">
      <c r="A133" s="18" t="s">
        <v>819</v>
      </c>
      <c r="B133" s="4" t="s">
        <v>72</v>
      </c>
      <c r="C133" s="4" t="s">
        <v>25</v>
      </c>
      <c r="D133" s="4" t="s">
        <v>149</v>
      </c>
      <c r="E133" s="22" t="s">
        <v>831</v>
      </c>
    </row>
    <row r="134" spans="1:5" x14ac:dyDescent="0.2">
      <c r="A134" s="18" t="s">
        <v>648</v>
      </c>
      <c r="B134" s="4" t="s">
        <v>550</v>
      </c>
      <c r="C134" s="4" t="s">
        <v>80</v>
      </c>
      <c r="D134" s="4" t="s">
        <v>104</v>
      </c>
      <c r="E134" s="22" t="s">
        <v>832</v>
      </c>
    </row>
    <row r="135" spans="1:5" x14ac:dyDescent="0.2">
      <c r="A135" s="18" t="s">
        <v>795</v>
      </c>
      <c r="B135" s="4" t="s">
        <v>546</v>
      </c>
      <c r="C135" s="4" t="s">
        <v>20</v>
      </c>
      <c r="D135" s="4" t="s">
        <v>48</v>
      </c>
      <c r="E135" s="22" t="s">
        <v>833</v>
      </c>
    </row>
  </sheetData>
  <mergeCells count="26">
    <mergeCell ref="A14:L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10:L10"/>
    <mergeCell ref="A111:L111"/>
    <mergeCell ref="A21:L21"/>
    <mergeCell ref="A27:L27"/>
    <mergeCell ref="A31:L31"/>
    <mergeCell ref="A34:L34"/>
    <mergeCell ref="A40:L40"/>
    <mergeCell ref="A48:L48"/>
    <mergeCell ref="A57:L57"/>
    <mergeCell ref="A73:L73"/>
    <mergeCell ref="A89:L89"/>
    <mergeCell ref="A100:L100"/>
    <mergeCell ref="A108:L10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16" sqref="A16:XFD19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9.1406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3.140625" style="4" bestFit="1" customWidth="1"/>
    <col min="14" max="16384" width="9.140625" style="3"/>
  </cols>
  <sheetData>
    <row r="1" spans="1:13" s="2" customFormat="1" ht="29.1" customHeight="1" x14ac:dyDescent="0.2">
      <c r="A1" s="42" t="s">
        <v>1182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 x14ac:dyDescent="0.2">
      <c r="A3" s="48" t="s">
        <v>0</v>
      </c>
      <c r="B3" s="50" t="s">
        <v>9</v>
      </c>
      <c r="C3" s="50" t="s">
        <v>10</v>
      </c>
      <c r="D3" s="37" t="s">
        <v>12</v>
      </c>
      <c r="E3" s="37" t="s">
        <v>7</v>
      </c>
      <c r="F3" s="37" t="s">
        <v>11</v>
      </c>
      <c r="G3" s="37" t="s">
        <v>2</v>
      </c>
      <c r="H3" s="37"/>
      <c r="I3" s="37"/>
      <c r="J3" s="37"/>
      <c r="K3" s="37" t="s">
        <v>552</v>
      </c>
      <c r="L3" s="37" t="s">
        <v>6</v>
      </c>
      <c r="M3" s="39" t="s">
        <v>5</v>
      </c>
    </row>
    <row r="4" spans="1:13" s="1" customFormat="1" ht="21" customHeight="1" thickBot="1" x14ac:dyDescent="0.25">
      <c r="A4" s="49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8</v>
      </c>
      <c r="K4" s="38"/>
      <c r="L4" s="38"/>
      <c r="M4" s="40"/>
    </row>
    <row r="5" spans="1:13" ht="15" x14ac:dyDescent="0.2">
      <c r="A5" s="41" t="s">
        <v>39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x14ac:dyDescent="0.2">
      <c r="A6" s="6" t="s">
        <v>834</v>
      </c>
      <c r="B6" s="6" t="s">
        <v>835</v>
      </c>
      <c r="C6" s="6" t="s">
        <v>836</v>
      </c>
      <c r="D6" s="6" t="str">
        <f>"0,6118"</f>
        <v>0,6118</v>
      </c>
      <c r="E6" s="6" t="s">
        <v>17</v>
      </c>
      <c r="F6" s="6" t="s">
        <v>18</v>
      </c>
      <c r="G6" s="7" t="s">
        <v>44</v>
      </c>
      <c r="H6" s="7" t="s">
        <v>45</v>
      </c>
      <c r="I6" s="8" t="s">
        <v>49</v>
      </c>
      <c r="J6" s="8"/>
      <c r="K6" s="6" t="str">
        <f>"230,0"</f>
        <v>230,0</v>
      </c>
      <c r="L6" s="7" t="str">
        <f>"140,7140"</f>
        <v>140,7140</v>
      </c>
      <c r="M6" s="6" t="s">
        <v>837</v>
      </c>
    </row>
    <row r="8" spans="1:13" ht="15" x14ac:dyDescent="0.2">
      <c r="A8" s="36" t="s">
        <v>158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3" x14ac:dyDescent="0.2">
      <c r="A9" s="6" t="s">
        <v>839</v>
      </c>
      <c r="B9" s="6" t="s">
        <v>840</v>
      </c>
      <c r="C9" s="6" t="s">
        <v>170</v>
      </c>
      <c r="D9" s="6" t="str">
        <f>"0,5887"</f>
        <v>0,5887</v>
      </c>
      <c r="E9" s="6" t="s">
        <v>31</v>
      </c>
      <c r="F9" s="6" t="s">
        <v>206</v>
      </c>
      <c r="G9" s="7" t="s">
        <v>841</v>
      </c>
      <c r="H9" s="7" t="s">
        <v>294</v>
      </c>
      <c r="I9" s="7" t="s">
        <v>406</v>
      </c>
      <c r="J9" s="8" t="s">
        <v>252</v>
      </c>
      <c r="K9" s="6" t="str">
        <f>"265,0"</f>
        <v>265,0</v>
      </c>
      <c r="L9" s="7" t="str">
        <f>"156,0055"</f>
        <v>156,0055</v>
      </c>
      <c r="M9" s="6" t="s">
        <v>842</v>
      </c>
    </row>
    <row r="11" spans="1:13" ht="15" x14ac:dyDescent="0.2">
      <c r="A11" s="36" t="s">
        <v>290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3" x14ac:dyDescent="0.2">
      <c r="A12" s="6" t="s">
        <v>843</v>
      </c>
      <c r="B12" s="6" t="s">
        <v>844</v>
      </c>
      <c r="C12" s="6" t="s">
        <v>845</v>
      </c>
      <c r="D12" s="6" t="str">
        <f>"0,5637"</f>
        <v>0,5637</v>
      </c>
      <c r="E12" s="6" t="s">
        <v>17</v>
      </c>
      <c r="F12" s="6" t="s">
        <v>18</v>
      </c>
      <c r="G12" s="8" t="s">
        <v>228</v>
      </c>
      <c r="H12" s="8" t="s">
        <v>228</v>
      </c>
      <c r="I12" s="8"/>
      <c r="J12" s="8"/>
      <c r="K12" s="6" t="str">
        <f>"0.00"</f>
        <v>0.00</v>
      </c>
      <c r="L12" s="7" t="str">
        <f>"0,0000"</f>
        <v>0,0000</v>
      </c>
      <c r="M12" s="6" t="s">
        <v>98</v>
      </c>
    </row>
    <row r="14" spans="1:13" ht="15" x14ac:dyDescent="0.2">
      <c r="E14" s="15" t="s">
        <v>57</v>
      </c>
    </row>
    <row r="15" spans="1:13" ht="15" x14ac:dyDescent="0.2">
      <c r="E15" s="15" t="s">
        <v>58</v>
      </c>
    </row>
    <row r="16" spans="1:13" ht="15" x14ac:dyDescent="0.2">
      <c r="E16" s="15"/>
    </row>
    <row r="18" spans="1:5" ht="18" x14ac:dyDescent="0.25">
      <c r="A18" s="16" t="s">
        <v>62</v>
      </c>
      <c r="B18" s="16"/>
    </row>
    <row r="19" spans="1:5" ht="15" x14ac:dyDescent="0.2">
      <c r="A19" s="17" t="s">
        <v>63</v>
      </c>
      <c r="B19" s="17"/>
    </row>
    <row r="20" spans="1:5" ht="14.25" x14ac:dyDescent="0.2">
      <c r="A20" s="19"/>
      <c r="B20" s="20" t="s">
        <v>64</v>
      </c>
    </row>
    <row r="21" spans="1:5" ht="15" x14ac:dyDescent="0.2">
      <c r="A21" s="21" t="s">
        <v>65</v>
      </c>
      <c r="B21" s="21" t="s">
        <v>66</v>
      </c>
      <c r="C21" s="21" t="s">
        <v>67</v>
      </c>
      <c r="D21" s="21" t="s">
        <v>68</v>
      </c>
      <c r="E21" s="21" t="s">
        <v>69</v>
      </c>
    </row>
    <row r="22" spans="1:5" x14ac:dyDescent="0.2">
      <c r="A22" s="18" t="s">
        <v>838</v>
      </c>
      <c r="B22" s="4" t="s">
        <v>64</v>
      </c>
      <c r="C22" s="4" t="s">
        <v>20</v>
      </c>
      <c r="D22" s="4" t="s">
        <v>406</v>
      </c>
      <c r="E22" s="22" t="s">
        <v>846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WPU ЭЛИТА тяга</vt:lpstr>
      <vt:lpstr>WPU с ДК НЖ 1 вес</vt:lpstr>
      <vt:lpstr>WPU НЖ 1 вес</vt:lpstr>
      <vt:lpstr>WPU c ДК тяга в 1 эк.</vt:lpstr>
      <vt:lpstr>WPU c ДК тяга без эк.</vt:lpstr>
      <vt:lpstr>WPU тяга без эк.</vt:lpstr>
      <vt:lpstr>WPU c ДК жим в 1 эк.</vt:lpstr>
      <vt:lpstr>WPU c ДК жим безэк.</vt:lpstr>
      <vt:lpstr>WPU жим в 1 эк.</vt:lpstr>
      <vt:lpstr>WPU жим безэк.</vt:lpstr>
      <vt:lpstr>WPU пл в мн эк.</vt:lpstr>
      <vt:lpstr>WPU c ДК пл в 1 эк.</vt:lpstr>
      <vt:lpstr>WPU c ДК пл безэк.</vt:lpstr>
      <vt:lpstr>WPU c ДК пл классик.</vt:lpstr>
      <vt:lpstr>WPU пл в 1 эк.</vt:lpstr>
      <vt:lpstr>WPU пл безэк.</vt:lpstr>
      <vt:lpstr>WPU пл классик.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Michael Royanov</cp:lastModifiedBy>
  <cp:lastPrinted>2015-07-16T19:10:53Z</cp:lastPrinted>
  <dcterms:created xsi:type="dcterms:W3CDTF">2002-06-16T13:36:44Z</dcterms:created>
  <dcterms:modified xsi:type="dcterms:W3CDTF">2018-10-02T14:52:16Z</dcterms:modified>
</cp:coreProperties>
</file>