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5" windowWidth="11340" windowHeight="9690" tabRatio="808" firstSheet="8" activeTab="13"/>
  </bookViews>
  <sheets>
    <sheet name="WPF PRO Элита ПЛ классик." sheetId="24" r:id="rId1"/>
    <sheet name="WPF PRO ПЛ безэк." sheetId="6" r:id="rId2"/>
    <sheet name="WPF PRO ПЛ классик." sheetId="5" r:id="rId3"/>
    <sheet name="WPF PRO ПЛ в 1-сл. эк." sheetId="7" r:id="rId4"/>
    <sheet name="WPF PRO ПЛ в мн сл. эк." sheetId="8" r:id="rId5"/>
    <sheet name="WPF PRO Жим безэк." sheetId="13" r:id="rId6"/>
    <sheet name="WPF PRO Жим в 1-сл. эк." sheetId="14" r:id="rId7"/>
    <sheet name="WPF PRO Жим в мн сл. эк." sheetId="15" r:id="rId8"/>
    <sheet name="WPF PRO Тяга безэк." sheetId="19" r:id="rId9"/>
    <sheet name="WPF PRO НЖ 1 вес" sheetId="27" r:id="rId10"/>
    <sheet name="WPF AM ПЛ безэк." sheetId="11" r:id="rId11"/>
    <sheet name="WPF AM ПЛ классик." sheetId="10" r:id="rId12"/>
    <sheet name="WPF AM ПЛ в 1-сл. эк." sheetId="12" r:id="rId13"/>
    <sheet name="WPF AM Жим безэк." sheetId="17" r:id="rId14"/>
    <sheet name="WPF AM Жим в 1-сл. эк." sheetId="18" r:id="rId15"/>
    <sheet name="WPF AM Тяга безэк." sheetId="22" r:id="rId16"/>
    <sheet name="WPF AM Тяга в 1-сл. эк." sheetId="23" r:id="rId17"/>
    <sheet name="WPF AM НЖ 1 вес" sheetId="26" r:id="rId18"/>
    <sheet name="WPF AM НЖ 1_2 вес" sheetId="25" r:id="rId19"/>
  </sheets>
  <definedNames>
    <definedName name="_FilterDatabase" localSheetId="2" hidden="1">'WPF PRO ПЛ классик.'!$A$1:$S$3</definedName>
  </definedNames>
  <calcPr calcId="125725" refMode="R1C1"/>
</workbook>
</file>

<file path=xl/calcChain.xml><?xml version="1.0" encoding="utf-8"?>
<calcChain xmlns="http://schemas.openxmlformats.org/spreadsheetml/2006/main">
  <c r="J27" i="27"/>
  <c r="I27"/>
  <c r="D27"/>
  <c r="J24"/>
  <c r="I24"/>
  <c r="D24"/>
  <c r="J21"/>
  <c r="I21"/>
  <c r="D21"/>
  <c r="J20"/>
  <c r="I20"/>
  <c r="D20"/>
  <c r="J19"/>
  <c r="I19"/>
  <c r="D19"/>
  <c r="J16"/>
  <c r="I16"/>
  <c r="D16"/>
  <c r="J13"/>
  <c r="I13"/>
  <c r="D13"/>
  <c r="J10"/>
  <c r="I10"/>
  <c r="D10"/>
  <c r="J7"/>
  <c r="I7"/>
  <c r="D7"/>
  <c r="J6"/>
  <c r="I6"/>
  <c r="D6"/>
  <c r="J30" i="26"/>
  <c r="I30"/>
  <c r="D30"/>
  <c r="J27"/>
  <c r="I27"/>
  <c r="D27"/>
  <c r="J26"/>
  <c r="I26"/>
  <c r="D26"/>
  <c r="J25"/>
  <c r="I25"/>
  <c r="D25"/>
  <c r="J22"/>
  <c r="I22"/>
  <c r="D22"/>
  <c r="J21"/>
  <c r="I21"/>
  <c r="D21"/>
  <c r="J20"/>
  <c r="I20"/>
  <c r="D20"/>
  <c r="J19"/>
  <c r="I19"/>
  <c r="D19"/>
  <c r="J18"/>
  <c r="I18"/>
  <c r="D18"/>
  <c r="J17"/>
  <c r="I17"/>
  <c r="D17"/>
  <c r="J14"/>
  <c r="I14"/>
  <c r="D14"/>
  <c r="J11"/>
  <c r="I11"/>
  <c r="D11"/>
  <c r="J8"/>
  <c r="I8"/>
  <c r="D8"/>
  <c r="J7"/>
  <c r="I7"/>
  <c r="D7"/>
  <c r="J6"/>
  <c r="I6"/>
  <c r="D6"/>
  <c r="J12" i="25"/>
  <c r="I12"/>
  <c r="D12"/>
  <c r="J9"/>
  <c r="I9"/>
  <c r="D9"/>
  <c r="J6"/>
  <c r="I6"/>
  <c r="D6"/>
  <c r="T24" i="24"/>
  <c r="S24"/>
  <c r="D24"/>
  <c r="T21"/>
  <c r="S21"/>
  <c r="D21"/>
  <c r="T20"/>
  <c r="S20"/>
  <c r="D20"/>
  <c r="T17"/>
  <c r="S17"/>
  <c r="D17"/>
  <c r="T16"/>
  <c r="S16"/>
  <c r="D16"/>
  <c r="T15"/>
  <c r="S15"/>
  <c r="D15"/>
  <c r="T12"/>
  <c r="S12"/>
  <c r="D12"/>
  <c r="T9"/>
  <c r="S9"/>
  <c r="D9"/>
  <c r="T6"/>
  <c r="S6"/>
  <c r="D6"/>
  <c r="L6" i="23"/>
  <c r="K6"/>
  <c r="D6"/>
  <c r="L97" i="22"/>
  <c r="K97"/>
  <c r="D97"/>
  <c r="L96"/>
  <c r="K96"/>
  <c r="D96"/>
  <c r="L95"/>
  <c r="K95"/>
  <c r="D95"/>
  <c r="L94"/>
  <c r="K94"/>
  <c r="D94"/>
  <c r="L91"/>
  <c r="K91"/>
  <c r="D91"/>
  <c r="L90"/>
  <c r="K90"/>
  <c r="D90"/>
  <c r="L89"/>
  <c r="K89"/>
  <c r="D89"/>
  <c r="L88"/>
  <c r="K88"/>
  <c r="D88"/>
  <c r="L87"/>
  <c r="K87"/>
  <c r="D87"/>
  <c r="L86"/>
  <c r="K86"/>
  <c r="D86"/>
  <c r="L85"/>
  <c r="K85"/>
  <c r="D85"/>
  <c r="L82"/>
  <c r="K82"/>
  <c r="D82"/>
  <c r="L81"/>
  <c r="K81"/>
  <c r="D81"/>
  <c r="L80"/>
  <c r="K80"/>
  <c r="D80"/>
  <c r="L79"/>
  <c r="K79"/>
  <c r="D79"/>
  <c r="L78"/>
  <c r="K78"/>
  <c r="D78"/>
  <c r="L77"/>
  <c r="K77"/>
  <c r="D77"/>
  <c r="L76"/>
  <c r="K76"/>
  <c r="D76"/>
  <c r="L73"/>
  <c r="K73"/>
  <c r="D73"/>
  <c r="L72"/>
  <c r="K72"/>
  <c r="D72"/>
  <c r="L71"/>
  <c r="K71"/>
  <c r="D71"/>
  <c r="L70"/>
  <c r="K70"/>
  <c r="D70"/>
  <c r="L69"/>
  <c r="K69"/>
  <c r="D69"/>
  <c r="L68"/>
  <c r="K68"/>
  <c r="D68"/>
  <c r="L67"/>
  <c r="K67"/>
  <c r="D67"/>
  <c r="L66"/>
  <c r="K66"/>
  <c r="D66"/>
  <c r="L63"/>
  <c r="K63"/>
  <c r="D63"/>
  <c r="L62"/>
  <c r="K62"/>
  <c r="D62"/>
  <c r="L61"/>
  <c r="K61"/>
  <c r="D61"/>
  <c r="L60"/>
  <c r="K60"/>
  <c r="D60"/>
  <c r="L59"/>
  <c r="K59"/>
  <c r="D59"/>
  <c r="L58"/>
  <c r="K58"/>
  <c r="D58"/>
  <c r="L57"/>
  <c r="K57"/>
  <c r="D57"/>
  <c r="L56"/>
  <c r="K56"/>
  <c r="D56"/>
  <c r="L55"/>
  <c r="K55"/>
  <c r="D55"/>
  <c r="L54"/>
  <c r="K54"/>
  <c r="D54"/>
  <c r="L53"/>
  <c r="K53"/>
  <c r="D53"/>
  <c r="L52"/>
  <c r="K52"/>
  <c r="D52"/>
  <c r="L51"/>
  <c r="K51"/>
  <c r="D51"/>
  <c r="L50"/>
  <c r="K50"/>
  <c r="D50"/>
  <c r="L47"/>
  <c r="K47"/>
  <c r="D47"/>
  <c r="L46"/>
  <c r="K46"/>
  <c r="D46"/>
  <c r="L45"/>
  <c r="K45"/>
  <c r="D45"/>
  <c r="L44"/>
  <c r="K44"/>
  <c r="D44"/>
  <c r="L41"/>
  <c r="K41"/>
  <c r="D41"/>
  <c r="L40"/>
  <c r="K40"/>
  <c r="D40"/>
  <c r="L39"/>
  <c r="K39"/>
  <c r="D39"/>
  <c r="L36"/>
  <c r="K36"/>
  <c r="D36"/>
  <c r="L33"/>
  <c r="K33"/>
  <c r="D33"/>
  <c r="L30"/>
  <c r="K30"/>
  <c r="D30"/>
  <c r="L29"/>
  <c r="K29"/>
  <c r="D29"/>
  <c r="L26"/>
  <c r="K26"/>
  <c r="D26"/>
  <c r="L25"/>
  <c r="K25"/>
  <c r="D25"/>
  <c r="L24"/>
  <c r="K24"/>
  <c r="D24"/>
  <c r="L23"/>
  <c r="K23"/>
  <c r="D23"/>
  <c r="L22"/>
  <c r="K22"/>
  <c r="D22"/>
  <c r="L19"/>
  <c r="K19"/>
  <c r="D19"/>
  <c r="L18"/>
  <c r="K18"/>
  <c r="D18"/>
  <c r="L15"/>
  <c r="K15"/>
  <c r="D15"/>
  <c r="L14"/>
  <c r="K14"/>
  <c r="D14"/>
  <c r="L13"/>
  <c r="K13"/>
  <c r="D13"/>
  <c r="L10"/>
  <c r="K10"/>
  <c r="D10"/>
  <c r="L7"/>
  <c r="K7"/>
  <c r="D7"/>
  <c r="L6"/>
  <c r="K6"/>
  <c r="D6"/>
  <c r="L30" i="19"/>
  <c r="K30"/>
  <c r="D30"/>
  <c r="L27"/>
  <c r="K27"/>
  <c r="D27"/>
  <c r="L26"/>
  <c r="K26"/>
  <c r="D26"/>
  <c r="L25"/>
  <c r="K25"/>
  <c r="D25"/>
  <c r="L24"/>
  <c r="K24"/>
  <c r="D24"/>
  <c r="L23"/>
  <c r="K23"/>
  <c r="D23"/>
  <c r="L22"/>
  <c r="K22"/>
  <c r="D22"/>
  <c r="L19"/>
  <c r="K19"/>
  <c r="D19"/>
  <c r="L18"/>
  <c r="K18"/>
  <c r="D18"/>
  <c r="L15"/>
  <c r="K15"/>
  <c r="D15"/>
  <c r="L14"/>
  <c r="K14"/>
  <c r="D14"/>
  <c r="L13"/>
  <c r="K13"/>
  <c r="D13"/>
  <c r="L10"/>
  <c r="K10"/>
  <c r="D10"/>
  <c r="L9"/>
  <c r="K9"/>
  <c r="D9"/>
  <c r="L6"/>
  <c r="K6"/>
  <c r="D6"/>
  <c r="L22" i="18"/>
  <c r="K22"/>
  <c r="D22"/>
  <c r="L19"/>
  <c r="K19"/>
  <c r="D19"/>
  <c r="L16"/>
  <c r="K16"/>
  <c r="D16"/>
  <c r="L15"/>
  <c r="K15"/>
  <c r="D15"/>
  <c r="L12"/>
  <c r="K12"/>
  <c r="D12"/>
  <c r="L9"/>
  <c r="K9"/>
  <c r="D9"/>
  <c r="L6"/>
  <c r="K6"/>
  <c r="D6"/>
  <c r="L150" i="17"/>
  <c r="K150"/>
  <c r="D150"/>
  <c r="L149"/>
  <c r="K149"/>
  <c r="D149"/>
  <c r="L148"/>
  <c r="K148"/>
  <c r="D148"/>
  <c r="L145"/>
  <c r="K145"/>
  <c r="D145"/>
  <c r="L144"/>
  <c r="K144"/>
  <c r="D144"/>
  <c r="L143"/>
  <c r="K143"/>
  <c r="D143"/>
  <c r="L142"/>
  <c r="K142"/>
  <c r="D142"/>
  <c r="L141"/>
  <c r="K141"/>
  <c r="D141"/>
  <c r="L140"/>
  <c r="K140"/>
  <c r="D140"/>
  <c r="L139"/>
  <c r="K139"/>
  <c r="D139"/>
  <c r="L138"/>
  <c r="K138"/>
  <c r="D138"/>
  <c r="L137"/>
  <c r="K137"/>
  <c r="D137"/>
  <c r="L136"/>
  <c r="K136"/>
  <c r="D136"/>
  <c r="L135"/>
  <c r="K135"/>
  <c r="D135"/>
  <c r="L132"/>
  <c r="K132"/>
  <c r="D132"/>
  <c r="L131"/>
  <c r="K131"/>
  <c r="D131"/>
  <c r="L130"/>
  <c r="K130"/>
  <c r="D130"/>
  <c r="L129"/>
  <c r="K129"/>
  <c r="D129"/>
  <c r="L128"/>
  <c r="K128"/>
  <c r="D128"/>
  <c r="L127"/>
  <c r="K127"/>
  <c r="D127"/>
  <c r="L126"/>
  <c r="K126"/>
  <c r="D126"/>
  <c r="L125"/>
  <c r="K125"/>
  <c r="D125"/>
  <c r="L124"/>
  <c r="K124"/>
  <c r="D124"/>
  <c r="L123"/>
  <c r="K123"/>
  <c r="D123"/>
  <c r="L122"/>
  <c r="K122"/>
  <c r="D122"/>
  <c r="L119"/>
  <c r="K119"/>
  <c r="D119"/>
  <c r="L118"/>
  <c r="K118"/>
  <c r="D118"/>
  <c r="L117"/>
  <c r="K117"/>
  <c r="D117"/>
  <c r="L116"/>
  <c r="K116"/>
  <c r="D116"/>
  <c r="L115"/>
  <c r="K115"/>
  <c r="D115"/>
  <c r="L114"/>
  <c r="K114"/>
  <c r="D114"/>
  <c r="L113"/>
  <c r="K113"/>
  <c r="D113"/>
  <c r="L112"/>
  <c r="K112"/>
  <c r="D112"/>
  <c r="L111"/>
  <c r="K111"/>
  <c r="D111"/>
  <c r="L110"/>
  <c r="K110"/>
  <c r="D110"/>
  <c r="L109"/>
  <c r="K109"/>
  <c r="D109"/>
  <c r="L108"/>
  <c r="K108"/>
  <c r="D108"/>
  <c r="L107"/>
  <c r="K107"/>
  <c r="D107"/>
  <c r="L106"/>
  <c r="K106"/>
  <c r="D106"/>
  <c r="L103"/>
  <c r="K103"/>
  <c r="D103"/>
  <c r="L102"/>
  <c r="K102"/>
  <c r="D102"/>
  <c r="L101"/>
  <c r="K101"/>
  <c r="D101"/>
  <c r="L100"/>
  <c r="K100"/>
  <c r="D100"/>
  <c r="L99"/>
  <c r="K99"/>
  <c r="D99"/>
  <c r="L98"/>
  <c r="K98"/>
  <c r="D98"/>
  <c r="L97"/>
  <c r="K97"/>
  <c r="D97"/>
  <c r="L96"/>
  <c r="K96"/>
  <c r="D96"/>
  <c r="L95"/>
  <c r="K95"/>
  <c r="D95"/>
  <c r="L94"/>
  <c r="K94"/>
  <c r="D94"/>
  <c r="L93"/>
  <c r="K93"/>
  <c r="D93"/>
  <c r="L92"/>
  <c r="K92"/>
  <c r="D92"/>
  <c r="L91"/>
  <c r="K91"/>
  <c r="D91"/>
  <c r="L90"/>
  <c r="K90"/>
  <c r="D90"/>
  <c r="L89"/>
  <c r="K89"/>
  <c r="D89"/>
  <c r="L88"/>
  <c r="K88"/>
  <c r="D88"/>
  <c r="L87"/>
  <c r="K87"/>
  <c r="D87"/>
  <c r="L86"/>
  <c r="K86"/>
  <c r="D86"/>
  <c r="L85"/>
  <c r="K85"/>
  <c r="D85"/>
  <c r="L84"/>
  <c r="K84"/>
  <c r="D84"/>
  <c r="L83"/>
  <c r="K83"/>
  <c r="D83"/>
  <c r="L82"/>
  <c r="K82"/>
  <c r="D82"/>
  <c r="L81"/>
  <c r="K81"/>
  <c r="D81"/>
  <c r="L78"/>
  <c r="K78"/>
  <c r="D78"/>
  <c r="L77"/>
  <c r="K77"/>
  <c r="D77"/>
  <c r="L76"/>
  <c r="K76"/>
  <c r="D76"/>
  <c r="L75"/>
  <c r="K75"/>
  <c r="D75"/>
  <c r="L74"/>
  <c r="K74"/>
  <c r="D74"/>
  <c r="L73"/>
  <c r="K73"/>
  <c r="D73"/>
  <c r="L72"/>
  <c r="K72"/>
  <c r="D72"/>
  <c r="L71"/>
  <c r="K71"/>
  <c r="D71"/>
  <c r="L70"/>
  <c r="K70"/>
  <c r="D70"/>
  <c r="L69"/>
  <c r="K69"/>
  <c r="D69"/>
  <c r="L68"/>
  <c r="K68"/>
  <c r="D68"/>
  <c r="L67"/>
  <c r="K67"/>
  <c r="D67"/>
  <c r="L66"/>
  <c r="K66"/>
  <c r="D66"/>
  <c r="L65"/>
  <c r="K65"/>
  <c r="D65"/>
  <c r="L64"/>
  <c r="K64"/>
  <c r="D64"/>
  <c r="L61"/>
  <c r="K61"/>
  <c r="D61"/>
  <c r="L60"/>
  <c r="K60"/>
  <c r="D60"/>
  <c r="L59"/>
  <c r="K59"/>
  <c r="D59"/>
  <c r="L58"/>
  <c r="K58"/>
  <c r="D58"/>
  <c r="L57"/>
  <c r="K57"/>
  <c r="D57"/>
  <c r="L56"/>
  <c r="K56"/>
  <c r="D56"/>
  <c r="L55"/>
  <c r="K55"/>
  <c r="D55"/>
  <c r="L54"/>
  <c r="K54"/>
  <c r="D54"/>
  <c r="L53"/>
  <c r="K53"/>
  <c r="D53"/>
  <c r="L52"/>
  <c r="K52"/>
  <c r="D52"/>
  <c r="L51"/>
  <c r="K51"/>
  <c r="D51"/>
  <c r="L50"/>
  <c r="K50"/>
  <c r="D50"/>
  <c r="L47"/>
  <c r="K47"/>
  <c r="D47"/>
  <c r="L46"/>
  <c r="K46"/>
  <c r="D46"/>
  <c r="L45"/>
  <c r="K45"/>
  <c r="D45"/>
  <c r="L44"/>
  <c r="K44"/>
  <c r="D44"/>
  <c r="L41"/>
  <c r="K41"/>
  <c r="D41"/>
  <c r="L40"/>
  <c r="K40"/>
  <c r="D40"/>
  <c r="L37"/>
  <c r="K37"/>
  <c r="D37"/>
  <c r="L36"/>
  <c r="K36"/>
  <c r="D36"/>
  <c r="L35"/>
  <c r="K35"/>
  <c r="D35"/>
  <c r="L32"/>
  <c r="K32"/>
  <c r="D32"/>
  <c r="L29"/>
  <c r="K29"/>
  <c r="D29"/>
  <c r="L28"/>
  <c r="K28"/>
  <c r="D28"/>
  <c r="L27"/>
  <c r="K27"/>
  <c r="D27"/>
  <c r="L26"/>
  <c r="K26"/>
  <c r="D26"/>
  <c r="L25"/>
  <c r="K25"/>
  <c r="D25"/>
  <c r="L24"/>
  <c r="K24"/>
  <c r="D24"/>
  <c r="L23"/>
  <c r="K23"/>
  <c r="D23"/>
  <c r="L20"/>
  <c r="K20"/>
  <c r="D20"/>
  <c r="L19"/>
  <c r="K19"/>
  <c r="D19"/>
  <c r="L18"/>
  <c r="K18"/>
  <c r="D18"/>
  <c r="L17"/>
  <c r="K17"/>
  <c r="D17"/>
  <c r="L16"/>
  <c r="K16"/>
  <c r="D16"/>
  <c r="L13"/>
  <c r="K13"/>
  <c r="D13"/>
  <c r="L10"/>
  <c r="K10"/>
  <c r="D10"/>
  <c r="L9"/>
  <c r="K9"/>
  <c r="D9"/>
  <c r="L6"/>
  <c r="K6"/>
  <c r="D6"/>
  <c r="L9" i="15"/>
  <c r="K9"/>
  <c r="D9"/>
  <c r="L6"/>
  <c r="K6"/>
  <c r="D6"/>
  <c r="L17" i="14"/>
  <c r="K17"/>
  <c r="D17"/>
  <c r="L14"/>
  <c r="K14"/>
  <c r="D14"/>
  <c r="L13"/>
  <c r="K13"/>
  <c r="D13"/>
  <c r="L12"/>
  <c r="K12"/>
  <c r="D12"/>
  <c r="L11"/>
  <c r="K11"/>
  <c r="D11"/>
  <c r="L10"/>
  <c r="K10"/>
  <c r="D10"/>
  <c r="L7"/>
  <c r="K7"/>
  <c r="D7"/>
  <c r="L6"/>
  <c r="K6"/>
  <c r="D6"/>
  <c r="L69" i="13"/>
  <c r="K69"/>
  <c r="D69"/>
  <c r="L66"/>
  <c r="K66"/>
  <c r="D66"/>
  <c r="L65"/>
  <c r="K65"/>
  <c r="D65"/>
  <c r="L62"/>
  <c r="K62"/>
  <c r="D62"/>
  <c r="L61"/>
  <c r="K61"/>
  <c r="D61"/>
  <c r="L60"/>
  <c r="K60"/>
  <c r="D60"/>
  <c r="L59"/>
  <c r="K59"/>
  <c r="D59"/>
  <c r="L58"/>
  <c r="K58"/>
  <c r="D58"/>
  <c r="L57"/>
  <c r="K57"/>
  <c r="D57"/>
  <c r="L54"/>
  <c r="K54"/>
  <c r="D54"/>
  <c r="L53"/>
  <c r="K53"/>
  <c r="D53"/>
  <c r="L52"/>
  <c r="K52"/>
  <c r="D52"/>
  <c r="L51"/>
  <c r="K51"/>
  <c r="D51"/>
  <c r="L50"/>
  <c r="K50"/>
  <c r="D50"/>
  <c r="L49"/>
  <c r="K49"/>
  <c r="D49"/>
  <c r="L48"/>
  <c r="K48"/>
  <c r="D48"/>
  <c r="L45"/>
  <c r="K45"/>
  <c r="D45"/>
  <c r="L44"/>
  <c r="K44"/>
  <c r="D44"/>
  <c r="L43"/>
  <c r="K43"/>
  <c r="D43"/>
  <c r="L42"/>
  <c r="K42"/>
  <c r="D42"/>
  <c r="L41"/>
  <c r="K41"/>
  <c r="D41"/>
  <c r="L40"/>
  <c r="K40"/>
  <c r="D40"/>
  <c r="L37"/>
  <c r="K37"/>
  <c r="D37"/>
  <c r="L36"/>
  <c r="K36"/>
  <c r="D36"/>
  <c r="L35"/>
  <c r="K35"/>
  <c r="D35"/>
  <c r="L34"/>
  <c r="K34"/>
  <c r="D34"/>
  <c r="L31"/>
  <c r="K31"/>
  <c r="D31"/>
  <c r="L30"/>
  <c r="K30"/>
  <c r="D30"/>
  <c r="L29"/>
  <c r="K29"/>
  <c r="D29"/>
  <c r="L28"/>
  <c r="K28"/>
  <c r="D28"/>
  <c r="L27"/>
  <c r="K27"/>
  <c r="D27"/>
  <c r="L24"/>
  <c r="K24"/>
  <c r="D24"/>
  <c r="L23"/>
  <c r="K23"/>
  <c r="D23"/>
  <c r="L20"/>
  <c r="K20"/>
  <c r="D20"/>
  <c r="L17"/>
  <c r="K17"/>
  <c r="D17"/>
  <c r="L16"/>
  <c r="K16"/>
  <c r="D16"/>
  <c r="L13"/>
  <c r="K13"/>
  <c r="D13"/>
  <c r="L10"/>
  <c r="K10"/>
  <c r="D10"/>
  <c r="L9"/>
  <c r="K9"/>
  <c r="D9"/>
  <c r="L6"/>
  <c r="K6"/>
  <c r="D6"/>
  <c r="T9" i="12"/>
  <c r="S9"/>
  <c r="D9"/>
  <c r="T6"/>
  <c r="S6"/>
  <c r="D6"/>
  <c r="T65" i="11"/>
  <c r="S65"/>
  <c r="D65"/>
  <c r="T62"/>
  <c r="S62"/>
  <c r="D62"/>
  <c r="T61"/>
  <c r="S61"/>
  <c r="D61"/>
  <c r="T58"/>
  <c r="S58"/>
  <c r="D58"/>
  <c r="T57"/>
  <c r="S57"/>
  <c r="D57"/>
  <c r="T56"/>
  <c r="S56"/>
  <c r="D56"/>
  <c r="T55"/>
  <c r="S55"/>
  <c r="D55"/>
  <c r="T54"/>
  <c r="S54"/>
  <c r="D54"/>
  <c r="T51"/>
  <c r="S51"/>
  <c r="D51"/>
  <c r="T50"/>
  <c r="S50"/>
  <c r="D50"/>
  <c r="T49"/>
  <c r="S49"/>
  <c r="D49"/>
  <c r="T48"/>
  <c r="S48"/>
  <c r="D48"/>
  <c r="T47"/>
  <c r="S47"/>
  <c r="D47"/>
  <c r="T44"/>
  <c r="S44"/>
  <c r="D44"/>
  <c r="T43"/>
  <c r="S43"/>
  <c r="D43"/>
  <c r="T42"/>
  <c r="S42"/>
  <c r="D42"/>
  <c r="T41"/>
  <c r="S41"/>
  <c r="D41"/>
  <c r="T40"/>
  <c r="S40"/>
  <c r="D40"/>
  <c r="T37"/>
  <c r="S37"/>
  <c r="D37"/>
  <c r="T36"/>
  <c r="S36"/>
  <c r="D36"/>
  <c r="T35"/>
  <c r="S35"/>
  <c r="D35"/>
  <c r="T32"/>
  <c r="S32"/>
  <c r="D32"/>
  <c r="T31"/>
  <c r="S31"/>
  <c r="D31"/>
  <c r="T30"/>
  <c r="S30"/>
  <c r="D30"/>
  <c r="T29"/>
  <c r="S29"/>
  <c r="D29"/>
  <c r="T26"/>
  <c r="S26"/>
  <c r="D26"/>
  <c r="T25"/>
  <c r="S25"/>
  <c r="D25"/>
  <c r="T22"/>
  <c r="S22"/>
  <c r="D22"/>
  <c r="T19"/>
  <c r="S19"/>
  <c r="D19"/>
  <c r="T18"/>
  <c r="S18"/>
  <c r="D18"/>
  <c r="T15"/>
  <c r="S15"/>
  <c r="D15"/>
  <c r="T14"/>
  <c r="S14"/>
  <c r="D14"/>
  <c r="T11"/>
  <c r="S11"/>
  <c r="D11"/>
  <c r="T10"/>
  <c r="S10"/>
  <c r="D10"/>
  <c r="T7"/>
  <c r="S7"/>
  <c r="D7"/>
  <c r="T6"/>
  <c r="S6"/>
  <c r="D6"/>
  <c r="T57" i="10"/>
  <c r="S57"/>
  <c r="D57"/>
  <c r="T54"/>
  <c r="S54"/>
  <c r="D54"/>
  <c r="T53"/>
  <c r="S53"/>
  <c r="D53"/>
  <c r="T50"/>
  <c r="S50"/>
  <c r="D50"/>
  <c r="T49"/>
  <c r="S49"/>
  <c r="D49"/>
  <c r="T48"/>
  <c r="S48"/>
  <c r="D48"/>
  <c r="T45"/>
  <c r="S45"/>
  <c r="D45"/>
  <c r="T44"/>
  <c r="S44"/>
  <c r="D44"/>
  <c r="T43"/>
  <c r="S43"/>
  <c r="D43"/>
  <c r="T40"/>
  <c r="S40"/>
  <c r="D40"/>
  <c r="T39"/>
  <c r="S39"/>
  <c r="D39"/>
  <c r="T38"/>
  <c r="S38"/>
  <c r="D38"/>
  <c r="T35"/>
  <c r="S35"/>
  <c r="D35"/>
  <c r="T34"/>
  <c r="S34"/>
  <c r="D34"/>
  <c r="T33"/>
  <c r="S33"/>
  <c r="D33"/>
  <c r="T32"/>
  <c r="S32"/>
  <c r="D32"/>
  <c r="T29"/>
  <c r="S29"/>
  <c r="D29"/>
  <c r="T28"/>
  <c r="S28"/>
  <c r="D28"/>
  <c r="T27"/>
  <c r="S27"/>
  <c r="D27"/>
  <c r="T24"/>
  <c r="S24"/>
  <c r="D24"/>
  <c r="T21"/>
  <c r="S21"/>
  <c r="D21"/>
  <c r="T18"/>
  <c r="S18"/>
  <c r="D18"/>
  <c r="T15"/>
  <c r="S15"/>
  <c r="D15"/>
  <c r="T14"/>
  <c r="S14"/>
  <c r="D14"/>
  <c r="T13"/>
  <c r="S13"/>
  <c r="D13"/>
  <c r="T12"/>
  <c r="S12"/>
  <c r="D12"/>
  <c r="T11"/>
  <c r="S11"/>
  <c r="D11"/>
  <c r="T10"/>
  <c r="S10"/>
  <c r="D10"/>
  <c r="T9"/>
  <c r="S9"/>
  <c r="D9"/>
  <c r="T6"/>
  <c r="S6"/>
  <c r="D6"/>
  <c r="T7" i="8"/>
  <c r="S7"/>
  <c r="D7"/>
  <c r="T6"/>
  <c r="S6"/>
  <c r="D6"/>
  <c r="T9" i="7"/>
  <c r="S9"/>
  <c r="D9"/>
  <c r="T6"/>
  <c r="S6"/>
  <c r="D6"/>
  <c r="T28" i="6"/>
  <c r="S28"/>
  <c r="D28"/>
  <c r="T25"/>
  <c r="S25"/>
  <c r="D25"/>
  <c r="T24"/>
  <c r="S24"/>
  <c r="D24"/>
  <c r="T23"/>
  <c r="S23"/>
  <c r="D23"/>
  <c r="T22"/>
  <c r="S22"/>
  <c r="D22"/>
  <c r="T19"/>
  <c r="S19"/>
  <c r="D19"/>
  <c r="T16"/>
  <c r="S16"/>
  <c r="D16"/>
  <c r="T15"/>
  <c r="S15"/>
  <c r="D15"/>
  <c r="T12"/>
  <c r="S12"/>
  <c r="D12"/>
  <c r="T9"/>
  <c r="S9"/>
  <c r="D9"/>
  <c r="T6"/>
  <c r="S6"/>
  <c r="D6"/>
  <c r="T35" i="5"/>
  <c r="S35"/>
  <c r="D35"/>
  <c r="T32"/>
  <c r="S32"/>
  <c r="D32"/>
  <c r="T29"/>
  <c r="S29"/>
  <c r="D29"/>
  <c r="T28"/>
  <c r="S28"/>
  <c r="D28"/>
  <c r="T27"/>
  <c r="S27"/>
  <c r="D27"/>
  <c r="T26"/>
  <c r="S26"/>
  <c r="D26"/>
  <c r="T25"/>
  <c r="S25"/>
  <c r="D25"/>
  <c r="T22"/>
  <c r="S22"/>
  <c r="D22"/>
  <c r="T21"/>
  <c r="S21"/>
  <c r="D21"/>
  <c r="T20"/>
  <c r="S20"/>
  <c r="D20"/>
  <c r="T19"/>
  <c r="S19"/>
  <c r="D19"/>
  <c r="T18"/>
  <c r="S18"/>
  <c r="D18"/>
  <c r="T15"/>
  <c r="S15"/>
  <c r="D15"/>
  <c r="T14"/>
  <c r="S14"/>
  <c r="D14"/>
  <c r="T13"/>
  <c r="S13"/>
  <c r="D13"/>
  <c r="T10"/>
  <c r="S10"/>
  <c r="D10"/>
  <c r="T9"/>
  <c r="S9"/>
  <c r="D9"/>
  <c r="T6"/>
  <c r="S6"/>
  <c r="D6"/>
</calcChain>
</file>

<file path=xl/sharedStrings.xml><?xml version="1.0" encoding="utf-8"?>
<sst xmlns="http://schemas.openxmlformats.org/spreadsheetml/2006/main" count="6616" uniqueCount="2205">
  <si>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</si>
  <si>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</si>
  <si>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</si>
  <si>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</si>
  <si>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</si>
  <si>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</si>
  <si>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</si>
  <si>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</si>
  <si>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</si>
  <si>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</si>
  <si>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Приседание</t>
  </si>
  <si>
    <t>Жим лёжа</t>
  </si>
  <si>
    <t>Становая тяга</t>
  </si>
  <si>
    <t>ВЕСОВАЯ КАТЕГОРИЯ   67.5</t>
  </si>
  <si>
    <t>Макунина Маргарита</t>
  </si>
  <si>
    <t>1. Макунина Маргарита</t>
  </si>
  <si>
    <t>Ветераны 45 - 49 (07.03.1969)/49</t>
  </si>
  <si>
    <t>65,60</t>
  </si>
  <si>
    <t xml:space="preserve">Московская </t>
  </si>
  <si>
    <t xml:space="preserve">Озёры/Московская область </t>
  </si>
  <si>
    <t>80,0</t>
  </si>
  <si>
    <t>100,0</t>
  </si>
  <si>
    <t>115,0</t>
  </si>
  <si>
    <t>62,5</t>
  </si>
  <si>
    <t>70,0</t>
  </si>
  <si>
    <t>75,0</t>
  </si>
  <si>
    <t>105,0</t>
  </si>
  <si>
    <t>130,0</t>
  </si>
  <si>
    <t xml:space="preserve">. </t>
  </si>
  <si>
    <t>ВЕСОВАЯ КАТЕГОРИЯ   82.5</t>
  </si>
  <si>
    <t>Исаев Андрей</t>
  </si>
  <si>
    <t>1. Исаев Андрей</t>
  </si>
  <si>
    <t>Открытая (15.12.1991)/27</t>
  </si>
  <si>
    <t>82,00</t>
  </si>
  <si>
    <t xml:space="preserve">Москва </t>
  </si>
  <si>
    <t xml:space="preserve">Москва/ </t>
  </si>
  <si>
    <t>227,5</t>
  </si>
  <si>
    <t>237,5</t>
  </si>
  <si>
    <t>242,5</t>
  </si>
  <si>
    <t>167,5</t>
  </si>
  <si>
    <t>172,5</t>
  </si>
  <si>
    <t>245,0</t>
  </si>
  <si>
    <t>252,5</t>
  </si>
  <si>
    <t>257,5</t>
  </si>
  <si>
    <t>Кострюков Денис</t>
  </si>
  <si>
    <t>2. Кострюков Денис</t>
  </si>
  <si>
    <t>Открытая (02.07.1986)/32</t>
  </si>
  <si>
    <t>80,40</t>
  </si>
  <si>
    <t xml:space="preserve">Реутов/Московская область </t>
  </si>
  <si>
    <t>140,0</t>
  </si>
  <si>
    <t>145,0</t>
  </si>
  <si>
    <t>85,0</t>
  </si>
  <si>
    <t>90,0</t>
  </si>
  <si>
    <t>95,0</t>
  </si>
  <si>
    <t>155,0</t>
  </si>
  <si>
    <t>160,0</t>
  </si>
  <si>
    <t>ВЕСОВАЯ КАТЕГОРИЯ   90</t>
  </si>
  <si>
    <t>Шкодин Виталий</t>
  </si>
  <si>
    <t>1. Шкодин Виталий</t>
  </si>
  <si>
    <t>Открытая (14.04.1993)/25</t>
  </si>
  <si>
    <t>89,90</t>
  </si>
  <si>
    <t xml:space="preserve">Алтайская </t>
  </si>
  <si>
    <t xml:space="preserve">Новоалтайск/Алтайский край </t>
  </si>
  <si>
    <t>270,0</t>
  </si>
  <si>
    <t>150,0</t>
  </si>
  <si>
    <t>265,0</t>
  </si>
  <si>
    <t>275,0</t>
  </si>
  <si>
    <t>290,0</t>
  </si>
  <si>
    <t xml:space="preserve">Ганш Е.И. </t>
  </si>
  <si>
    <t>Азизмамадов Константин</t>
  </si>
  <si>
    <t>2. Азизмамадов Константин</t>
  </si>
  <si>
    <t>Открытая (17.03.1985)/33</t>
  </si>
  <si>
    <t>89,80</t>
  </si>
  <si>
    <t xml:space="preserve">Тверская </t>
  </si>
  <si>
    <t xml:space="preserve">Тверская область/Тверская обла </t>
  </si>
  <si>
    <t>215,0</t>
  </si>
  <si>
    <t>220,0</t>
  </si>
  <si>
    <t>280,0</t>
  </si>
  <si>
    <t>Марков Анатолий</t>
  </si>
  <si>
    <t>1. Марков Анатолий</t>
  </si>
  <si>
    <t>Ветераны 65 - 69 (13.01.1951)/68</t>
  </si>
  <si>
    <t>88,60</t>
  </si>
  <si>
    <t>190,0</t>
  </si>
  <si>
    <t>210,0</t>
  </si>
  <si>
    <t>185,0</t>
  </si>
  <si>
    <t>205,0</t>
  </si>
  <si>
    <t>ВЕСОВАЯ КАТЕГОРИЯ   100</t>
  </si>
  <si>
    <t>Мацкевич Александр</t>
  </si>
  <si>
    <t>1. Мацкевич Александр</t>
  </si>
  <si>
    <t>Открытая (26.08.1988)/30</t>
  </si>
  <si>
    <t>98,60</t>
  </si>
  <si>
    <t>240,0</t>
  </si>
  <si>
    <t>260,0</t>
  </si>
  <si>
    <t>170,0</t>
  </si>
  <si>
    <t>177,5</t>
  </si>
  <si>
    <t>182,5</t>
  </si>
  <si>
    <t>295,0</t>
  </si>
  <si>
    <t>305,0</t>
  </si>
  <si>
    <t xml:space="preserve">Ушаков А. </t>
  </si>
  <si>
    <t>Юдаев Александр</t>
  </si>
  <si>
    <t>2. Юдаев Александр</t>
  </si>
  <si>
    <t>Открытая (10.02.1994)/25</t>
  </si>
  <si>
    <t>90,40</t>
  </si>
  <si>
    <t xml:space="preserve">Тульская </t>
  </si>
  <si>
    <t xml:space="preserve">Тула/Тульская область </t>
  </si>
  <si>
    <t>255,0</t>
  </si>
  <si>
    <t>180,0</t>
  </si>
  <si>
    <t>285,0</t>
  </si>
  <si>
    <t>Резник Евгений</t>
  </si>
  <si>
    <t>3. Резник Евгений</t>
  </si>
  <si>
    <t>Открытая (27.10.1994)/24</t>
  </si>
  <si>
    <t>95,80</t>
  </si>
  <si>
    <t>200,0</t>
  </si>
  <si>
    <t xml:space="preserve">Резник Е.Ю. </t>
  </si>
  <si>
    <t>-. Клыпов Сергей</t>
  </si>
  <si>
    <t>Открытая (24.08.1980)/38</t>
  </si>
  <si>
    <t>97,70</t>
  </si>
  <si>
    <t>250,0</t>
  </si>
  <si>
    <t>-. Сапожков Денис</t>
  </si>
  <si>
    <t>Ветераны 40 - 44 (06.02.1979)/40</t>
  </si>
  <si>
    <t>225,0</t>
  </si>
  <si>
    <t xml:space="preserve">Аверьянов А.Ю. </t>
  </si>
  <si>
    <t>ВЕСОВАЯ КАТЕГОРИЯ   110</t>
  </si>
  <si>
    <t>Каблуков Александр</t>
  </si>
  <si>
    <t>1. Каблуков Александр</t>
  </si>
  <si>
    <t>Открытая (25.12.1984)/34</t>
  </si>
  <si>
    <t>107,40</t>
  </si>
  <si>
    <t xml:space="preserve">Воскресенск/Московская область </t>
  </si>
  <si>
    <t>300,0</t>
  </si>
  <si>
    <t>330,0</t>
  </si>
  <si>
    <t>350,0</t>
  </si>
  <si>
    <t xml:space="preserve">Хламков А.Е. </t>
  </si>
  <si>
    <t>Поддубный Евгений</t>
  </si>
  <si>
    <t>2. Поддубный Евгений</t>
  </si>
  <si>
    <t>Открытая (30.04.1981)/37</t>
  </si>
  <si>
    <t>108,30</t>
  </si>
  <si>
    <t>165,0</t>
  </si>
  <si>
    <t>175,0</t>
  </si>
  <si>
    <t xml:space="preserve">Старов Дмитрий </t>
  </si>
  <si>
    <t>Климушин Павел</t>
  </si>
  <si>
    <t>3. Климушин Павел</t>
  </si>
  <si>
    <t>Открытая (29.11.1980)/38</t>
  </si>
  <si>
    <t>109,80</t>
  </si>
  <si>
    <t>230,0</t>
  </si>
  <si>
    <t>Плотников Максим</t>
  </si>
  <si>
    <t>4. Плотников Максим</t>
  </si>
  <si>
    <t>Открытая (20.05.1983)/35</t>
  </si>
  <si>
    <t>100,20</t>
  </si>
  <si>
    <t>Золотарёнок Андрей</t>
  </si>
  <si>
    <t>1. Золотарёнок Андрей</t>
  </si>
  <si>
    <t>Ветераны 40 - 44 (23.11.1978)/40</t>
  </si>
  <si>
    <t>108,90</t>
  </si>
  <si>
    <t>235,0</t>
  </si>
  <si>
    <t>ВЕСОВАЯ КАТЕГОРИЯ   125</t>
  </si>
  <si>
    <t>Федоренко Алексей</t>
  </si>
  <si>
    <t>1. Федоренко Алексей</t>
  </si>
  <si>
    <t>Юниоры 20 - 23 (02.06.1996)/22</t>
  </si>
  <si>
    <t>119,10</t>
  </si>
  <si>
    <t xml:space="preserve">Химки/Московская область </t>
  </si>
  <si>
    <t>207,5</t>
  </si>
  <si>
    <t>ВЕСОВАЯ КАТЕГОРИЯ   140</t>
  </si>
  <si>
    <t>Суровов Максим</t>
  </si>
  <si>
    <t>1. Суровов Максим</t>
  </si>
  <si>
    <t>Юниоры 20 - 23 (02.02.1996)/23</t>
  </si>
  <si>
    <t>135,20</t>
  </si>
  <si>
    <t xml:space="preserve">Фряново/Московская область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</si>
  <si>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</si>
  <si>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</si>
  <si>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</si>
  <si>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</si>
  <si>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</si>
  <si>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</si>
  <si>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</si>
  <si>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Ветераны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</si>
  <si>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</si>
  <si>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</si>
  <si>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</si>
  <si>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</si>
  <si>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</si>
  <si>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Ветераны 45 - 49 </t>
  </si>
  <si>
    <t>67,5</t>
  </si>
  <si>
    <t>320,0</t>
  </si>
  <si>
    <t>371,1187</t>
  </si>
  <si>
    <t xml:space="preserve">Мужчины </t>
  </si>
  <si>
    <t xml:space="preserve">Юниоры </t>
  </si>
  <si>
    <t xml:space="preserve">Юниоры 20 - 23 </t>
  </si>
  <si>
    <t>125,0</t>
  </si>
  <si>
    <t>745,0</t>
  </si>
  <si>
    <t>429,0455</t>
  </si>
  <si>
    <t>697,5</t>
  </si>
  <si>
    <t>391,8555</t>
  </si>
  <si>
    <t xml:space="preserve">Открытая </t>
  </si>
  <si>
    <t>110,0</t>
  </si>
  <si>
    <t>810,0</t>
  </si>
  <si>
    <t>480,3300</t>
  </si>
  <si>
    <t>474,5650</t>
  </si>
  <si>
    <t>720,0</t>
  </si>
  <si>
    <t>459,9360</t>
  </si>
  <si>
    <t>747,5</t>
  </si>
  <si>
    <t>457,5448</t>
  </si>
  <si>
    <t>82,5</t>
  </si>
  <si>
    <t>657,5</t>
  </si>
  <si>
    <t>442,1030</t>
  </si>
  <si>
    <t>425,8080</t>
  </si>
  <si>
    <t>655,0</t>
  </si>
  <si>
    <t>418,6105</t>
  </si>
  <si>
    <t>680,0</t>
  </si>
  <si>
    <t>400,3840</t>
  </si>
  <si>
    <t>630,0</t>
  </si>
  <si>
    <t>383,1030</t>
  </si>
  <si>
    <t>560,0</t>
  </si>
  <si>
    <t>347,0320</t>
  </si>
  <si>
    <t>390,0</t>
  </si>
  <si>
    <t>265,4340</t>
  </si>
  <si>
    <t xml:space="preserve">Ветераны 65 - 69 </t>
  </si>
  <si>
    <t>545,0</t>
  </si>
  <si>
    <t>552,8009</t>
  </si>
  <si>
    <t xml:space="preserve">Ветераны 40 - 44 </t>
  </si>
  <si>
    <t>722,5</t>
  </si>
  <si>
    <t>426,4918</t>
  </si>
  <si>
    <t>ВЕСОВАЯ КАТЕГОРИЯ   52</t>
  </si>
  <si>
    <t>Пырина Мария</t>
  </si>
  <si>
    <t>1. Пырина Мария</t>
  </si>
  <si>
    <t>Юниорки 20 - 23 (28.08.1997)/21</t>
  </si>
  <si>
    <t>50,70</t>
  </si>
  <si>
    <t>40,0</t>
  </si>
  <si>
    <t>45,0</t>
  </si>
  <si>
    <t>47,5</t>
  </si>
  <si>
    <t>97,5</t>
  </si>
  <si>
    <t xml:space="preserve">Лазариди Г.К. </t>
  </si>
  <si>
    <t>Кондратьев Валерий</t>
  </si>
  <si>
    <t>1. Кондратьев Валерий</t>
  </si>
  <si>
    <t>Открытая (04.09.1990)/28</t>
  </si>
  <si>
    <t>65,40</t>
  </si>
  <si>
    <t>120,0</t>
  </si>
  <si>
    <t>77,5</t>
  </si>
  <si>
    <t>135,0</t>
  </si>
  <si>
    <t>ВЕСОВАЯ КАТЕГОРИЯ   75</t>
  </si>
  <si>
    <t>Замотин Алексей</t>
  </si>
  <si>
    <t>1. Замотин Алексей</t>
  </si>
  <si>
    <t>Открытая (21.09.1986)/32</t>
  </si>
  <si>
    <t>74,90</t>
  </si>
  <si>
    <t>Чернов Олег</t>
  </si>
  <si>
    <t>1. Чернов Олег</t>
  </si>
  <si>
    <t>Открытая (04.06.1986)/32</t>
  </si>
  <si>
    <t>82,30</t>
  </si>
  <si>
    <t>92,5</t>
  </si>
  <si>
    <t>102,5</t>
  </si>
  <si>
    <t>Мещеряков Андрей</t>
  </si>
  <si>
    <t>1. Мещеряков Андрей</t>
  </si>
  <si>
    <t>Ветераны 50 - 54 (28.10.1965)/53</t>
  </si>
  <si>
    <t>79,50</t>
  </si>
  <si>
    <t>112,5</t>
  </si>
  <si>
    <t>Елов Владимир</t>
  </si>
  <si>
    <t>1. Елов Владимир</t>
  </si>
  <si>
    <t>Открытая (04.03.1991)/27</t>
  </si>
  <si>
    <t>Качаев Иван</t>
  </si>
  <si>
    <t>1. Качаев Иван</t>
  </si>
  <si>
    <t>Юниоры 20 - 23 (05.11.1996)/22</t>
  </si>
  <si>
    <t>99,60</t>
  </si>
  <si>
    <t>137,5</t>
  </si>
  <si>
    <t>Бурдаков Николай</t>
  </si>
  <si>
    <t>1. Бурдаков Николай</t>
  </si>
  <si>
    <t>Открытая (24.07.1988)/30</t>
  </si>
  <si>
    <t>98,70</t>
  </si>
  <si>
    <t>325,0</t>
  </si>
  <si>
    <t xml:space="preserve"> </t>
  </si>
  <si>
    <t>Афанасьев Николай</t>
  </si>
  <si>
    <t>2. Афанасьев Николай</t>
  </si>
  <si>
    <t>Открытая (27.04.1981)/37</t>
  </si>
  <si>
    <t>97,40</t>
  </si>
  <si>
    <t>282,5</t>
  </si>
  <si>
    <t>292,5</t>
  </si>
  <si>
    <t xml:space="preserve">Афанасьев Н.Н. </t>
  </si>
  <si>
    <t>Богатов Виталий</t>
  </si>
  <si>
    <t>3. Богатов Виталий</t>
  </si>
  <si>
    <t>Открытая (16.01.1971)/48</t>
  </si>
  <si>
    <t>99,00</t>
  </si>
  <si>
    <t xml:space="preserve">Ханты-Мансийская </t>
  </si>
  <si>
    <t xml:space="preserve">Сургут/Ханты-Мансийский АО </t>
  </si>
  <si>
    <t>Солопов Евгений</t>
  </si>
  <si>
    <t>1. Солопов Евгений</t>
  </si>
  <si>
    <t>Открытая (04.09.1989)/29</t>
  </si>
  <si>
    <t>195,0</t>
  </si>
  <si>
    <t>197,5</t>
  </si>
  <si>
    <t>310,0</t>
  </si>
  <si>
    <t>315,0</t>
  </si>
  <si>
    <t xml:space="preserve">Юниорки </t>
  </si>
  <si>
    <t>52,0</t>
  </si>
  <si>
    <t>292,3530</t>
  </si>
  <si>
    <t>557,5</t>
  </si>
  <si>
    <t>339,8520</t>
  </si>
  <si>
    <t>785,0</t>
  </si>
  <si>
    <t>463,3855</t>
  </si>
  <si>
    <t>740,0</t>
  </si>
  <si>
    <t>452,7320</t>
  </si>
  <si>
    <t>692,5</t>
  </si>
  <si>
    <t>426,0260</t>
  </si>
  <si>
    <t>660,0</t>
  </si>
  <si>
    <t>403,3260</t>
  </si>
  <si>
    <t>570,0</t>
  </si>
  <si>
    <t>364,2870</t>
  </si>
  <si>
    <t>467,5</t>
  </si>
  <si>
    <t>313,6457</t>
  </si>
  <si>
    <t>395,0</t>
  </si>
  <si>
    <t>281,7140</t>
  </si>
  <si>
    <t>340,0</t>
  </si>
  <si>
    <t>268,9740</t>
  </si>
  <si>
    <t xml:space="preserve">Ветераны 50 - 54 </t>
  </si>
  <si>
    <t>380,0</t>
  </si>
  <si>
    <t>308,3752</t>
  </si>
  <si>
    <t>Филатов Егор</t>
  </si>
  <si>
    <t>1. Филатов Егор</t>
  </si>
  <si>
    <t>Открытая (22.04.1993)/25</t>
  </si>
  <si>
    <t>80,20</t>
  </si>
  <si>
    <t xml:space="preserve">Орехово-Зуево/Московская облас </t>
  </si>
  <si>
    <t>192,5</t>
  </si>
  <si>
    <t xml:space="preserve">Ушков Илья </t>
  </si>
  <si>
    <t>Козлов Александр</t>
  </si>
  <si>
    <t>1. Козлов Александр</t>
  </si>
  <si>
    <t>Открытая (28.08.1994)/24</t>
  </si>
  <si>
    <t>95,70</t>
  </si>
  <si>
    <t xml:space="preserve">Дрезна/Московская область </t>
  </si>
  <si>
    <t>355,0</t>
  </si>
  <si>
    <t>375,0</t>
  </si>
  <si>
    <t>302,5</t>
  </si>
  <si>
    <t>887,5</t>
  </si>
  <si>
    <t>550,2500</t>
  </si>
  <si>
    <t>647,5</t>
  </si>
  <si>
    <t>441,3360</t>
  </si>
  <si>
    <t>Мавренков Сергей</t>
  </si>
  <si>
    <t>1. Мавренков Сергей</t>
  </si>
  <si>
    <t>Открытая (05.11.1966)/52</t>
  </si>
  <si>
    <t>108,00</t>
  </si>
  <si>
    <t>Ветераны 50 - 54 (05.11.1966)/52</t>
  </si>
  <si>
    <t>795,0</t>
  </si>
  <si>
    <t>470,5605</t>
  </si>
  <si>
    <t>548,2030</t>
  </si>
  <si>
    <t>Копылова Оксана</t>
  </si>
  <si>
    <t>1. Копылова Оксана</t>
  </si>
  <si>
    <t>Открытая (05.07.1989)/29</t>
  </si>
  <si>
    <t xml:space="preserve">Климов М.В. </t>
  </si>
  <si>
    <t>ВЕСОВАЯ КАТЕГОРИЯ   56</t>
  </si>
  <si>
    <t>Никифорова Кристина</t>
  </si>
  <si>
    <t>1. Никифорова Кристина</t>
  </si>
  <si>
    <t>Девушки 15-19 (24.12.2002)/16</t>
  </si>
  <si>
    <t>55,30</t>
  </si>
  <si>
    <t>42,5</t>
  </si>
  <si>
    <t xml:space="preserve">Золотарёнок А. В </t>
  </si>
  <si>
    <t>Демина Лариса</t>
  </si>
  <si>
    <t>-. Демина Лариса</t>
  </si>
  <si>
    <t>Девушки 15-19 (27.07.2001)/17</t>
  </si>
  <si>
    <t>55,90</t>
  </si>
  <si>
    <t>Камышникова Марина</t>
  </si>
  <si>
    <t>1. Камышникова Марина</t>
  </si>
  <si>
    <t>Открытая (16.02.1979)/40</t>
  </si>
  <si>
    <t>55,10</t>
  </si>
  <si>
    <t>107,5</t>
  </si>
  <si>
    <t>50,0</t>
  </si>
  <si>
    <t>55,0</t>
  </si>
  <si>
    <t>57,5</t>
  </si>
  <si>
    <t xml:space="preserve">Мавренков С.В. </t>
  </si>
  <si>
    <t>Фастова Лилия</t>
  </si>
  <si>
    <t>2. Фастова Лилия</t>
  </si>
  <si>
    <t>Открытая (18.06.1991)/27</t>
  </si>
  <si>
    <t>52,50</t>
  </si>
  <si>
    <t>87,5</t>
  </si>
  <si>
    <t xml:space="preserve">Лохадынов Александр Сергеевич </t>
  </si>
  <si>
    <t>Черковская Екатерина</t>
  </si>
  <si>
    <t>3. Черковская Екатерина</t>
  </si>
  <si>
    <t>Открытая (24.03.1990)/28</t>
  </si>
  <si>
    <t>53,80</t>
  </si>
  <si>
    <t xml:space="preserve">Наро-Фоминск/Московская область </t>
  </si>
  <si>
    <t xml:space="preserve">Шостак А.С. </t>
  </si>
  <si>
    <t>Доброва Наталья</t>
  </si>
  <si>
    <t>1. Доброва Наталья</t>
  </si>
  <si>
    <t>Ветераны 45 - 49 (29.11.1970)/48</t>
  </si>
  <si>
    <t>54,00</t>
  </si>
  <si>
    <t>60,0</t>
  </si>
  <si>
    <t xml:space="preserve">Добров М.Ю. </t>
  </si>
  <si>
    <t>Фатькина Оксана</t>
  </si>
  <si>
    <t>2. Фатькина Оксана</t>
  </si>
  <si>
    <t>Ветераны 45 - 49 (24.04.1973)/45</t>
  </si>
  <si>
    <t>55,00</t>
  </si>
  <si>
    <t xml:space="preserve">Балашиха/Московская область </t>
  </si>
  <si>
    <t>52,5</t>
  </si>
  <si>
    <t xml:space="preserve">Брехов Р.О. </t>
  </si>
  <si>
    <t>Рыжова Алина</t>
  </si>
  <si>
    <t>1. Рыжова Алина</t>
  </si>
  <si>
    <t>Юниорки 20 - 23 (27.03.1996)/22</t>
  </si>
  <si>
    <t>61,30</t>
  </si>
  <si>
    <t>ВЕСОВАЯ КАТЕГОРИЯ   60</t>
  </si>
  <si>
    <t>Бурдин Антон</t>
  </si>
  <si>
    <t>1. Бурдин Антон</t>
  </si>
  <si>
    <t>Открытая (01.09.1989)/29</t>
  </si>
  <si>
    <t>58,30</t>
  </si>
  <si>
    <t>Кирилкин Дмитрий</t>
  </si>
  <si>
    <t>1. Кирилкин Дмитрий</t>
  </si>
  <si>
    <t>Юноши 15-19 (13.10.2003)/15</t>
  </si>
  <si>
    <t>64,90</t>
  </si>
  <si>
    <t>Иванов Егор</t>
  </si>
  <si>
    <t>1. Иванов Егор</t>
  </si>
  <si>
    <t>Юноши 15-19 (24.03.2002)/16</t>
  </si>
  <si>
    <t>73,80</t>
  </si>
  <si>
    <t xml:space="preserve">Ковшин Э. </t>
  </si>
  <si>
    <t>Румянцев Антон</t>
  </si>
  <si>
    <t>1. Румянцев Антон</t>
  </si>
  <si>
    <t>Юниоры 20 - 23 (25.02.1997)/21</t>
  </si>
  <si>
    <t>73,30</t>
  </si>
  <si>
    <t>117,5</t>
  </si>
  <si>
    <t>Галченков Владимир</t>
  </si>
  <si>
    <t>1. Галченков Владимир</t>
  </si>
  <si>
    <t>Открытая (22.07.1985)/33</t>
  </si>
  <si>
    <t>68,00</t>
  </si>
  <si>
    <t>Лебедев Михаил</t>
  </si>
  <si>
    <t>1. Лебедев Михаил</t>
  </si>
  <si>
    <t>Юниоры 20 - 23 (01.02.1996)/23</t>
  </si>
  <si>
    <t>81,10</t>
  </si>
  <si>
    <t>Белов Илья</t>
  </si>
  <si>
    <t>1. Белов Илья</t>
  </si>
  <si>
    <t>Открытая (26.12.1989)/29</t>
  </si>
  <si>
    <t>81,60</t>
  </si>
  <si>
    <t xml:space="preserve">Орехово-Зуево/Московская область </t>
  </si>
  <si>
    <t>212,5</t>
  </si>
  <si>
    <t>142,5</t>
  </si>
  <si>
    <t>147,5</t>
  </si>
  <si>
    <t xml:space="preserve">Юдаев А. </t>
  </si>
  <si>
    <t>Каземиров Владимир</t>
  </si>
  <si>
    <t>2. Каземиров Владимир</t>
  </si>
  <si>
    <t>Открытая (28.09.1986)/32</t>
  </si>
  <si>
    <t xml:space="preserve">Обухово/Московская область </t>
  </si>
  <si>
    <t>Холодный Станислав</t>
  </si>
  <si>
    <t>3. Холодный Станислав</t>
  </si>
  <si>
    <t>Открытая (09.07.1987)/31</t>
  </si>
  <si>
    <t>81,40</t>
  </si>
  <si>
    <t xml:space="preserve">Лобня/Московская область </t>
  </si>
  <si>
    <t>187,5</t>
  </si>
  <si>
    <t xml:space="preserve">Филиппов И. </t>
  </si>
  <si>
    <t>Матвеев Никита</t>
  </si>
  <si>
    <t>1. Матвеев Никита</t>
  </si>
  <si>
    <t>Юниоры 20 - 23 (13.08.1996)/22</t>
  </si>
  <si>
    <t>202,5</t>
  </si>
  <si>
    <t>217,5</t>
  </si>
  <si>
    <t xml:space="preserve">Юдаев А.И. </t>
  </si>
  <si>
    <t>Скорняков Вадим</t>
  </si>
  <si>
    <t>1. Скорняков Вадим</t>
  </si>
  <si>
    <t>Открытая (23.10.1982)/36</t>
  </si>
  <si>
    <t>89,70</t>
  </si>
  <si>
    <t xml:space="preserve">Филиппов И.Ю. </t>
  </si>
  <si>
    <t>Паскеев Борис</t>
  </si>
  <si>
    <t>1. Паскеев Борис</t>
  </si>
  <si>
    <t>Ветераны 60 - 64 (17.09.1955)/63</t>
  </si>
  <si>
    <t>88,40</t>
  </si>
  <si>
    <t>Сысоев Алексей</t>
  </si>
  <si>
    <t>1. Сысоев Алексей</t>
  </si>
  <si>
    <t>Открытая (24.05.1988)/30</t>
  </si>
  <si>
    <t>96,50</t>
  </si>
  <si>
    <t xml:space="preserve">Краснозаводск/Московская облас </t>
  </si>
  <si>
    <t xml:space="preserve">Пауесов Анатолий Иванович, Рат </t>
  </si>
  <si>
    <t>Сафронов Роман</t>
  </si>
  <si>
    <t>2. Сафронов Роман</t>
  </si>
  <si>
    <t>Открытая (04.08.1989)/29</t>
  </si>
  <si>
    <t>96,10</t>
  </si>
  <si>
    <t xml:space="preserve">Кровиков А.В. </t>
  </si>
  <si>
    <t>Лаханов Иван</t>
  </si>
  <si>
    <t>3. Лаханов Иван</t>
  </si>
  <si>
    <t>Открытая (17.06.1987)/31</t>
  </si>
  <si>
    <t>98,50</t>
  </si>
  <si>
    <t xml:space="preserve">Кубинка/Московская область </t>
  </si>
  <si>
    <t>152,5</t>
  </si>
  <si>
    <t>Великодный Дмитрий</t>
  </si>
  <si>
    <t>1. Великодный Дмитрий</t>
  </si>
  <si>
    <t>Юниоры 20 - 23 (05.10.1998)/20</t>
  </si>
  <si>
    <t>100,70</t>
  </si>
  <si>
    <t xml:space="preserve">Краснозаводск/Московская область </t>
  </si>
  <si>
    <t>247,5</t>
  </si>
  <si>
    <t xml:space="preserve">Пауесов А.И. </t>
  </si>
  <si>
    <t>Свиридов Дмитрий</t>
  </si>
  <si>
    <t>1. Свиридов Дмитрий</t>
  </si>
  <si>
    <t>Открытая (27.03.1992)/26</t>
  </si>
  <si>
    <t xml:space="preserve">Королёв/Московская область </t>
  </si>
  <si>
    <t>Строилов Михаил</t>
  </si>
  <si>
    <t>1. Строилов Михаил</t>
  </si>
  <si>
    <t>Ветераны 40 - 44 (09.01.1976)/43</t>
  </si>
  <si>
    <t>110,00</t>
  </si>
  <si>
    <t xml:space="preserve">Мудрогелов Р.А. </t>
  </si>
  <si>
    <t>Трдатьян Левон</t>
  </si>
  <si>
    <t>1. Трдатьян Левон</t>
  </si>
  <si>
    <t>Открытая (28.11.1980)/38</t>
  </si>
  <si>
    <t>122,20</t>
  </si>
  <si>
    <t>277,5</t>
  </si>
  <si>
    <t>Марченко Артем</t>
  </si>
  <si>
    <t>2. Марченко Артем</t>
  </si>
  <si>
    <t>Открытая (12.11.1991)/27</t>
  </si>
  <si>
    <t>119,90</t>
  </si>
  <si>
    <t>Цуркану Сергей</t>
  </si>
  <si>
    <t>1. Цуркану Сергей</t>
  </si>
  <si>
    <t>Открытая (08.04.1983)/35</t>
  </si>
  <si>
    <t>138,00</t>
  </si>
  <si>
    <t xml:space="preserve">Девушки </t>
  </si>
  <si>
    <t xml:space="preserve">Юноши 15-19 </t>
  </si>
  <si>
    <t>56,0</t>
  </si>
  <si>
    <t>294,1043</t>
  </si>
  <si>
    <t>282,3745</t>
  </si>
  <si>
    <t>351,5220</t>
  </si>
  <si>
    <t>308,2418</t>
  </si>
  <si>
    <t>284,6020</t>
  </si>
  <si>
    <t>279,2430</t>
  </si>
  <si>
    <t>262,5</t>
  </si>
  <si>
    <t>348,6074</t>
  </si>
  <si>
    <t>324,1749</t>
  </si>
  <si>
    <t xml:space="preserve">Юноши </t>
  </si>
  <si>
    <t>250,8030</t>
  </si>
  <si>
    <t>201,7960</t>
  </si>
  <si>
    <t>399,0367</t>
  </si>
  <si>
    <t>497,5</t>
  </si>
  <si>
    <t>360,2895</t>
  </si>
  <si>
    <t>525,0</t>
  </si>
  <si>
    <t>355,3725</t>
  </si>
  <si>
    <t>550,0</t>
  </si>
  <si>
    <t>353,9800</t>
  </si>
  <si>
    <t>770,0</t>
  </si>
  <si>
    <t>440,9020</t>
  </si>
  <si>
    <t>690,0</t>
  </si>
  <si>
    <t>426,2130</t>
  </si>
  <si>
    <t>414,4000</t>
  </si>
  <si>
    <t>580,0</t>
  </si>
  <si>
    <t>391,1520</t>
  </si>
  <si>
    <t>575,0</t>
  </si>
  <si>
    <t>387,7800</t>
  </si>
  <si>
    <t>615,0</t>
  </si>
  <si>
    <t>380,5620</t>
  </si>
  <si>
    <t>635,0</t>
  </si>
  <si>
    <t>375,8565</t>
  </si>
  <si>
    <t>555,0</t>
  </si>
  <si>
    <t>374,8470</t>
  </si>
  <si>
    <t>585,0</t>
  </si>
  <si>
    <t>358,1955</t>
  </si>
  <si>
    <t>617,5</t>
  </si>
  <si>
    <t>355,0625</t>
  </si>
  <si>
    <t>348,5275</t>
  </si>
  <si>
    <t>365,0</t>
  </si>
  <si>
    <t>319,7035</t>
  </si>
  <si>
    <t>335,0</t>
  </si>
  <si>
    <t>256,7775</t>
  </si>
  <si>
    <t xml:space="preserve">Ветераны 60 - 64 </t>
  </si>
  <si>
    <t>526,5231</t>
  </si>
  <si>
    <t>385,2821</t>
  </si>
  <si>
    <t>ВЕСОВАЯ КАТЕГОРИЯ   48</t>
  </si>
  <si>
    <t>Лукасевич Мария</t>
  </si>
  <si>
    <t>1. Лукасевич Мария</t>
  </si>
  <si>
    <t>Открытая (28.04.1989)/29</t>
  </si>
  <si>
    <t>47,90</t>
  </si>
  <si>
    <t xml:space="preserve">Афанасьев Н. </t>
  </si>
  <si>
    <t>Карпухина Ярослава</t>
  </si>
  <si>
    <t>2. Карпухина Ярослава</t>
  </si>
  <si>
    <t>Открытая (05.10.1994)/24</t>
  </si>
  <si>
    <t>47,20</t>
  </si>
  <si>
    <t>Щёголева Анна</t>
  </si>
  <si>
    <t>1. Щёголева Анна</t>
  </si>
  <si>
    <t>Открытая (15.05.1987)/31</t>
  </si>
  <si>
    <t xml:space="preserve">Солнечногорск/Московская облас </t>
  </si>
  <si>
    <t xml:space="preserve">Веселов О. </t>
  </si>
  <si>
    <t>Сидорова Виктория</t>
  </si>
  <si>
    <t>2. Сидорова Виктория</t>
  </si>
  <si>
    <t>Открытая (26.08.1993)/25</t>
  </si>
  <si>
    <t>50,60</t>
  </si>
  <si>
    <t>72,5</t>
  </si>
  <si>
    <t>37,5</t>
  </si>
  <si>
    <t>Петракова Оксана</t>
  </si>
  <si>
    <t>1. Петракова Оксана</t>
  </si>
  <si>
    <t>Открытая (15.01.1984)/35</t>
  </si>
  <si>
    <t>59,80</t>
  </si>
  <si>
    <t xml:space="preserve">Побережный А. </t>
  </si>
  <si>
    <t>Чаплыгина Екатерина</t>
  </si>
  <si>
    <t>2. Чаплыгина Екатерина</t>
  </si>
  <si>
    <t>Открытая (17.09.1991)/27</t>
  </si>
  <si>
    <t>58,50</t>
  </si>
  <si>
    <t>122,5</t>
  </si>
  <si>
    <t>127,5</t>
  </si>
  <si>
    <t>Викторова Наталья</t>
  </si>
  <si>
    <t>1. Викторова Наталья</t>
  </si>
  <si>
    <t>Открытая (29.12.1985)/33</t>
  </si>
  <si>
    <t>66,30</t>
  </si>
  <si>
    <t>Стрелова Дарья</t>
  </si>
  <si>
    <t>2. Стрелова Дарья</t>
  </si>
  <si>
    <t>Открытая (18.06.1980)/38</t>
  </si>
  <si>
    <t>65,50</t>
  </si>
  <si>
    <t xml:space="preserve">Черненок В.В. </t>
  </si>
  <si>
    <t>Храброва Виктория</t>
  </si>
  <si>
    <t>1. Храброва Виктория</t>
  </si>
  <si>
    <t>Открытая (15.08.1992)/26</t>
  </si>
  <si>
    <t>74,10</t>
  </si>
  <si>
    <t xml:space="preserve">Исаков Р. </t>
  </si>
  <si>
    <t>Назаренко Михаил</t>
  </si>
  <si>
    <t>1. Назаренко Михаил</t>
  </si>
  <si>
    <t>Открытая (13.05.1983)/35</t>
  </si>
  <si>
    <t>63,70</t>
  </si>
  <si>
    <t>Кукушкин Андрей</t>
  </si>
  <si>
    <t>2. Кукушкин Андрей</t>
  </si>
  <si>
    <t>Открытая (28.03.1986)/32</t>
  </si>
  <si>
    <t>66,50</t>
  </si>
  <si>
    <t>Кривов Лев</t>
  </si>
  <si>
    <t>1. Кривов Лев</t>
  </si>
  <si>
    <t>Юноши 15-19 (01.02.2001)/18</t>
  </si>
  <si>
    <t>72,90</t>
  </si>
  <si>
    <t xml:space="preserve">Мурзаханов Н.А. </t>
  </si>
  <si>
    <t>Штельмах Богдан</t>
  </si>
  <si>
    <t>2. Штельмах Богдан</t>
  </si>
  <si>
    <t>Юноши 15-19 (30.06.2001)/17</t>
  </si>
  <si>
    <t>72,10</t>
  </si>
  <si>
    <t>132,5</t>
  </si>
  <si>
    <t xml:space="preserve">Штельмах Б.Р </t>
  </si>
  <si>
    <t>Аркадьев Дмитрий</t>
  </si>
  <si>
    <t>1. Аркадьев Дмитрий</t>
  </si>
  <si>
    <t>Открытая (25.01.1983)/36</t>
  </si>
  <si>
    <t xml:space="preserve">Черткова А. </t>
  </si>
  <si>
    <t>Борисов Анатолий</t>
  </si>
  <si>
    <t>2. Борисов Анатолий</t>
  </si>
  <si>
    <t>Открытая (09.07.1989)/29</t>
  </si>
  <si>
    <t>72,20</t>
  </si>
  <si>
    <t xml:space="preserve">Черненок Виктор Викторович </t>
  </si>
  <si>
    <t>Скворцов Владимир</t>
  </si>
  <si>
    <t>1. Скворцов Владимир</t>
  </si>
  <si>
    <t>Юноши 15-19 (01.07.2003)/15</t>
  </si>
  <si>
    <t>80,60</t>
  </si>
  <si>
    <t>Вторушин Даниил</t>
  </si>
  <si>
    <t>1. Вторушин Даниил</t>
  </si>
  <si>
    <t>Юниоры 20 - 23 (17.10.1995)/23</t>
  </si>
  <si>
    <t>80,80</t>
  </si>
  <si>
    <t xml:space="preserve">Вторушин Д.Д. </t>
  </si>
  <si>
    <t>Старцев Игорь</t>
  </si>
  <si>
    <t>1. Старцев Игорь</t>
  </si>
  <si>
    <t>Открытая (14.03.1983)/35</t>
  </si>
  <si>
    <t>82,50</t>
  </si>
  <si>
    <t>222,5</t>
  </si>
  <si>
    <t>267,5</t>
  </si>
  <si>
    <t>Сухарев Владислав</t>
  </si>
  <si>
    <t>1. Сухарев Владислав</t>
  </si>
  <si>
    <t>Юноши 15-19 (29.03.1999)/19</t>
  </si>
  <si>
    <t>88,20</t>
  </si>
  <si>
    <t xml:space="preserve">Санкт-Петербург </t>
  </si>
  <si>
    <t xml:space="preserve">Санкт-Петербург/ </t>
  </si>
  <si>
    <t xml:space="preserve">Мурзаханов К.А. </t>
  </si>
  <si>
    <t>Фролов Ярослав</t>
  </si>
  <si>
    <t>2. Фролов Ярослав</t>
  </si>
  <si>
    <t>Юноши 15-19 (17.12.2004)/14</t>
  </si>
  <si>
    <t>87,00</t>
  </si>
  <si>
    <t xml:space="preserve">Малов </t>
  </si>
  <si>
    <t>Ярлыков Максим</t>
  </si>
  <si>
    <t>1. Ярлыков Максим</t>
  </si>
  <si>
    <t>Открытая (16.10.1984)/34</t>
  </si>
  <si>
    <t>89,50</t>
  </si>
  <si>
    <t xml:space="preserve">Мытищи/Московская область </t>
  </si>
  <si>
    <t xml:space="preserve">Ярлыков М.И. </t>
  </si>
  <si>
    <t>Ермаков Константин</t>
  </si>
  <si>
    <t>2. Ермаков Константин</t>
  </si>
  <si>
    <t>Открытая (31.12.1984)/34</t>
  </si>
  <si>
    <t>88,80</t>
  </si>
  <si>
    <t xml:space="preserve">Болдин И. </t>
  </si>
  <si>
    <t>Волокитин Максим</t>
  </si>
  <si>
    <t>3. Волокитин Максим</t>
  </si>
  <si>
    <t>Открытая (30.09.1986)/32</t>
  </si>
  <si>
    <t>Павловский Дмитрий</t>
  </si>
  <si>
    <t>1. Павловский Дмитрий</t>
  </si>
  <si>
    <t>Открытая (01.02.1988)/31</t>
  </si>
  <si>
    <t>99,90</t>
  </si>
  <si>
    <t xml:space="preserve">Сенькин В.В. </t>
  </si>
  <si>
    <t>Салов Андрей</t>
  </si>
  <si>
    <t>2. Салов Андрей</t>
  </si>
  <si>
    <t>Открытая (30.08.1984)/34</t>
  </si>
  <si>
    <t>93,50</t>
  </si>
  <si>
    <t xml:space="preserve">Пермская </t>
  </si>
  <si>
    <t xml:space="preserve">Пермь/Пермский край </t>
  </si>
  <si>
    <t xml:space="preserve">Гродзенский Д.С. </t>
  </si>
  <si>
    <t>Ковалев Роман</t>
  </si>
  <si>
    <t>3. Ковалев Роман</t>
  </si>
  <si>
    <t>Открытая (13.03.1988)/30</t>
  </si>
  <si>
    <t>99,30</t>
  </si>
  <si>
    <t>157,5</t>
  </si>
  <si>
    <t xml:space="preserve">Ковалев Р.В. </t>
  </si>
  <si>
    <t>Открытая (09.08.1992)/26</t>
  </si>
  <si>
    <t>97,20</t>
  </si>
  <si>
    <t>Самофалов Олег</t>
  </si>
  <si>
    <t>1. Самофалов Олег</t>
  </si>
  <si>
    <t>Ветераны 40 - 44 (11.03.1976)/42</t>
  </si>
  <si>
    <t xml:space="preserve">Раменское/Московская область </t>
  </si>
  <si>
    <t>Беспалько Даниил</t>
  </si>
  <si>
    <t>1. Беспалько Даниил</t>
  </si>
  <si>
    <t>Юноши 15-19 (20.04.2001)/17</t>
  </si>
  <si>
    <t>108,60</t>
  </si>
  <si>
    <t xml:space="preserve">Лохадынов А.С. </t>
  </si>
  <si>
    <t>Евстигнеев Михаил</t>
  </si>
  <si>
    <t>1. Евстигнеев Михаил</t>
  </si>
  <si>
    <t>Открытая (21.06.1976)/42</t>
  </si>
  <si>
    <t>104,80</t>
  </si>
  <si>
    <t xml:space="preserve">Козлов В.В. </t>
  </si>
  <si>
    <t>Шустов Александр</t>
  </si>
  <si>
    <t>2. Шустов Александр</t>
  </si>
  <si>
    <t>Открытая (07.07.1987)/31</t>
  </si>
  <si>
    <t>106,20</t>
  </si>
  <si>
    <t xml:space="preserve">Сенькин В В </t>
  </si>
  <si>
    <t>Ветераны 40 - 44 (21.06.1976)/42</t>
  </si>
  <si>
    <t>Таргонский Чеслав</t>
  </si>
  <si>
    <t>1. Таргонский Чеслав</t>
  </si>
  <si>
    <t>Ветераны 60 - 64 (06.01.1958)/61</t>
  </si>
  <si>
    <t>101,40</t>
  </si>
  <si>
    <t xml:space="preserve">Журавлев С.П. </t>
  </si>
  <si>
    <t>Семенов Александр</t>
  </si>
  <si>
    <t>1. Семенов Александр</t>
  </si>
  <si>
    <t>Открытая (11.09.1978)/40</t>
  </si>
  <si>
    <t>116,70</t>
  </si>
  <si>
    <t>Ветераны 40 - 44 (11.09.1978)/40</t>
  </si>
  <si>
    <t>Зайцев Кирилл</t>
  </si>
  <si>
    <t>1. Зайцев Кирилл</t>
  </si>
  <si>
    <t>Юноши 15-19 (10.05.2000)/18</t>
  </si>
  <si>
    <t>137,80</t>
  </si>
  <si>
    <t>363,2850</t>
  </si>
  <si>
    <t>48,0</t>
  </si>
  <si>
    <t>338,2575</t>
  </si>
  <si>
    <t>328,4960</t>
  </si>
  <si>
    <t>307,0170</t>
  </si>
  <si>
    <t>294,6615</t>
  </si>
  <si>
    <t>281,6640</t>
  </si>
  <si>
    <t>263,7533</t>
  </si>
  <si>
    <t>254,6000</t>
  </si>
  <si>
    <t>244,2645</t>
  </si>
  <si>
    <t>715,0</t>
  </si>
  <si>
    <t>400,5430</t>
  </si>
  <si>
    <t>495,0</t>
  </si>
  <si>
    <t>319,3245</t>
  </si>
  <si>
    <t>283,5690</t>
  </si>
  <si>
    <t>268,4025</t>
  </si>
  <si>
    <t>417,5</t>
  </si>
  <si>
    <t>246,7008</t>
  </si>
  <si>
    <t>312,5</t>
  </si>
  <si>
    <t>229,0625</t>
  </si>
  <si>
    <t>172,2235</t>
  </si>
  <si>
    <t>517,5</t>
  </si>
  <si>
    <t>351,1237</t>
  </si>
  <si>
    <t>650,0</t>
  </si>
  <si>
    <t>435,4350</t>
  </si>
  <si>
    <t>602,5</t>
  </si>
  <si>
    <t>434,2218</t>
  </si>
  <si>
    <t>637,5</t>
  </si>
  <si>
    <t>408,1275</t>
  </si>
  <si>
    <t>677,5</t>
  </si>
  <si>
    <t>405,1450</t>
  </si>
  <si>
    <t>640,0</t>
  </si>
  <si>
    <t>389,6320</t>
  </si>
  <si>
    <t>600,0</t>
  </si>
  <si>
    <t>385,6800</t>
  </si>
  <si>
    <t>380,9280</t>
  </si>
  <si>
    <t>625,0</t>
  </si>
  <si>
    <t>361,7500</t>
  </si>
  <si>
    <t>572,5</t>
  </si>
  <si>
    <t>358,7285</t>
  </si>
  <si>
    <t>530,0</t>
  </si>
  <si>
    <t>339,3060</t>
  </si>
  <si>
    <t>319,5155</t>
  </si>
  <si>
    <t>360,0</t>
  </si>
  <si>
    <t>280,9440</t>
  </si>
  <si>
    <t>435,0</t>
  </si>
  <si>
    <t>265,4805</t>
  </si>
  <si>
    <t>322,5</t>
  </si>
  <si>
    <t>236,1345</t>
  </si>
  <si>
    <t>587,5</t>
  </si>
  <si>
    <t>485,7684</t>
  </si>
  <si>
    <t>413,2479</t>
  </si>
  <si>
    <t>507,5</t>
  </si>
  <si>
    <t>316,8536</t>
  </si>
  <si>
    <t>Подгорнова Арина</t>
  </si>
  <si>
    <t>-. Подгорнова Арина</t>
  </si>
  <si>
    <t>Девушки 15-19 (11.03.2002)/16</t>
  </si>
  <si>
    <t>63,80</t>
  </si>
  <si>
    <t xml:space="preserve">Ушков И.Д. </t>
  </si>
  <si>
    <t>Панков Николай</t>
  </si>
  <si>
    <t>1. Панков Николай</t>
  </si>
  <si>
    <t>Юниоры 20 - 23 (17.07.1996)/22</t>
  </si>
  <si>
    <t>103,80</t>
  </si>
  <si>
    <t xml:space="preserve">Егорьевск/Московская область </t>
  </si>
  <si>
    <t>414,0000</t>
  </si>
  <si>
    <t>Хорольская Александра</t>
  </si>
  <si>
    <t>1. Хорольская Александра</t>
  </si>
  <si>
    <t>Открытая (12.01.1983)/36</t>
  </si>
  <si>
    <t>58,80</t>
  </si>
  <si>
    <t>Ларская Алиса</t>
  </si>
  <si>
    <t>1. Ларская Алиса</t>
  </si>
  <si>
    <t>Открытая (18.04.1989)/29</t>
  </si>
  <si>
    <t>65,30</t>
  </si>
  <si>
    <t xml:space="preserve">Зеленоград/Московская область </t>
  </si>
  <si>
    <t xml:space="preserve">Волков В.Л. </t>
  </si>
  <si>
    <t>Баранова Ольга</t>
  </si>
  <si>
    <t>1. Баранова Ольга</t>
  </si>
  <si>
    <t>Ветераны 40 - 44 (21.05.1976)/42</t>
  </si>
  <si>
    <t>65,0</t>
  </si>
  <si>
    <t>Яковлева Ирина</t>
  </si>
  <si>
    <t>1. Яковлева Ирина</t>
  </si>
  <si>
    <t>Открытая (08.01.1970)/49</t>
  </si>
  <si>
    <t>79,90</t>
  </si>
  <si>
    <t xml:space="preserve">Солнечногорск/Московская область </t>
  </si>
  <si>
    <t xml:space="preserve">Лепешичев А.А. </t>
  </si>
  <si>
    <t>Кузнецов Александр</t>
  </si>
  <si>
    <t>1. Кузнецов Александр</t>
  </si>
  <si>
    <t>Открытая (16.12.1993)/25</t>
  </si>
  <si>
    <t>59,60</t>
  </si>
  <si>
    <t>Попов Максим</t>
  </si>
  <si>
    <t>2. Попов Максим</t>
  </si>
  <si>
    <t>Открытая (03.09.1984)/34</t>
  </si>
  <si>
    <t>59,70</t>
  </si>
  <si>
    <t>Бердников Владимир</t>
  </si>
  <si>
    <t>1. Бердников Владимир</t>
  </si>
  <si>
    <t>Открытая (25.02.1987)/32</t>
  </si>
  <si>
    <t>65,90</t>
  </si>
  <si>
    <t xml:space="preserve">Видное/Московская область </t>
  </si>
  <si>
    <t xml:space="preserve">Мусихин Ю. </t>
  </si>
  <si>
    <t>Маринкевич Илья</t>
  </si>
  <si>
    <t>1. Маринкевич Илья</t>
  </si>
  <si>
    <t>Юноши 15-19 (03.08.2003)/15</t>
  </si>
  <si>
    <t>70,00</t>
  </si>
  <si>
    <t>Румянцев Александр</t>
  </si>
  <si>
    <t>1. Румянцев Александр</t>
  </si>
  <si>
    <t>Открытая (26.06.1991)/27</t>
  </si>
  <si>
    <t>70,70</t>
  </si>
  <si>
    <t xml:space="preserve">Селятино/Московская область </t>
  </si>
  <si>
    <t xml:space="preserve">Тимченко С.С. </t>
  </si>
  <si>
    <t>Милостной Станислав</t>
  </si>
  <si>
    <t>1. Милостной Станислав</t>
  </si>
  <si>
    <t>Открытая (19.12.1978)/40</t>
  </si>
  <si>
    <t>81,90</t>
  </si>
  <si>
    <t xml:space="preserve">Курская </t>
  </si>
  <si>
    <t xml:space="preserve">Курск/Курская область </t>
  </si>
  <si>
    <t>Ломин Сергей</t>
  </si>
  <si>
    <t>2. Ломин Сергей</t>
  </si>
  <si>
    <t>Открытая (14.09.1987)/31</t>
  </si>
  <si>
    <t>81,70</t>
  </si>
  <si>
    <t>Никитин Сергей</t>
  </si>
  <si>
    <t>3. Никитин Сергей</t>
  </si>
  <si>
    <t>Открытая (08.09.1990)/28</t>
  </si>
  <si>
    <t>Петрокович Николай</t>
  </si>
  <si>
    <t>4. Петрокович Николай</t>
  </si>
  <si>
    <t>Открытая (17.08.1979)/39</t>
  </si>
  <si>
    <t>-. Руль Андрей</t>
  </si>
  <si>
    <t>Открытая (24.07.1982)/36</t>
  </si>
  <si>
    <t>81,50</t>
  </si>
  <si>
    <t>Хитров Сергей</t>
  </si>
  <si>
    <t>1. Хитров Сергей</t>
  </si>
  <si>
    <t>Открытая (01.10.1979)/39</t>
  </si>
  <si>
    <t>87,40</t>
  </si>
  <si>
    <t>Арестов Александр</t>
  </si>
  <si>
    <t>2. Арестов Александр</t>
  </si>
  <si>
    <t>Открытая (08.06.1986)/32</t>
  </si>
  <si>
    <t xml:space="preserve">Колохин П. </t>
  </si>
  <si>
    <t>Корочкин Михаил</t>
  </si>
  <si>
    <t>1. Корочкин Михаил</t>
  </si>
  <si>
    <t>Ветераны 50 - 54 (16.06.1967)/51</t>
  </si>
  <si>
    <t>84,90</t>
  </si>
  <si>
    <t xml:space="preserve">Люберцы/Московская область </t>
  </si>
  <si>
    <t xml:space="preserve">Корочкин М.Ю. </t>
  </si>
  <si>
    <t>Базанов Сергей</t>
  </si>
  <si>
    <t>1. Базанов Сергей</t>
  </si>
  <si>
    <t>Ветераны 55 - 59 (22.06.1962)/56</t>
  </si>
  <si>
    <t>88,70</t>
  </si>
  <si>
    <t xml:space="preserve">Ржев/Тверская область </t>
  </si>
  <si>
    <t>Шестаков Николай</t>
  </si>
  <si>
    <t>1. Шестаков Николай</t>
  </si>
  <si>
    <t>Юниоры 20 - 23 (12.04.1996)/22</t>
  </si>
  <si>
    <t>93,90</t>
  </si>
  <si>
    <t xml:space="preserve">Барнаул/Алтайский край </t>
  </si>
  <si>
    <t xml:space="preserve">Коновалов С.В. </t>
  </si>
  <si>
    <t>Ююкин Максим</t>
  </si>
  <si>
    <t>1. Ююкин Максим</t>
  </si>
  <si>
    <t>Открытая (09.05.1982)/36</t>
  </si>
  <si>
    <t>98,80</t>
  </si>
  <si>
    <t xml:space="preserve">Дмитров/Московская область </t>
  </si>
  <si>
    <t xml:space="preserve">Ананин А. </t>
  </si>
  <si>
    <t>Саливон Сергей</t>
  </si>
  <si>
    <t>2. Саливон Сергей</t>
  </si>
  <si>
    <t>Открытая (14.02.1982)/37</t>
  </si>
  <si>
    <t>97,80</t>
  </si>
  <si>
    <t>Кондаков Алексей</t>
  </si>
  <si>
    <t>1. Кондаков Алексей</t>
  </si>
  <si>
    <t>Ветераны 45 - 49 (22.07.1970)/48</t>
  </si>
  <si>
    <t>92,60</t>
  </si>
  <si>
    <t>Хатипов Владимир</t>
  </si>
  <si>
    <t>1. Хатипов Владимир</t>
  </si>
  <si>
    <t>Ветераны 50 - 54 (25.01.1969)/50</t>
  </si>
  <si>
    <t>95,20</t>
  </si>
  <si>
    <t xml:space="preserve">Киреевск/Тульская область </t>
  </si>
  <si>
    <t>Рассказихин Дмитрий</t>
  </si>
  <si>
    <t>2. Рассказихин Дмитрий</t>
  </si>
  <si>
    <t>Ветераны 50 - 54 (13.02.1969)/50</t>
  </si>
  <si>
    <t>98,30</t>
  </si>
  <si>
    <t xml:space="preserve">Сумин А. </t>
  </si>
  <si>
    <t>Свинарчук Владимир</t>
  </si>
  <si>
    <t>1. Свинарчук Владимир</t>
  </si>
  <si>
    <t>Открытая (30.08.1983)/35</t>
  </si>
  <si>
    <t>107,20</t>
  </si>
  <si>
    <t xml:space="preserve">Свининов В. </t>
  </si>
  <si>
    <t>Цымбаленко Владимир</t>
  </si>
  <si>
    <t>2. Цымбаленко Владимир</t>
  </si>
  <si>
    <t>Открытая (13.07.1985)/33</t>
  </si>
  <si>
    <t>109,10</t>
  </si>
  <si>
    <t>Якуба Александр</t>
  </si>
  <si>
    <t>3. Якуба Александр</t>
  </si>
  <si>
    <t>Открытая (26.09.1987)/31</t>
  </si>
  <si>
    <t>Цуцкиридзе Нодар</t>
  </si>
  <si>
    <t>1. Цуцкиридзе Нодар</t>
  </si>
  <si>
    <t>Ветераны 40 - 44 (14.09.1976)/42</t>
  </si>
  <si>
    <t>101,80</t>
  </si>
  <si>
    <t xml:space="preserve">Тверь/Тверская область </t>
  </si>
  <si>
    <t>Климов Юрий</t>
  </si>
  <si>
    <t>1. Климов Юрий</t>
  </si>
  <si>
    <t>Ветераны 45 - 49 (06.04.1972)/46</t>
  </si>
  <si>
    <t>106,00</t>
  </si>
  <si>
    <t xml:space="preserve">Фрязино/Московская область </t>
  </si>
  <si>
    <t xml:space="preserve">Климов Ю.В. </t>
  </si>
  <si>
    <t>Старов Дмитрий</t>
  </si>
  <si>
    <t>2. Старов Дмитрий</t>
  </si>
  <si>
    <t>Ветераны 45 - 49 (01.02.1973)/46</t>
  </si>
  <si>
    <t>Филин Вячеслав</t>
  </si>
  <si>
    <t>1. Филин Вячеслав</t>
  </si>
  <si>
    <t>Ветераны 55 - 59 (12.11.1961)/57</t>
  </si>
  <si>
    <t>104,10</t>
  </si>
  <si>
    <t xml:space="preserve">Соломин В.Б. </t>
  </si>
  <si>
    <t>Кудряшов Владимир</t>
  </si>
  <si>
    <t>1. Кудряшов Владимир</t>
  </si>
  <si>
    <t>Открытая (05.11.1985)/33</t>
  </si>
  <si>
    <t>116,60</t>
  </si>
  <si>
    <t>Трухачев Игорь</t>
  </si>
  <si>
    <t>2. Трухачев Игорь</t>
  </si>
  <si>
    <t>Открытая (31.10.1988)/30</t>
  </si>
  <si>
    <t>119,70</t>
  </si>
  <si>
    <t>Зуйков Евгений</t>
  </si>
  <si>
    <t>3. Зуйков Евгений</t>
  </si>
  <si>
    <t>Открытая (10.05.1994)/24</t>
  </si>
  <si>
    <t>123,10</t>
  </si>
  <si>
    <t xml:space="preserve">Звенигород/Московская область </t>
  </si>
  <si>
    <t xml:space="preserve">Беловал Е. </t>
  </si>
  <si>
    <t>Чернышев Андрей</t>
  </si>
  <si>
    <t>4. Чернышев Андрей</t>
  </si>
  <si>
    <t>Открытая (24.08.1981)/37</t>
  </si>
  <si>
    <t>124,70</t>
  </si>
  <si>
    <t xml:space="preserve">Ивантеевка/Московская область </t>
  </si>
  <si>
    <t>-. Кабанов Дмитрий</t>
  </si>
  <si>
    <t>Открытая (15.06.1987)/31</t>
  </si>
  <si>
    <t>Волков Александр</t>
  </si>
  <si>
    <t>1. Волков Александр</t>
  </si>
  <si>
    <t>Ветераны 40 - 44 (17.02.1975)/44</t>
  </si>
  <si>
    <t>124,50</t>
  </si>
  <si>
    <t xml:space="preserve">Шабалин Д.А. </t>
  </si>
  <si>
    <t>Лапин-Кратасюк Евгений</t>
  </si>
  <si>
    <t>1. Лапин-Кратасюк Евгений</t>
  </si>
  <si>
    <t>Открытая (13.09.1980)/38</t>
  </si>
  <si>
    <t>131,50</t>
  </si>
  <si>
    <t xml:space="preserve">Железнодорожный/Московская область </t>
  </si>
  <si>
    <t>Ветераны 50 - 54 (21.08.1966)/52</t>
  </si>
  <si>
    <t>135,80</t>
  </si>
  <si>
    <t>ВЕСОВАЯ КАТЕГОРИЯ   140+</t>
  </si>
  <si>
    <t>Дерюженко Евгений</t>
  </si>
  <si>
    <t>1. Дерюженко Евгений</t>
  </si>
  <si>
    <t>Открытая (07.06.1981)/37</t>
  </si>
  <si>
    <t>168,50</t>
  </si>
  <si>
    <t>107,5830</t>
  </si>
  <si>
    <t>73,1850</t>
  </si>
  <si>
    <t>50,9625</t>
  </si>
  <si>
    <t>66,9566</t>
  </si>
  <si>
    <t>74,9400</t>
  </si>
  <si>
    <t>112,5720</t>
  </si>
  <si>
    <t>158,1315</t>
  </si>
  <si>
    <t>144,7500</t>
  </si>
  <si>
    <t>133,4925</t>
  </si>
  <si>
    <t>140+</t>
  </si>
  <si>
    <t>125,0970</t>
  </si>
  <si>
    <t>120,8130</t>
  </si>
  <si>
    <t>115,7020</t>
  </si>
  <si>
    <t>115,0500</t>
  </si>
  <si>
    <t>113,9990</t>
  </si>
  <si>
    <t>113,6982</t>
  </si>
  <si>
    <t>113,1460</t>
  </si>
  <si>
    <t>112,8783</t>
  </si>
  <si>
    <t>111,4815</t>
  </si>
  <si>
    <t>110,2110</t>
  </si>
  <si>
    <t>107,8240</t>
  </si>
  <si>
    <t>106,7940</t>
  </si>
  <si>
    <t>102,8480</t>
  </si>
  <si>
    <t>96,9170</t>
  </si>
  <si>
    <t>94,2480</t>
  </si>
  <si>
    <t>89,0590</t>
  </si>
  <si>
    <t>79,9478</t>
  </si>
  <si>
    <t>73,7990</t>
  </si>
  <si>
    <t xml:space="preserve">Ветераны 55 - 59 </t>
  </si>
  <si>
    <t>148,2076</t>
  </si>
  <si>
    <t>139,7941</t>
  </si>
  <si>
    <t>137,3465</t>
  </si>
  <si>
    <t>136,2426</t>
  </si>
  <si>
    <t>122,8818</t>
  </si>
  <si>
    <t>122,5747</t>
  </si>
  <si>
    <t>121,2010</t>
  </si>
  <si>
    <t>115,9905</t>
  </si>
  <si>
    <t>112,9079</t>
  </si>
  <si>
    <t>107,8854</t>
  </si>
  <si>
    <t>97,9831</t>
  </si>
  <si>
    <t>Результат</t>
  </si>
  <si>
    <t>Кулаков Владимир</t>
  </si>
  <si>
    <t>1. Кулаков Владимир</t>
  </si>
  <si>
    <t>Открытая (24.12.1955)/63</t>
  </si>
  <si>
    <t>73,10</t>
  </si>
  <si>
    <t>Ветераны 60 - 64 (24.12.1955)/63</t>
  </si>
  <si>
    <t>Нечпал Вячеслав</t>
  </si>
  <si>
    <t>1. Нечпал Вячеслав</t>
  </si>
  <si>
    <t>Открытая (02.07.1973)/45</t>
  </si>
  <si>
    <t>94,30</t>
  </si>
  <si>
    <t>Сапунков Константин</t>
  </si>
  <si>
    <t>2. Сапунков Константин</t>
  </si>
  <si>
    <t>Открытая (02.09.1981)/37</t>
  </si>
  <si>
    <t>97,90</t>
  </si>
  <si>
    <t>Родионов Евгений</t>
  </si>
  <si>
    <t>3. Родионов Евгений</t>
  </si>
  <si>
    <t>Открытая (21.09.1981)/37</t>
  </si>
  <si>
    <t>96,90</t>
  </si>
  <si>
    <t>-. Лазарев Владимир</t>
  </si>
  <si>
    <t>Открытая (06.11.1979)/39</t>
  </si>
  <si>
    <t>100,00</t>
  </si>
  <si>
    <t xml:space="preserve">Истра/Московская область </t>
  </si>
  <si>
    <t xml:space="preserve">Маркин Н.И. </t>
  </si>
  <si>
    <t>Ветераны 45 - 49 (02.07.1973)/45</t>
  </si>
  <si>
    <t>Брехов Роман</t>
  </si>
  <si>
    <t>1. Брехов Роман</t>
  </si>
  <si>
    <t>Открытая (24.02.1990)/29</t>
  </si>
  <si>
    <t>108,80</t>
  </si>
  <si>
    <t>272,5</t>
  </si>
  <si>
    <t xml:space="preserve">Соловьёв В. </t>
  </si>
  <si>
    <t>157,5853</t>
  </si>
  <si>
    <t>155,0062</t>
  </si>
  <si>
    <t>141,1970</t>
  </si>
  <si>
    <t>107,9050</t>
  </si>
  <si>
    <t>58,0480</t>
  </si>
  <si>
    <t>166,2524</t>
  </si>
  <si>
    <t>82,4862</t>
  </si>
  <si>
    <t>Палей Семен</t>
  </si>
  <si>
    <t>1. Палей Семен</t>
  </si>
  <si>
    <t>Юниоры 20 - 23 (01.01.1999)/20</t>
  </si>
  <si>
    <t>77,60</t>
  </si>
  <si>
    <t xml:space="preserve">Челябинская </t>
  </si>
  <si>
    <t xml:space="preserve">Магнитогорск/Челябинская область </t>
  </si>
  <si>
    <t>Филин Илья</t>
  </si>
  <si>
    <t>1. Филин Илья</t>
  </si>
  <si>
    <t>Открытая (16.08.1988)/30</t>
  </si>
  <si>
    <t>85,00</t>
  </si>
  <si>
    <t>90,5190</t>
  </si>
  <si>
    <t>164,5750</t>
  </si>
  <si>
    <t>ВЕСОВАЯ КАТЕГОРИЯ   44</t>
  </si>
  <si>
    <t>Красилова Екатерина</t>
  </si>
  <si>
    <t>1. Красилова Екатерина</t>
  </si>
  <si>
    <t>Открытая (12.06.1985)/33</t>
  </si>
  <si>
    <t>42,50</t>
  </si>
  <si>
    <t xml:space="preserve">Кемеровская </t>
  </si>
  <si>
    <t xml:space="preserve">Белово/Кемеровская область </t>
  </si>
  <si>
    <t>32,5</t>
  </si>
  <si>
    <t xml:space="preserve">Татаринцева Ю. </t>
  </si>
  <si>
    <t>Рыбак Наталья</t>
  </si>
  <si>
    <t>1. Рыбак Наталья</t>
  </si>
  <si>
    <t>Открытая (26.12.1983)/35</t>
  </si>
  <si>
    <t>46,50</t>
  </si>
  <si>
    <t xml:space="preserve">Смоленская </t>
  </si>
  <si>
    <t xml:space="preserve">Смоленск/Смоленская область </t>
  </si>
  <si>
    <t xml:space="preserve">Васильев А. </t>
  </si>
  <si>
    <t>-. Максимова Кристина</t>
  </si>
  <si>
    <t>Открытая (16.08.1982)/36</t>
  </si>
  <si>
    <t>48,00</t>
  </si>
  <si>
    <t>Евдокимова Елена</t>
  </si>
  <si>
    <t>1. Евдокимова Елена</t>
  </si>
  <si>
    <t>Ветераны 45 - 49 (06.05.1970)/48</t>
  </si>
  <si>
    <t>52,00</t>
  </si>
  <si>
    <t xml:space="preserve">Сорокин С.В. </t>
  </si>
  <si>
    <t>Кричмар Ольга</t>
  </si>
  <si>
    <t>1. Кричмар Ольга</t>
  </si>
  <si>
    <t>Открытая (09.03.1982)/36</t>
  </si>
  <si>
    <t>59,50</t>
  </si>
  <si>
    <t xml:space="preserve">Чекренев А.В. </t>
  </si>
  <si>
    <t>Ухарева Мария</t>
  </si>
  <si>
    <t>2. Ухарева Мария</t>
  </si>
  <si>
    <t>Открытая (03.05.1988)/30</t>
  </si>
  <si>
    <t>58,20</t>
  </si>
  <si>
    <t xml:space="preserve">Корнеев П.Н. </t>
  </si>
  <si>
    <t>Григорьева Тамара</t>
  </si>
  <si>
    <t>3. Григорьева Тамара</t>
  </si>
  <si>
    <t>Открытая (09.04.1990)/28</t>
  </si>
  <si>
    <t>58,60</t>
  </si>
  <si>
    <t xml:space="preserve">Лазарев В.В. </t>
  </si>
  <si>
    <t>Зайцева Екатерина</t>
  </si>
  <si>
    <t>4. Зайцева Екатерина</t>
  </si>
  <si>
    <t>Открытая (10.11.1988)/30</t>
  </si>
  <si>
    <t>59,10</t>
  </si>
  <si>
    <t>Черемисова Анна</t>
  </si>
  <si>
    <t>1. Черемисова Анна</t>
  </si>
  <si>
    <t>Ветераны 40 - 44 (25.04.1975)/43</t>
  </si>
  <si>
    <t>58,70</t>
  </si>
  <si>
    <t xml:space="preserve">Прагин Р.О. </t>
  </si>
  <si>
    <t>Баталова Татьяна</t>
  </si>
  <si>
    <t>1. Баталова Татьяна</t>
  </si>
  <si>
    <t>Юниорки 20 - 23 (20.05.1997)/21</t>
  </si>
  <si>
    <t>65,00</t>
  </si>
  <si>
    <t xml:space="preserve">Балугин Н.В. </t>
  </si>
  <si>
    <t>Волкова Мария</t>
  </si>
  <si>
    <t>1. Волкова Мария</t>
  </si>
  <si>
    <t>Открытая (03.01.1995)/24</t>
  </si>
  <si>
    <t>66,00</t>
  </si>
  <si>
    <t xml:space="preserve">Дубна/Московская область </t>
  </si>
  <si>
    <t xml:space="preserve">Шабров А.Г. </t>
  </si>
  <si>
    <t>Виардо Юлия</t>
  </si>
  <si>
    <t>2. Виардо Юлия</t>
  </si>
  <si>
    <t>Открытая (07.09.1984)/34</t>
  </si>
  <si>
    <t>67,50</t>
  </si>
  <si>
    <t>Гришина Анастасия</t>
  </si>
  <si>
    <t>3. Гришина Анастасия</t>
  </si>
  <si>
    <t>Открытая (09.06.1986)/32</t>
  </si>
  <si>
    <t>66,80</t>
  </si>
  <si>
    <t>Ермолаева Анна</t>
  </si>
  <si>
    <t>1. Ермолаева Анна</t>
  </si>
  <si>
    <t>Ветераны 40 - 44 (27.04.1975)/43</t>
  </si>
  <si>
    <t>67,00</t>
  </si>
  <si>
    <t xml:space="preserve">Беляев Р.С. </t>
  </si>
  <si>
    <t>Федюнина Яна</t>
  </si>
  <si>
    <t>2. Федюнина Яна</t>
  </si>
  <si>
    <t>Ветераны 40 - 44 (15.11.1975)/43</t>
  </si>
  <si>
    <t xml:space="preserve">Прагин Р. О. </t>
  </si>
  <si>
    <t>Лаврищева Наталья</t>
  </si>
  <si>
    <t>3. Лаврищева Наталья</t>
  </si>
  <si>
    <t>Ветераны 40 - 44 (09.09.1974)/44</t>
  </si>
  <si>
    <t>67,30</t>
  </si>
  <si>
    <t>Казанцева Алина</t>
  </si>
  <si>
    <t>1. Казанцева Алина</t>
  </si>
  <si>
    <t>Девушки 15-19 (18.12.2000)/18</t>
  </si>
  <si>
    <t>74,50</t>
  </si>
  <si>
    <t>Арцимовский Дмитрий</t>
  </si>
  <si>
    <t>1. Арцимовский Дмитрий</t>
  </si>
  <si>
    <t>Юноши 15-19 (03.03.2004)/14</t>
  </si>
  <si>
    <t>51,60</t>
  </si>
  <si>
    <t>Булгаков Борис</t>
  </si>
  <si>
    <t>2. Булгаков Борис</t>
  </si>
  <si>
    <t>Юноши 15-19 (22.03.2001)/17</t>
  </si>
  <si>
    <t>54,80</t>
  </si>
  <si>
    <t>1. Ситдиков Владислав</t>
  </si>
  <si>
    <t>Открытая (23.12.1994)/24</t>
  </si>
  <si>
    <t>51,10</t>
  </si>
  <si>
    <t xml:space="preserve">Щегольков В.И. </t>
  </si>
  <si>
    <t>Логинов Матвей</t>
  </si>
  <si>
    <t>1. Логинов Матвей</t>
  </si>
  <si>
    <t>Юноши 15-19 (24.02.2003)/15</t>
  </si>
  <si>
    <t>58,00</t>
  </si>
  <si>
    <t xml:space="preserve">Елисеев П.С </t>
  </si>
  <si>
    <t>Черпунай Георгий</t>
  </si>
  <si>
    <t>2. Черпунай Георгий</t>
  </si>
  <si>
    <t>Юноши 15-19 (24.04.2001)/17</t>
  </si>
  <si>
    <t>Фатькин Ярослав</t>
  </si>
  <si>
    <t>1. Фатькин Ярослав</t>
  </si>
  <si>
    <t>Юноши 15-19 (24.08.2000)/18</t>
  </si>
  <si>
    <t>Кириллов Кирилл</t>
  </si>
  <si>
    <t>2. Кириллов Кирилл</t>
  </si>
  <si>
    <t>Юноши 15-19 (08.09.2001)/17</t>
  </si>
  <si>
    <t>62,00</t>
  </si>
  <si>
    <t>Иванов Александр</t>
  </si>
  <si>
    <t>1. Иванов Александр</t>
  </si>
  <si>
    <t>Юниоры 20 - 23 (18.06.1997)/21</t>
  </si>
  <si>
    <t xml:space="preserve">Иванов А. С. </t>
  </si>
  <si>
    <t>-. Чвиков Николай</t>
  </si>
  <si>
    <t>Ветераны 40 - 44 (17.09.1978)/40</t>
  </si>
  <si>
    <t>65,80</t>
  </si>
  <si>
    <t xml:space="preserve">Семенова О.Г. </t>
  </si>
  <si>
    <t>Ланенкин Илья</t>
  </si>
  <si>
    <t>1. Ланенкин Илья</t>
  </si>
  <si>
    <t>Юноши 15-19 (13.06.2000)/18</t>
  </si>
  <si>
    <t>73,90</t>
  </si>
  <si>
    <t xml:space="preserve">Ланенкин С.В. </t>
  </si>
  <si>
    <t>Чичерин-Лукьяненко Андрей</t>
  </si>
  <si>
    <t>2. Чичерин-Лукьяненко Андрей</t>
  </si>
  <si>
    <t>Юноши 15-19 (23.11.2000)/18</t>
  </si>
  <si>
    <t>74,00</t>
  </si>
  <si>
    <t xml:space="preserve">Чичерин-Лукьяненко Андрей Игор </t>
  </si>
  <si>
    <t>Сурков Кондрат</t>
  </si>
  <si>
    <t>3. Сурков Кондрат</t>
  </si>
  <si>
    <t>Юноши 15-19 (04.04.2002)/16</t>
  </si>
  <si>
    <t>71,20</t>
  </si>
  <si>
    <t xml:space="preserve">Иван Рак </t>
  </si>
  <si>
    <t>Берлизов Дмитрий</t>
  </si>
  <si>
    <t>1. Берлизов Дмитрий</t>
  </si>
  <si>
    <t>Юниоры 20 - 23 (22.01.1996)/23</t>
  </si>
  <si>
    <t>74,60</t>
  </si>
  <si>
    <t xml:space="preserve">Рак И. </t>
  </si>
  <si>
    <t>Сахарнюк Вадим</t>
  </si>
  <si>
    <t>1. Сахарнюк Вадим</t>
  </si>
  <si>
    <t>Открытая (07.11.1981)/37</t>
  </si>
  <si>
    <t>71,70</t>
  </si>
  <si>
    <t>2. Качалин Андрей</t>
  </si>
  <si>
    <t>Открытая (14.10.1997)/21</t>
  </si>
  <si>
    <t>3. Вахрушев Илья</t>
  </si>
  <si>
    <t>Открытая (26.03.1989)/29</t>
  </si>
  <si>
    <t>74,20</t>
  </si>
  <si>
    <t>4. Мельников Дмитрий</t>
  </si>
  <si>
    <t>Открытая (13.11.1991)/27</t>
  </si>
  <si>
    <t>74,70</t>
  </si>
  <si>
    <t>5. Пекарский Николай</t>
  </si>
  <si>
    <t>Открытая (16.12.1989)/29</t>
  </si>
  <si>
    <t>73,00</t>
  </si>
  <si>
    <t>-. Рывкин Дмитрий</t>
  </si>
  <si>
    <t>Открытая (10.04.1980)/38</t>
  </si>
  <si>
    <t>75,00</t>
  </si>
  <si>
    <t>Солодов Олег</t>
  </si>
  <si>
    <t>1. Солодов Олег</t>
  </si>
  <si>
    <t>Ветераны 45 - 49 (14.10.1971)/47</t>
  </si>
  <si>
    <t>72,60</t>
  </si>
  <si>
    <t>Ветров Николай</t>
  </si>
  <si>
    <t>1. Ветров Николай</t>
  </si>
  <si>
    <t>Ветераны 70 - 74 (12.09.1945)/73</t>
  </si>
  <si>
    <t xml:space="preserve">Санников В.М. </t>
  </si>
  <si>
    <t>Лобанов Максим</t>
  </si>
  <si>
    <t>1. Лобанов Максим</t>
  </si>
  <si>
    <t>Юноши 15-19 (16.11.2004)/14</t>
  </si>
  <si>
    <t xml:space="preserve">Иванкин Д.Н. </t>
  </si>
  <si>
    <t>Власкин Илья</t>
  </si>
  <si>
    <t>1. Власкин Илья</t>
  </si>
  <si>
    <t>Юниоры 20 - 23 (14.09.1997)/21</t>
  </si>
  <si>
    <t>Добудько Дмитрий</t>
  </si>
  <si>
    <t>1. Добудько Дмитрий</t>
  </si>
  <si>
    <t>Открытая (07.10.1982)/36</t>
  </si>
  <si>
    <t>Угольников Ярослав</t>
  </si>
  <si>
    <t>2. Угольников Ярослав</t>
  </si>
  <si>
    <t>Открытая (01.05.1989)/29</t>
  </si>
  <si>
    <t>80,70</t>
  </si>
  <si>
    <t>Голубоцких Павел</t>
  </si>
  <si>
    <t>3. Голубоцких Павел</t>
  </si>
  <si>
    <t>Открытая (09.08.1985)/33</t>
  </si>
  <si>
    <t xml:space="preserve">Мазур Е.А. </t>
  </si>
  <si>
    <t>Вольф Виталий</t>
  </si>
  <si>
    <t>4. Вольф Виталий</t>
  </si>
  <si>
    <t>Открытая (20.01.1983)/36</t>
  </si>
  <si>
    <t>78,80</t>
  </si>
  <si>
    <t xml:space="preserve">Свиридов Дмитрий </t>
  </si>
  <si>
    <t>5. Черняков Алексей</t>
  </si>
  <si>
    <t>Открытая (26.03.1978)/40</t>
  </si>
  <si>
    <t>6. Богино Илья</t>
  </si>
  <si>
    <t>Открытая (01.02.1994)/25</t>
  </si>
  <si>
    <t>81,00</t>
  </si>
  <si>
    <t>7. Евсеев Роман</t>
  </si>
  <si>
    <t>Открытая (12.08.1993)/25</t>
  </si>
  <si>
    <t>76,00</t>
  </si>
  <si>
    <t>1. Парфенков Алексей</t>
  </si>
  <si>
    <t>Ветераны 40 - 44 (30.12.1976)/42</t>
  </si>
  <si>
    <t>81,20</t>
  </si>
  <si>
    <t>Музалевский Андрей</t>
  </si>
  <si>
    <t>1. Музалевский Андрей</t>
  </si>
  <si>
    <t>Ветераны 45 - 49 (29.12.1970)/48</t>
  </si>
  <si>
    <t>77,40</t>
  </si>
  <si>
    <t xml:space="preserve">Музалевский </t>
  </si>
  <si>
    <t>Мешалов Алексей</t>
  </si>
  <si>
    <t>2. Мешалов Алексей</t>
  </si>
  <si>
    <t>Ветераны 45 - 49 (02.01.1973)/46</t>
  </si>
  <si>
    <t>80,50</t>
  </si>
  <si>
    <t xml:space="preserve">Комиссаров К. </t>
  </si>
  <si>
    <t>Кондрашев Сергей</t>
  </si>
  <si>
    <t>1. Кондрашев Сергей</t>
  </si>
  <si>
    <t>Ветераны 55 - 59 (16.09.1963)/55</t>
  </si>
  <si>
    <t>79,60</t>
  </si>
  <si>
    <t xml:space="preserve">Одинцово/Московская область </t>
  </si>
  <si>
    <t>2. Лазуткин Андрей</t>
  </si>
  <si>
    <t>Ветераны 55 - 59 (27.11.1962)/56</t>
  </si>
  <si>
    <t>80,90</t>
  </si>
  <si>
    <t>Санников Владислав</t>
  </si>
  <si>
    <t>1. Санников Владислав</t>
  </si>
  <si>
    <t>Ветераны 75 - 79 (29.10.1938)/80</t>
  </si>
  <si>
    <t>77,90</t>
  </si>
  <si>
    <t>Открытая (30.11.1990)/28</t>
  </si>
  <si>
    <t>88,30</t>
  </si>
  <si>
    <t xml:space="preserve">Апальков А.Г. </t>
  </si>
  <si>
    <t>Булахов Евгений</t>
  </si>
  <si>
    <t>Открытая (07.06.1985)/33</t>
  </si>
  <si>
    <t>86,90</t>
  </si>
  <si>
    <t xml:space="preserve">Сафоново/Смоленская область </t>
  </si>
  <si>
    <t>Добрянский Денис</t>
  </si>
  <si>
    <t>Открытая (06.12.1977)/41</t>
  </si>
  <si>
    <t>Козак Константин</t>
  </si>
  <si>
    <t>Открытая (08.10.1993)/25</t>
  </si>
  <si>
    <t>88,50</t>
  </si>
  <si>
    <t>162,5</t>
  </si>
  <si>
    <t>Бирюков Никита</t>
  </si>
  <si>
    <t>89,20</t>
  </si>
  <si>
    <t>Раудмес Руслан</t>
  </si>
  <si>
    <t>Открытая (30.01.1983)/36</t>
  </si>
  <si>
    <t>84,60</t>
  </si>
  <si>
    <t xml:space="preserve">Базанов С.Ю. </t>
  </si>
  <si>
    <t>Дашкевич Роман</t>
  </si>
  <si>
    <t>Открытая (12.02.1983)/36</t>
  </si>
  <si>
    <t>87,10</t>
  </si>
  <si>
    <t>Открытая (20.06.1991)/27</t>
  </si>
  <si>
    <t>89,00</t>
  </si>
  <si>
    <t xml:space="preserve">Басарев М.С </t>
  </si>
  <si>
    <t>Открытая (13.03.1981)/37</t>
  </si>
  <si>
    <t>90,00</t>
  </si>
  <si>
    <t>Открытая (20.03.1986)/32</t>
  </si>
  <si>
    <t>88,00</t>
  </si>
  <si>
    <t>Открытая (03.02.1993)/26</t>
  </si>
  <si>
    <t>89,40</t>
  </si>
  <si>
    <t>Открытая (07.07.1989)/29</t>
  </si>
  <si>
    <t xml:space="preserve">Волков В. </t>
  </si>
  <si>
    <t>Открытая (06.12.1983)/35</t>
  </si>
  <si>
    <t>82,90</t>
  </si>
  <si>
    <t xml:space="preserve">Красково/Московская область </t>
  </si>
  <si>
    <t>Открытая (25.07.1996)/22</t>
  </si>
  <si>
    <t xml:space="preserve">Ковалев К.М. </t>
  </si>
  <si>
    <t>-. Гончар Сергей</t>
  </si>
  <si>
    <t>Открытая (14.06.1989)/29</t>
  </si>
  <si>
    <t>87,90</t>
  </si>
  <si>
    <t xml:space="preserve">Гончар С.В. </t>
  </si>
  <si>
    <t>-. Серов Алексей</t>
  </si>
  <si>
    <t>Открытая (26.07.1990)/28</t>
  </si>
  <si>
    <t>89,10</t>
  </si>
  <si>
    <t>1. Добрянский Денис</t>
  </si>
  <si>
    <t>Ветераны 40 - 44 (06.12.1977)/41</t>
  </si>
  <si>
    <t>Абдулкадиров Назир</t>
  </si>
  <si>
    <t>2. Абдулкадиров Назир</t>
  </si>
  <si>
    <t>Ветераны 40 - 44 (25.10.1976)/42</t>
  </si>
  <si>
    <t>3. Нараулов Александр</t>
  </si>
  <si>
    <t>Ветераны 40 - 44 (09.09.1978)/40</t>
  </si>
  <si>
    <t>Сироткин Игорь</t>
  </si>
  <si>
    <t>1. Сироткин Игорь</t>
  </si>
  <si>
    <t>Ветераны 45 - 49 (29.07.1970)/48</t>
  </si>
  <si>
    <t>88,90</t>
  </si>
  <si>
    <t xml:space="preserve">Соловьев Ю.В. </t>
  </si>
  <si>
    <t>Хорхордин Игорь</t>
  </si>
  <si>
    <t>1. Хорхордин Игорь</t>
  </si>
  <si>
    <t>Ветераны 50 - 54 (15.06.1967)/51</t>
  </si>
  <si>
    <t>Сорокин Геннадий</t>
  </si>
  <si>
    <t>1. Сорокин Геннадий</t>
  </si>
  <si>
    <t>Ветераны 55 - 59 (08.09.1959)/59</t>
  </si>
  <si>
    <t>Матвеев Павел</t>
  </si>
  <si>
    <t>1. Матвеев Павел</t>
  </si>
  <si>
    <t>Открытая (06.08.1993)/25</t>
  </si>
  <si>
    <t>96,70</t>
  </si>
  <si>
    <t xml:space="preserve">Щелково-3/Московская </t>
  </si>
  <si>
    <t>Зотов Александр</t>
  </si>
  <si>
    <t>2. Зотов Александр</t>
  </si>
  <si>
    <t>Открытая (13.05.1986)/32</t>
  </si>
  <si>
    <t xml:space="preserve">Гончаров С.П. </t>
  </si>
  <si>
    <t>Кулаков Никита</t>
  </si>
  <si>
    <t>3. Кулаков Никита</t>
  </si>
  <si>
    <t>Открытая (09.10.1988)/30</t>
  </si>
  <si>
    <t xml:space="preserve">Московская область/Московская </t>
  </si>
  <si>
    <t xml:space="preserve">Изоткин Владимир Валентинович </t>
  </si>
  <si>
    <t>Наумов Андрей</t>
  </si>
  <si>
    <t>4. Наумов Андрей</t>
  </si>
  <si>
    <t>Открытая (07.10.1981)/37</t>
  </si>
  <si>
    <t>99,70</t>
  </si>
  <si>
    <t>5. Лапин Александр</t>
  </si>
  <si>
    <t>Открытая (25.09.1989)/29</t>
  </si>
  <si>
    <t>93,70</t>
  </si>
  <si>
    <t xml:space="preserve">Лапин А.Е. </t>
  </si>
  <si>
    <t>6. Винокуров Роман</t>
  </si>
  <si>
    <t>Открытая (26.05.1984)/34</t>
  </si>
  <si>
    <t>99,40</t>
  </si>
  <si>
    <t>7. Аристархов Роман</t>
  </si>
  <si>
    <t>Открытая (01.08.1990)/28</t>
  </si>
  <si>
    <t xml:space="preserve">Лотошино/Московская область </t>
  </si>
  <si>
    <t xml:space="preserve">Воронин А. </t>
  </si>
  <si>
    <t>-. Вергасов Александр</t>
  </si>
  <si>
    <t>Открытая (07.12.1990)/28</t>
  </si>
  <si>
    <t>1. Щербаков Владислав</t>
  </si>
  <si>
    <t>Ветераны 40 - 44 (07.08.1977)/41</t>
  </si>
  <si>
    <t>2. Бобырь Вадим</t>
  </si>
  <si>
    <t>Ветераны 40 - 44 (06.09.1976)/42</t>
  </si>
  <si>
    <t xml:space="preserve">Сумин А.В. </t>
  </si>
  <si>
    <t>3. Баннов Григорий</t>
  </si>
  <si>
    <t>Ветераны 40 - 44 (19.10.1975)/43</t>
  </si>
  <si>
    <t>98,20</t>
  </si>
  <si>
    <t xml:space="preserve">Кондрашов Ю.С. </t>
  </si>
  <si>
    <t>Ладонцев Алексей</t>
  </si>
  <si>
    <t>1. Ладонцев Алексей</t>
  </si>
  <si>
    <t>Ветераны 45 - 49 (17.11.1973)/45</t>
  </si>
  <si>
    <t>Шабалин Александр</t>
  </si>
  <si>
    <t>2. Шабалин Александр</t>
  </si>
  <si>
    <t>Ветераны 45 - 49 (07.09.1971)/47</t>
  </si>
  <si>
    <t>Лебедко Дмитрий</t>
  </si>
  <si>
    <t>3. Лебедко Дмитрий</t>
  </si>
  <si>
    <t>Ветераны 45 - 49 (26.03.1973)/45</t>
  </si>
  <si>
    <t>Трутнев Вячеслав</t>
  </si>
  <si>
    <t>1. Трутнев Вячеслав</t>
  </si>
  <si>
    <t>Открытая (12.10.1985)/33</t>
  </si>
  <si>
    <t>106,60</t>
  </si>
  <si>
    <t xml:space="preserve">Нижегородская </t>
  </si>
  <si>
    <t xml:space="preserve">Нижний Новгород/Нижегородская </t>
  </si>
  <si>
    <t>Хачатрян Георгий</t>
  </si>
  <si>
    <t>2. Хачатрян Георгий</t>
  </si>
  <si>
    <t>Открытая (23.07.1986)/32</t>
  </si>
  <si>
    <t>107,30</t>
  </si>
  <si>
    <t xml:space="preserve">Лосино-Петровский/Московская область </t>
  </si>
  <si>
    <t>Лещенко Иван</t>
  </si>
  <si>
    <t>3. Лещенко Иван</t>
  </si>
  <si>
    <t>Открытая (10.07.1986)/32</t>
  </si>
  <si>
    <t>105,60</t>
  </si>
  <si>
    <t>Коновалов Алексей</t>
  </si>
  <si>
    <t>4. Коновалов Алексей</t>
  </si>
  <si>
    <t>Открытая (06.07.1992)/26</t>
  </si>
  <si>
    <t>104,30</t>
  </si>
  <si>
    <t>5. Зюкин Максим</t>
  </si>
  <si>
    <t>Открытая (15.09.1985)/33</t>
  </si>
  <si>
    <t>105,90</t>
  </si>
  <si>
    <t xml:space="preserve">Алексеев А.В. </t>
  </si>
  <si>
    <t>6. Попов Роман</t>
  </si>
  <si>
    <t>Открытая (27.07.1992)/26</t>
  </si>
  <si>
    <t>Родников Антон</t>
  </si>
  <si>
    <t>1. Родников Антон</t>
  </si>
  <si>
    <t>Ветераны 40 - 44 (23.08.1976)/42</t>
  </si>
  <si>
    <t xml:space="preserve">Мазур Е. </t>
  </si>
  <si>
    <t>Рудецких Андрей</t>
  </si>
  <si>
    <t>2. Рудецких Андрей</t>
  </si>
  <si>
    <t>Ветераны 40 - 44 (17.11.1978)/40</t>
  </si>
  <si>
    <t xml:space="preserve">Лазариди Г. </t>
  </si>
  <si>
    <t>Карчевский Аркадий</t>
  </si>
  <si>
    <t>3. Карчевский Аркадий</t>
  </si>
  <si>
    <t>Ветераны 40 - 44 (28.04.1975)/43</t>
  </si>
  <si>
    <t>109,40</t>
  </si>
  <si>
    <t xml:space="preserve">Романов Ю. </t>
  </si>
  <si>
    <t>-. Ремин Кирилл</t>
  </si>
  <si>
    <t>Ветераны 40 - 44 (13.08.1975)/43</t>
  </si>
  <si>
    <t xml:space="preserve">Пушнин М. </t>
  </si>
  <si>
    <t>Буханцев Павел</t>
  </si>
  <si>
    <t>1. Буханцев Павел</t>
  </si>
  <si>
    <t>Ветераны 45 - 49 (02.08.1969)/49</t>
  </si>
  <si>
    <t xml:space="preserve">Кондаков А. </t>
  </si>
  <si>
    <t>Демидов Дмитрий</t>
  </si>
  <si>
    <t>1. Демидов Дмитрий</t>
  </si>
  <si>
    <t>Юниоры 20 - 23 (04.10.1998)/20</t>
  </si>
  <si>
    <t>122,60</t>
  </si>
  <si>
    <t>Сперанский Вадим</t>
  </si>
  <si>
    <t>1. Сперанский Вадим</t>
  </si>
  <si>
    <t>Открытая (03.09.1992)/26</t>
  </si>
  <si>
    <t>120,10</t>
  </si>
  <si>
    <t xml:space="preserve">Сперанский В.Е. </t>
  </si>
  <si>
    <t>Перепичай Василий</t>
  </si>
  <si>
    <t>2. Перепичай Василий</t>
  </si>
  <si>
    <t>Открытая (27.02.1981)/37</t>
  </si>
  <si>
    <t>124,10</t>
  </si>
  <si>
    <t>Киреёнок Василий</t>
  </si>
  <si>
    <t>3. Киреёнок Василий</t>
  </si>
  <si>
    <t>Открытая (14.12.1978)/40</t>
  </si>
  <si>
    <t>4. Фролов Александр</t>
  </si>
  <si>
    <t>Открытая (17.01.1988)/31</t>
  </si>
  <si>
    <t>124,80</t>
  </si>
  <si>
    <t>5. Есин Кирилл</t>
  </si>
  <si>
    <t>Открытая (09.03.1992)/26</t>
  </si>
  <si>
    <t>124,90</t>
  </si>
  <si>
    <t>6. Ладыкин Дмитрий</t>
  </si>
  <si>
    <t>Открытая (07.02.1991)/28</t>
  </si>
  <si>
    <t>121,50</t>
  </si>
  <si>
    <t>Орехов Валентин</t>
  </si>
  <si>
    <t>1. Орехов Валентин</t>
  </si>
  <si>
    <t>Ветераны 40 - 44 (10.01.1977)/42</t>
  </si>
  <si>
    <t>115,60</t>
  </si>
  <si>
    <t xml:space="preserve">Музолевский А.В. </t>
  </si>
  <si>
    <t>Иванов Сергей</t>
  </si>
  <si>
    <t>1. Иванов Сергей</t>
  </si>
  <si>
    <t>Ветераны 50 - 54 (10.07.1967)/51</t>
  </si>
  <si>
    <t>111,00</t>
  </si>
  <si>
    <t>Чубаров Владимир</t>
  </si>
  <si>
    <t>2. Чубаров Владимир</t>
  </si>
  <si>
    <t>Ветераны 50 - 54 (03.04.1964)/54</t>
  </si>
  <si>
    <t>123,20</t>
  </si>
  <si>
    <t>Беляев Владимир</t>
  </si>
  <si>
    <t>1. Беляев Владимир</t>
  </si>
  <si>
    <t>Ветераны 70 - 74 (14.07.1946)/72</t>
  </si>
  <si>
    <t>115,20</t>
  </si>
  <si>
    <t>Филин Михаил</t>
  </si>
  <si>
    <t>1. Филин Михаил</t>
  </si>
  <si>
    <t>Открытая (17.11.1961)/57</t>
  </si>
  <si>
    <t>140,00</t>
  </si>
  <si>
    <t>Каныгин Сергей</t>
  </si>
  <si>
    <t>1. Каныгин Сергей</t>
  </si>
  <si>
    <t>Ветераны 50 - 54 (24.01.1966)/53</t>
  </si>
  <si>
    <t>138,60</t>
  </si>
  <si>
    <t>Ветераны 55 - 59 (17.11.1961)/57</t>
  </si>
  <si>
    <t>57,2820</t>
  </si>
  <si>
    <t>68,1915</t>
  </si>
  <si>
    <t>95,9595</t>
  </si>
  <si>
    <t>89,7680</t>
  </si>
  <si>
    <t>89,3025</t>
  </si>
  <si>
    <t>79,9120</t>
  </si>
  <si>
    <t>77,9297</t>
  </si>
  <si>
    <t>76,6462</t>
  </si>
  <si>
    <t>70,5063</t>
  </si>
  <si>
    <t>56,5565</t>
  </si>
  <si>
    <t>44,0</t>
  </si>
  <si>
    <t>46,8065</t>
  </si>
  <si>
    <t>84,6327</t>
  </si>
  <si>
    <t>75,3743</t>
  </si>
  <si>
    <t>68,3760</t>
  </si>
  <si>
    <t>58,4577</t>
  </si>
  <si>
    <t>48,0051</t>
  </si>
  <si>
    <t>82,8000</t>
  </si>
  <si>
    <t>75,5265</t>
  </si>
  <si>
    <t>74,1975</t>
  </si>
  <si>
    <t>70,7580</t>
  </si>
  <si>
    <t>68,3183</t>
  </si>
  <si>
    <t>61,0335</t>
  </si>
  <si>
    <t>60,7860</t>
  </si>
  <si>
    <t>53,4750</t>
  </si>
  <si>
    <t>52,8120</t>
  </si>
  <si>
    <t>51,3300</t>
  </si>
  <si>
    <t>98,9577</t>
  </si>
  <si>
    <t>97,2740</t>
  </si>
  <si>
    <t>94,3440</t>
  </si>
  <si>
    <t>89,4000</t>
  </si>
  <si>
    <t>114,4413</t>
  </si>
  <si>
    <t>112,7080</t>
  </si>
  <si>
    <t>110,5510</t>
  </si>
  <si>
    <t>109,2120</t>
  </si>
  <si>
    <t>108,3040</t>
  </si>
  <si>
    <t>107,3520</t>
  </si>
  <si>
    <t>106,3755</t>
  </si>
  <si>
    <t>105,2450</t>
  </si>
  <si>
    <t>104,9240</t>
  </si>
  <si>
    <t>104,6500</t>
  </si>
  <si>
    <t>104,1527</t>
  </si>
  <si>
    <t>103,0680</t>
  </si>
  <si>
    <t>103,0400</t>
  </si>
  <si>
    <t>102,9985</t>
  </si>
  <si>
    <t>102,6080</t>
  </si>
  <si>
    <t>102,3155</t>
  </si>
  <si>
    <t>101,9810</t>
  </si>
  <si>
    <t>101,8380</t>
  </si>
  <si>
    <t>101,8300</t>
  </si>
  <si>
    <t>101,6718</t>
  </si>
  <si>
    <t>100,9140</t>
  </si>
  <si>
    <t>100,6725</t>
  </si>
  <si>
    <t>100,5345</t>
  </si>
  <si>
    <t>141,3666</t>
  </si>
  <si>
    <t>130,7945</t>
  </si>
  <si>
    <t>129,3119</t>
  </si>
  <si>
    <t>127,5668</t>
  </si>
  <si>
    <t xml:space="preserve">Ветераны 75 - 79 </t>
  </si>
  <si>
    <t>124,5759</t>
  </si>
  <si>
    <t>119,9438</t>
  </si>
  <si>
    <t>117,7648</t>
  </si>
  <si>
    <t>116,9951</t>
  </si>
  <si>
    <t>107,4687</t>
  </si>
  <si>
    <t>107,4393</t>
  </si>
  <si>
    <t xml:space="preserve">Ветераны 70 - 74 </t>
  </si>
  <si>
    <t>107,2650</t>
  </si>
  <si>
    <t>105,0355</t>
  </si>
  <si>
    <t>103,2963</t>
  </si>
  <si>
    <t>102,5833</t>
  </si>
  <si>
    <t>102,1038</t>
  </si>
  <si>
    <t>101,2439</t>
  </si>
  <si>
    <t>100,6803</t>
  </si>
  <si>
    <t>100,5452</t>
  </si>
  <si>
    <t>99,7666</t>
  </si>
  <si>
    <t>99,1815</t>
  </si>
  <si>
    <t>98,0424</t>
  </si>
  <si>
    <t>97,3500</t>
  </si>
  <si>
    <t>96,3110</t>
  </si>
  <si>
    <t>95,7245</t>
  </si>
  <si>
    <t>Поливанова Анастасия</t>
  </si>
  <si>
    <t>1. Поливанова Анастасия</t>
  </si>
  <si>
    <t>Открытая (20.01.1993)/26</t>
  </si>
  <si>
    <t>46,80</t>
  </si>
  <si>
    <t xml:space="preserve">Филатов В.Г. </t>
  </si>
  <si>
    <t>Левенкова Наталья</t>
  </si>
  <si>
    <t>1. Левенкова Наталья</t>
  </si>
  <si>
    <t>Открытая (16.09.1988)/30</t>
  </si>
  <si>
    <t>54,70</t>
  </si>
  <si>
    <t>1. Подгорнова Арина</t>
  </si>
  <si>
    <t>Сидоров Игорь</t>
  </si>
  <si>
    <t>2. Сидоров Игорь</t>
  </si>
  <si>
    <t>Открытая (08.01.1987)/32</t>
  </si>
  <si>
    <t>Игнатов Андрей</t>
  </si>
  <si>
    <t>1. Игнатов Андрей</t>
  </si>
  <si>
    <t>Открытая (22.02.1992)/27</t>
  </si>
  <si>
    <t>97,50</t>
  </si>
  <si>
    <t>Литовский Михаил</t>
  </si>
  <si>
    <t>1. Литовский Михаил</t>
  </si>
  <si>
    <t>Открытая (16.01.1993)/26</t>
  </si>
  <si>
    <t>100,90</t>
  </si>
  <si>
    <t xml:space="preserve">Илья Ушков </t>
  </si>
  <si>
    <t>79,7850</t>
  </si>
  <si>
    <t>101,1750</t>
  </si>
  <si>
    <t>95,8800</t>
  </si>
  <si>
    <t>161,4375</t>
  </si>
  <si>
    <t>136,9987</t>
  </si>
  <si>
    <t>133,4640</t>
  </si>
  <si>
    <t>121,2800</t>
  </si>
  <si>
    <t>Ильенко Александр</t>
  </si>
  <si>
    <t>1. Ильенко Александр</t>
  </si>
  <si>
    <t>Юниоры 20 - 23 (23.03.1996)/22</t>
  </si>
  <si>
    <t xml:space="preserve">Резвых В.Н. </t>
  </si>
  <si>
    <t>Желудев Виталий</t>
  </si>
  <si>
    <t>1. Желудев Виталий</t>
  </si>
  <si>
    <t>Открытая (09.02.1985)/34</t>
  </si>
  <si>
    <t xml:space="preserve">Евдокушин С.П. </t>
  </si>
  <si>
    <t>Галыняк Александр</t>
  </si>
  <si>
    <t>2. Галыняк Александр</t>
  </si>
  <si>
    <t>Открытая (28.09.1994)/24</t>
  </si>
  <si>
    <t>89,30</t>
  </si>
  <si>
    <t xml:space="preserve">Железнодорожный/Московская обл </t>
  </si>
  <si>
    <t xml:space="preserve">Александр Галыняк </t>
  </si>
  <si>
    <t>Кожаткин Дмитрий</t>
  </si>
  <si>
    <t>1. Кожаткин Дмитрий</t>
  </si>
  <si>
    <t>Ветераны 40 - 44 (10.06.1978)/40</t>
  </si>
  <si>
    <t>Кравченко Евгений</t>
  </si>
  <si>
    <t>1. Кравченко Евгений</t>
  </si>
  <si>
    <t>Открытая (03.11.1986)/32</t>
  </si>
  <si>
    <t xml:space="preserve">Нижневартовск/Ханты-Мансийский АО </t>
  </si>
  <si>
    <t>-. Карпович Максим</t>
  </si>
  <si>
    <t>Открытая (13.07.1993)/25</t>
  </si>
  <si>
    <t>97,60</t>
  </si>
  <si>
    <t>Сазонов Павел</t>
  </si>
  <si>
    <t>1. Сазонов Павел</t>
  </si>
  <si>
    <t>101,90</t>
  </si>
  <si>
    <t>Дворцов Александр</t>
  </si>
  <si>
    <t>2. Дворцов Александр</t>
  </si>
  <si>
    <t>Открытая (09.07.1981)/37</t>
  </si>
  <si>
    <t>107,70</t>
  </si>
  <si>
    <t xml:space="preserve">Дворцов А.В. </t>
  </si>
  <si>
    <t>Ушков Илья</t>
  </si>
  <si>
    <t>1. Ушков Илья</t>
  </si>
  <si>
    <t>100,80</t>
  </si>
  <si>
    <t>297,5</t>
  </si>
  <si>
    <t>Алимов Геннадий</t>
  </si>
  <si>
    <t>2. Алимов Геннадий</t>
  </si>
  <si>
    <t>Ветераны 40 - 44 (27.11.1974)/44</t>
  </si>
  <si>
    <t>1. Старов Дмитрий</t>
  </si>
  <si>
    <t>Стасенко Герман</t>
  </si>
  <si>
    <t>2. Стасенко Герман</t>
  </si>
  <si>
    <t>Ветераны 45 - 49 (28.08.1969)/49</t>
  </si>
  <si>
    <t>106,90</t>
  </si>
  <si>
    <t>Сахаров Григорий</t>
  </si>
  <si>
    <t>1. Сахаров Григорий</t>
  </si>
  <si>
    <t>Ветераны 40 - 44 (17.06.1977)/41</t>
  </si>
  <si>
    <t xml:space="preserve">Белкин Ю. </t>
  </si>
  <si>
    <t>135,9150</t>
  </si>
  <si>
    <t>192,3465</t>
  </si>
  <si>
    <t>221,5555</t>
  </si>
  <si>
    <t>193,1160</t>
  </si>
  <si>
    <t>187,2710</t>
  </si>
  <si>
    <t>160,2500</t>
  </si>
  <si>
    <t>154,0240</t>
  </si>
  <si>
    <t>184,1031</t>
  </si>
  <si>
    <t>164,3588</t>
  </si>
  <si>
    <t>156,9084</t>
  </si>
  <si>
    <t>156,7621</t>
  </si>
  <si>
    <t>133,8547</t>
  </si>
  <si>
    <t>102,4960</t>
  </si>
  <si>
    <t>Смирнова Елизавета</t>
  </si>
  <si>
    <t>2. Смирнова Елизавета</t>
  </si>
  <si>
    <t>Открытая (19.01.1995)/24</t>
  </si>
  <si>
    <t xml:space="preserve">Елизавета Смирнова </t>
  </si>
  <si>
    <t>Булкина Мария</t>
  </si>
  <si>
    <t>1. Булкина Мария</t>
  </si>
  <si>
    <t>Открытая (24.07.1984)/34</t>
  </si>
  <si>
    <t xml:space="preserve">Овчаров С. </t>
  </si>
  <si>
    <t>1. Демина Лариса</t>
  </si>
  <si>
    <t>56,00</t>
  </si>
  <si>
    <t>Павлова Анастасия</t>
  </si>
  <si>
    <t>1. Павлова Анастасия</t>
  </si>
  <si>
    <t>Юниорки 20 - 23 (19.05.1998)/20</t>
  </si>
  <si>
    <t>55,40</t>
  </si>
  <si>
    <t>Огородникова Мария</t>
  </si>
  <si>
    <t>1. Огородникова Мария</t>
  </si>
  <si>
    <t>Открытая (28.04.1982)/36</t>
  </si>
  <si>
    <t>Авраменко Евгения</t>
  </si>
  <si>
    <t>2. Авраменко Евгения</t>
  </si>
  <si>
    <t>Открытая (05.03.1982)/36</t>
  </si>
  <si>
    <t>59,00</t>
  </si>
  <si>
    <t xml:space="preserve">Авраменко Е.В. </t>
  </si>
  <si>
    <t>Баранник Полина</t>
  </si>
  <si>
    <t>1. Баранник Полина</t>
  </si>
  <si>
    <t>Открытая (10.01.1994)/25</t>
  </si>
  <si>
    <t xml:space="preserve">Амурская </t>
  </si>
  <si>
    <t xml:space="preserve">Шимановск/Амурская область </t>
  </si>
  <si>
    <t xml:space="preserve">Хитров С.С. </t>
  </si>
  <si>
    <t>Сухорукова Ксения</t>
  </si>
  <si>
    <t>2. Сухорукова Ксения</t>
  </si>
  <si>
    <t>Открытая (20.10.1987)/31</t>
  </si>
  <si>
    <t xml:space="preserve">Ксения Сухорукова </t>
  </si>
  <si>
    <t>Сапронова Марина</t>
  </si>
  <si>
    <t>3. Сапронова Марина</t>
  </si>
  <si>
    <t>Открытая (15.10.1986)/32</t>
  </si>
  <si>
    <t>Турковская Ольга</t>
  </si>
  <si>
    <t>1. Турковская Ольга</t>
  </si>
  <si>
    <t>Ветераны 50 - 54 (05.06.1967)/51</t>
  </si>
  <si>
    <t>Кафтайлова Наталья</t>
  </si>
  <si>
    <t>1. Кафтайлова Наталья</t>
  </si>
  <si>
    <t>Ветераны 55 - 59 (24.08.1960)/58</t>
  </si>
  <si>
    <t>Данилова Инесса</t>
  </si>
  <si>
    <t>1. Данилова Инесса</t>
  </si>
  <si>
    <t>Ветераны 40 - 44 (24.01.1975)/44</t>
  </si>
  <si>
    <t>-. Васильева Екатерина</t>
  </si>
  <si>
    <t>Ветераны 40 - 44 (07.09.1976)/42</t>
  </si>
  <si>
    <t>72,40</t>
  </si>
  <si>
    <t>Логинова Анастасия</t>
  </si>
  <si>
    <t>1. Логинова Анастасия</t>
  </si>
  <si>
    <t>Юниорки 20 - 23 (04.04.1995)/23</t>
  </si>
  <si>
    <t>1. Попов Максим</t>
  </si>
  <si>
    <t xml:space="preserve">Устинов Н.Н. </t>
  </si>
  <si>
    <t>Шувалов Иван</t>
  </si>
  <si>
    <t>1. Шувалов Иван</t>
  </si>
  <si>
    <t>Юноши 15-19 (31.03.2003)/15</t>
  </si>
  <si>
    <t>Якимчук Николай</t>
  </si>
  <si>
    <t>1. Якимчук Николай</t>
  </si>
  <si>
    <t>Юниоры 20 - 23 (09.02.1999)/20</t>
  </si>
  <si>
    <t>66,10</t>
  </si>
  <si>
    <t xml:space="preserve">Грошев А.М. </t>
  </si>
  <si>
    <t>Костюченко Антон</t>
  </si>
  <si>
    <t>2. Костюченко Антон</t>
  </si>
  <si>
    <t>Юниоры 20 - 23 (29.03.1995)/23</t>
  </si>
  <si>
    <t>65,70</t>
  </si>
  <si>
    <t>Тарасов Родион</t>
  </si>
  <si>
    <t>1. Тарасов Родион</t>
  </si>
  <si>
    <t>Юноши 15-19 (12.03.1999)/19</t>
  </si>
  <si>
    <t>73,60</t>
  </si>
  <si>
    <t>1. Ремизевич Евгений</t>
  </si>
  <si>
    <t>Открытая (03.03.1992)/26</t>
  </si>
  <si>
    <t>72,80</t>
  </si>
  <si>
    <t>2. Жевтунов Владимир</t>
  </si>
  <si>
    <t>Открытая (11.05.1988)/30</t>
  </si>
  <si>
    <t xml:space="preserve">Морозов Н.О. </t>
  </si>
  <si>
    <t>Колточихин Алексей</t>
  </si>
  <si>
    <t>1. Колточихин Алексей</t>
  </si>
  <si>
    <t>Юноши 15-19 (06.08.2000)/18</t>
  </si>
  <si>
    <t>76,60</t>
  </si>
  <si>
    <t xml:space="preserve">Владимирская </t>
  </si>
  <si>
    <t xml:space="preserve">Александров/Владимирская облас </t>
  </si>
  <si>
    <t>Кирин Михаил</t>
  </si>
  <si>
    <t>1. Кирин Михаил</t>
  </si>
  <si>
    <t>Юниоры 20 - 23 (10.12.1998)/20</t>
  </si>
  <si>
    <t>79,40</t>
  </si>
  <si>
    <t>Кофи Каблан</t>
  </si>
  <si>
    <t>1. Кофи Каблан</t>
  </si>
  <si>
    <t>Открытая (15.03.1994)/24</t>
  </si>
  <si>
    <t>75,20</t>
  </si>
  <si>
    <t>Евсеев Сергей</t>
  </si>
  <si>
    <t>2. Евсеев Сергей</t>
  </si>
  <si>
    <t>Открытая (09.10.1990)/28</t>
  </si>
  <si>
    <t>81,80</t>
  </si>
  <si>
    <t xml:space="preserve">Псковская </t>
  </si>
  <si>
    <t xml:space="preserve">Великие Луки/Псковская область </t>
  </si>
  <si>
    <t xml:space="preserve">Евсеев М.И. </t>
  </si>
  <si>
    <t>Тимохин Павел</t>
  </si>
  <si>
    <t>4. Тимохин Павел</t>
  </si>
  <si>
    <t>Открытая (06.03.1981)/37</t>
  </si>
  <si>
    <t>Белов Дмитрий</t>
  </si>
  <si>
    <t>5. Белов Дмитрий</t>
  </si>
  <si>
    <t>Открытая (08.04.1981)/37</t>
  </si>
  <si>
    <t xml:space="preserve">Белов Д.С. </t>
  </si>
  <si>
    <t>Цепелев Андрей</t>
  </si>
  <si>
    <t>6. Цепелев Андрей</t>
  </si>
  <si>
    <t>Открытая (22.12.1987)/31</t>
  </si>
  <si>
    <t>7. Гошкевич Артем</t>
  </si>
  <si>
    <t>Открытая (24.01.1994)/25</t>
  </si>
  <si>
    <t>Громов Павел</t>
  </si>
  <si>
    <t>1. Громов Павел</t>
  </si>
  <si>
    <t>Ветераны 40 - 44 (02.03.1976)/42</t>
  </si>
  <si>
    <t>Гвоздев Алексей</t>
  </si>
  <si>
    <t>1. Гвоздев Алексей</t>
  </si>
  <si>
    <t>Ветераны 45 - 49 (27.03.1972)/46</t>
  </si>
  <si>
    <t>Щемелев Владимир</t>
  </si>
  <si>
    <t>1. Щемелев Владимир</t>
  </si>
  <si>
    <t>Ветераны 55 - 59 (02.04.1961)/57</t>
  </si>
  <si>
    <t>Скокин Виктор</t>
  </si>
  <si>
    <t>1. Скокин Виктор</t>
  </si>
  <si>
    <t>Ветераны 60 - 64 (20.06.1957)/61</t>
  </si>
  <si>
    <t>76,30</t>
  </si>
  <si>
    <t>Боженов Андрей</t>
  </si>
  <si>
    <t>1. Боженов Андрей</t>
  </si>
  <si>
    <t>Юниоры 20 - 23 (04.09.1996)/22</t>
  </si>
  <si>
    <t>86,60</t>
  </si>
  <si>
    <t xml:space="preserve">Новомосковск/Тульская область </t>
  </si>
  <si>
    <t xml:space="preserve">Боженов Андрей Сергеевич </t>
  </si>
  <si>
    <t>Ломанов Кирилл</t>
  </si>
  <si>
    <t>1. Ломанов Кирилл</t>
  </si>
  <si>
    <t>Открытая (15.07.1987)/31</t>
  </si>
  <si>
    <t>307,5</t>
  </si>
  <si>
    <t>317,5</t>
  </si>
  <si>
    <t>327,5</t>
  </si>
  <si>
    <t>331,0</t>
  </si>
  <si>
    <t>Кондрашин Иван</t>
  </si>
  <si>
    <t>2. Кондрашин Иван</t>
  </si>
  <si>
    <t>Открытая (29.09.1987)/31</t>
  </si>
  <si>
    <t xml:space="preserve">Напалков В.В. </t>
  </si>
  <si>
    <t>3. Ермаков Константин</t>
  </si>
  <si>
    <t>Мозжухин Александр</t>
  </si>
  <si>
    <t>4. Мозжухин Александр</t>
  </si>
  <si>
    <t>Открытая (04.04.1984)/34</t>
  </si>
  <si>
    <t>Гришин Сергей</t>
  </si>
  <si>
    <t>5. Гришин Сергей</t>
  </si>
  <si>
    <t>Открытая (27.06.1978)/40</t>
  </si>
  <si>
    <t>Грибков Юрий</t>
  </si>
  <si>
    <t>6. Грибков Юрий</t>
  </si>
  <si>
    <t>Открытая (13.01.1982)/37</t>
  </si>
  <si>
    <t>86,10</t>
  </si>
  <si>
    <t xml:space="preserve">Грибков Юрий </t>
  </si>
  <si>
    <t>7. Скорняков Вадим</t>
  </si>
  <si>
    <t>Смирнов Евгений</t>
  </si>
  <si>
    <t>1. Смирнов Евгений</t>
  </si>
  <si>
    <t>Открытая (05.08.1990)/28</t>
  </si>
  <si>
    <t>96,00</t>
  </si>
  <si>
    <t>Моисеев Роман</t>
  </si>
  <si>
    <t>2. Моисеев Роман</t>
  </si>
  <si>
    <t>Открытая (27.11.1990)/28</t>
  </si>
  <si>
    <t>96,80</t>
  </si>
  <si>
    <t>Шляхитский Александр</t>
  </si>
  <si>
    <t>3. Шляхитский Александр</t>
  </si>
  <si>
    <t>Открытая (09.02.1980)/39</t>
  </si>
  <si>
    <t>96,20</t>
  </si>
  <si>
    <t xml:space="preserve">Шляхитский Александр </t>
  </si>
  <si>
    <t>4. Салов Андрей</t>
  </si>
  <si>
    <t>Лосев Артем</t>
  </si>
  <si>
    <t>5. Лосев Артем</t>
  </si>
  <si>
    <t>Открытая (28.07.1994)/24</t>
  </si>
  <si>
    <t>-. Кондрашов Максим</t>
  </si>
  <si>
    <t>Открытая (26.11.1988)/30</t>
  </si>
  <si>
    <t xml:space="preserve">Брехов Р. </t>
  </si>
  <si>
    <t>1. Лебедко Дмитрий</t>
  </si>
  <si>
    <t>Ушаков Артем</t>
  </si>
  <si>
    <t>1. Ушаков Артем</t>
  </si>
  <si>
    <t>Открытая (21.01.1986)/33</t>
  </si>
  <si>
    <t xml:space="preserve">Подольск/Московская область </t>
  </si>
  <si>
    <t>2. Свиридов Дмитрий</t>
  </si>
  <si>
    <t>Козлов Андрей</t>
  </si>
  <si>
    <t>3. Козлов Андрей</t>
  </si>
  <si>
    <t>Открытая (24.10.1969)/49</t>
  </si>
  <si>
    <t xml:space="preserve">Евстигнеев М. </t>
  </si>
  <si>
    <t>Орловский Станислав</t>
  </si>
  <si>
    <t>4. Орловский Станислав</t>
  </si>
  <si>
    <t>Открытая (27.04.1988)/30</t>
  </si>
  <si>
    <t>Беляев Роман</t>
  </si>
  <si>
    <t>1. Беляев Роман</t>
  </si>
  <si>
    <t>Ветераны 40 - 44 (22.01.1976)/43</t>
  </si>
  <si>
    <t>1. Козлов Андрей</t>
  </si>
  <si>
    <t>Ветераны 45 - 49 (24.10.1969)/49</t>
  </si>
  <si>
    <t>Баранов Михаил</t>
  </si>
  <si>
    <t>1. Баранов Михаил</t>
  </si>
  <si>
    <t>Ветераны 60 - 64 (02.03.1957)/61</t>
  </si>
  <si>
    <t>106,10</t>
  </si>
  <si>
    <t xml:space="preserve">Ленинградская </t>
  </si>
  <si>
    <t xml:space="preserve">Выборг/Ленинградская область </t>
  </si>
  <si>
    <t>1. Марченко Артем</t>
  </si>
  <si>
    <t>2. Попов Кирилл</t>
  </si>
  <si>
    <t>Открытая (09.11.1987)/31</t>
  </si>
  <si>
    <t>121,00</t>
  </si>
  <si>
    <t>Терских Вадим</t>
  </si>
  <si>
    <t>1. Терских Вадим</t>
  </si>
  <si>
    <t>Ветераны 40 - 44 (20.04.1978)/40</t>
  </si>
  <si>
    <t>111,90</t>
  </si>
  <si>
    <t xml:space="preserve">Терских Вадим Анатольевич </t>
  </si>
  <si>
    <t>Прудников Александр</t>
  </si>
  <si>
    <t>2. Прудников Александр</t>
  </si>
  <si>
    <t>Ветераны 40 - 44 (25.04.1974)/44</t>
  </si>
  <si>
    <t>113,90</t>
  </si>
  <si>
    <t>155,8995</t>
  </si>
  <si>
    <t>127,5595</t>
  </si>
  <si>
    <t>102,4425</t>
  </si>
  <si>
    <t>165,8125</t>
  </si>
  <si>
    <t>164,7938</t>
  </si>
  <si>
    <t>145,3140</t>
  </si>
  <si>
    <t>136,8475</t>
  </si>
  <si>
    <t>123,1320</t>
  </si>
  <si>
    <t>122,8463</t>
  </si>
  <si>
    <t>114,8840</t>
  </si>
  <si>
    <t>112,9500</t>
  </si>
  <si>
    <t>109,2630</t>
  </si>
  <si>
    <t>181,6050</t>
  </si>
  <si>
    <t>152,1817</t>
  </si>
  <si>
    <t>88,3512</t>
  </si>
  <si>
    <t>162,4725</t>
  </si>
  <si>
    <t>131,6813</t>
  </si>
  <si>
    <t>125,6320</t>
  </si>
  <si>
    <t>174,4845</t>
  </si>
  <si>
    <t>145,7985</t>
  </si>
  <si>
    <t>137,2000</t>
  </si>
  <si>
    <t>110,7550</t>
  </si>
  <si>
    <t>209,3053</t>
  </si>
  <si>
    <t>201,3480</t>
  </si>
  <si>
    <t>200,9140</t>
  </si>
  <si>
    <t>170,0335</t>
  </si>
  <si>
    <t>168,7047</t>
  </si>
  <si>
    <t>167,6220</t>
  </si>
  <si>
    <t>163,9140</t>
  </si>
  <si>
    <t>162,0960</t>
  </si>
  <si>
    <t>158,8518</t>
  </si>
  <si>
    <t>156,6775</t>
  </si>
  <si>
    <t>154,6500</t>
  </si>
  <si>
    <t>154,0080</t>
  </si>
  <si>
    <t>151,6275</t>
  </si>
  <si>
    <t>148,8175</t>
  </si>
  <si>
    <t>148,6905</t>
  </si>
  <si>
    <t>145,0155</t>
  </si>
  <si>
    <t>142,3575</t>
  </si>
  <si>
    <t>140,5240</t>
  </si>
  <si>
    <t>139,4375</t>
  </si>
  <si>
    <t>137,8420</t>
  </si>
  <si>
    <t>134,6800</t>
  </si>
  <si>
    <t>133,6275</t>
  </si>
  <si>
    <t>132,1605</t>
  </si>
  <si>
    <t>131,0975</t>
  </si>
  <si>
    <t>209,2213</t>
  </si>
  <si>
    <t>189,8324</t>
  </si>
  <si>
    <t>180,2449</t>
  </si>
  <si>
    <t>174,4063</t>
  </si>
  <si>
    <t>170,7964</t>
  </si>
  <si>
    <t>158,4439</t>
  </si>
  <si>
    <t>157,3532</t>
  </si>
  <si>
    <t>152,8457</t>
  </si>
  <si>
    <t>141,9838</t>
  </si>
  <si>
    <t>138,2916</t>
  </si>
  <si>
    <t>131,6250</t>
  </si>
  <si>
    <t>127,6069</t>
  </si>
  <si>
    <t>Штатнов Павел</t>
  </si>
  <si>
    <t>1. Штатнов Павел</t>
  </si>
  <si>
    <t>Открытая (27.12.1980)/38</t>
  </si>
  <si>
    <t>103,60</t>
  </si>
  <si>
    <t xml:space="preserve">Чевордаев В.А. </t>
  </si>
  <si>
    <t>168,1120</t>
  </si>
  <si>
    <t>Мегаполис 2019
WPF PRO Становая тяга Безэкипировочная
Москва 23 - 24 февраля 2019 г.</t>
  </si>
  <si>
    <t>Мегаполис 2019
WPF AM Становая тяга в Однослойной экипировке
Москва 23 - 24 февраля 2019 г.</t>
  </si>
  <si>
    <t>Мегаполис 2019
WPF AM Становая тяга Безэкипировочная
Москва 23 - 24 февраля 2019 г.</t>
  </si>
  <si>
    <t>Мегаполис 2019
WPF AM Жим лежа в Однослойной экипировке
Москва 23 - 24 февраля 2019 г.</t>
  </si>
  <si>
    <t>Мегаполис 2019
WPF AM Жим лежа Безэкипировочный
Москва 23 - 24 февраля 2019 г.</t>
  </si>
  <si>
    <t>Мегаполис 2019
WPF PRO Жим лежа в Многослойной экипировке
Москва 23 - 24 февраля 2019 г.</t>
  </si>
  <si>
    <t>Мегаполис 2019
WPF PRO Жим лежа в Однослойной экипировке
Москва 23 - 24 февраля 2019 г.</t>
  </si>
  <si>
    <t>Мегаполис 2019
WPF PRO Жим лежа Безэкипировочный
Москва 23 - 24 февраля 2019 г.</t>
  </si>
  <si>
    <t>Мегаполис 2019
WPF AM Пауэрлифтинг в Однослойной экипировке
Москва 23 - 24 февраля 2019 г.</t>
  </si>
  <si>
    <t>Мегаполис 2019
WPF AM Пауэрлифтинг Безэкипировочный
Москва 23 - 24 февраля 2019 г.</t>
  </si>
  <si>
    <t>Мегаполис 2019
WPF AM Пауэрлифтинг Классический
Москва 23 - 24 февраля 2019 г.</t>
  </si>
  <si>
    <t>Мегаполис 2019
WPF PRO Пауэрлифтинг в Многослойной экипировке
Москва 23 - 24 февраля 2019 г.</t>
  </si>
  <si>
    <t>Мегаполис 2019
WPF PRO  Пауэрлифтинг в Однослойной экипировке
Москва 23 - 24 февраля 2019 г.</t>
  </si>
  <si>
    <t>Мегаполис 2019
WPF PRO Пауэрлифтинг Безэкипировочный
Москва 23 - 24 февраля 2019 г.</t>
  </si>
  <si>
    <t>Мегаполис 2019
WPF PRO Пауэрлифтинг Классический
Москва 23 - 24 февраля 2019 г.</t>
  </si>
  <si>
    <t>1. Ганш Евгений</t>
  </si>
  <si>
    <t>Открытая (10.04.1992)/26</t>
  </si>
  <si>
    <t xml:space="preserve">Кулешов М. </t>
  </si>
  <si>
    <t>1. Мельник Алексей</t>
  </si>
  <si>
    <t>Открытая (01.01.1990)/29</t>
  </si>
  <si>
    <t xml:space="preserve">Украина </t>
  </si>
  <si>
    <t xml:space="preserve">Украина/ </t>
  </si>
  <si>
    <t>332,5</t>
  </si>
  <si>
    <t>345,0</t>
  </si>
  <si>
    <t>1. Ахлестин Сергей</t>
  </si>
  <si>
    <t>Открытая (15.09.1989)/29</t>
  </si>
  <si>
    <t xml:space="preserve">Саратовская </t>
  </si>
  <si>
    <t xml:space="preserve">Вольск/Саратовская область </t>
  </si>
  <si>
    <t>370,0</t>
  </si>
  <si>
    <t xml:space="preserve">Андреев В.В. </t>
  </si>
  <si>
    <t>1. Морозов Константин</t>
  </si>
  <si>
    <t>Открытая (23.10.1984)/34</t>
  </si>
  <si>
    <t>400,0</t>
  </si>
  <si>
    <t>422,5</t>
  </si>
  <si>
    <t>2. Марченко Владимир</t>
  </si>
  <si>
    <t>Открытая (19.10.1984)/34</t>
  </si>
  <si>
    <t>124,00</t>
  </si>
  <si>
    <t>3. Тагиев Низами</t>
  </si>
  <si>
    <t>Открытая (05.04.1991)/27</t>
  </si>
  <si>
    <t>114,10</t>
  </si>
  <si>
    <t xml:space="preserve">Ганина С. </t>
  </si>
  <si>
    <t>1. Луговой Александр</t>
  </si>
  <si>
    <t>Открытая (28.10.1995)/23</t>
  </si>
  <si>
    <t>136,00</t>
  </si>
  <si>
    <t xml:space="preserve">Тольятти </t>
  </si>
  <si>
    <t xml:space="preserve">Тольятти/Самарская область </t>
  </si>
  <si>
    <t xml:space="preserve">Белкин Ю.В. </t>
  </si>
  <si>
    <t>2. Одегов Сергей</t>
  </si>
  <si>
    <t>Открытая (02.10.1976)/42</t>
  </si>
  <si>
    <t>131,80</t>
  </si>
  <si>
    <t>1. Рябенков Иван</t>
  </si>
  <si>
    <t>Открытая (14.01.1996)/23</t>
  </si>
  <si>
    <t>144,00</t>
  </si>
  <si>
    <t>385,0</t>
  </si>
  <si>
    <t>405,0</t>
  </si>
  <si>
    <t>382,5</t>
  </si>
  <si>
    <t>Мельник Алексей</t>
  </si>
  <si>
    <t>900,0</t>
  </si>
  <si>
    <t>578,8800</t>
  </si>
  <si>
    <t>Рябенков Иван</t>
  </si>
  <si>
    <t>980,0</t>
  </si>
  <si>
    <t>545,3700</t>
  </si>
  <si>
    <t>Морозов Константин</t>
  </si>
  <si>
    <t>952,5</t>
  </si>
  <si>
    <t>543,0203</t>
  </si>
  <si>
    <t>Ахлестин Сергей</t>
  </si>
  <si>
    <t>910,0</t>
  </si>
  <si>
    <t>542,7240</t>
  </si>
  <si>
    <t>Марченко Владимир</t>
  </si>
  <si>
    <t>932,5</t>
  </si>
  <si>
    <t>532,2710</t>
  </si>
  <si>
    <t>Луговой Александр</t>
  </si>
  <si>
    <t>935,0</t>
  </si>
  <si>
    <t>524,8155</t>
  </si>
  <si>
    <t>Тагиев Низами</t>
  </si>
  <si>
    <t>524,0700</t>
  </si>
  <si>
    <t>Одегов Сергей</t>
  </si>
  <si>
    <t>885,0</t>
  </si>
  <si>
    <t>499,3170</t>
  </si>
  <si>
    <t>Ганш Евгений</t>
  </si>
  <si>
    <t>620,0</t>
  </si>
  <si>
    <t>443,0520</t>
  </si>
  <si>
    <t>Gloss</t>
  </si>
  <si>
    <t>Жим мн. повт.</t>
  </si>
  <si>
    <t>Тоннаж</t>
  </si>
  <si>
    <t>Вес</t>
  </si>
  <si>
    <t>Повторы</t>
  </si>
  <si>
    <t>1. Лазукова Татьяна</t>
  </si>
  <si>
    <t>Мастера 50 - 59 (13.08.1963)/55</t>
  </si>
  <si>
    <t>54,50</t>
  </si>
  <si>
    <t>27,5</t>
  </si>
  <si>
    <t>28,0</t>
  </si>
  <si>
    <t xml:space="preserve">Изотов С.А. </t>
  </si>
  <si>
    <t>1. Цымбаленко Ирина</t>
  </si>
  <si>
    <t>Открытая (05.11.1984)/34</t>
  </si>
  <si>
    <t>30,0</t>
  </si>
  <si>
    <t>37,0</t>
  </si>
  <si>
    <t xml:space="preserve">Цымбаленко Владимир Владимиров </t>
  </si>
  <si>
    <t>1. Лось Александр</t>
  </si>
  <si>
    <t>Юноши 13 - 19 (15.12.2003)/15</t>
  </si>
  <si>
    <t>64,70</t>
  </si>
  <si>
    <t xml:space="preserve">Gloss </t>
  </si>
  <si>
    <t>Цымбаленко Ирина</t>
  </si>
  <si>
    <t>1110,0</t>
  </si>
  <si>
    <t>1111,1101</t>
  </si>
  <si>
    <t xml:space="preserve">Мастера </t>
  </si>
  <si>
    <t>Лазукова Татьяна</t>
  </si>
  <si>
    <t xml:space="preserve">Мастера 50 - 59 </t>
  </si>
  <si>
    <t>1006,3534</t>
  </si>
  <si>
    <t>Лось Александр</t>
  </si>
  <si>
    <t xml:space="preserve">Юноши 13 - 19 </t>
  </si>
  <si>
    <t>1625,0</t>
  </si>
  <si>
    <t>1261,7312</t>
  </si>
  <si>
    <t>1. Заболотников Иван</t>
  </si>
  <si>
    <t>Открытая (17.06.1979)/39</t>
  </si>
  <si>
    <t>107,0</t>
  </si>
  <si>
    <t xml:space="preserve">Никулин Е. </t>
  </si>
  <si>
    <t>2. Егоров Александр</t>
  </si>
  <si>
    <t>Открытая (21.03.1983)/35</t>
  </si>
  <si>
    <t>64,40</t>
  </si>
  <si>
    <t xml:space="preserve">Луховицы/Московская область </t>
  </si>
  <si>
    <t>73,0</t>
  </si>
  <si>
    <t xml:space="preserve">Заболотников И.А. </t>
  </si>
  <si>
    <t>3. Гапузин Александр</t>
  </si>
  <si>
    <t>Открытая (03.01.1988)/31</t>
  </si>
  <si>
    <t xml:space="preserve">Мосальск/Калужская область </t>
  </si>
  <si>
    <t xml:space="preserve">Челенков А.А. </t>
  </si>
  <si>
    <t>1. Моисеев Даниил</t>
  </si>
  <si>
    <t>Юноши 13 - 19 (05.12.2001)/17</t>
  </si>
  <si>
    <t>25,0</t>
  </si>
  <si>
    <t>1. Абашкин Денис</t>
  </si>
  <si>
    <t>Мастера 40 - 49 (14.04.1978)/40</t>
  </si>
  <si>
    <t>79,80</t>
  </si>
  <si>
    <t>17,0</t>
  </si>
  <si>
    <t xml:space="preserve">Романов Ю.Н. </t>
  </si>
  <si>
    <t>1. Медведев Константин</t>
  </si>
  <si>
    <t>Юниоры 20 - 23 (03.06.1997)/21</t>
  </si>
  <si>
    <t>86,30</t>
  </si>
  <si>
    <t xml:space="preserve">Медведева Е. </t>
  </si>
  <si>
    <t>1. Жегулин Андрей</t>
  </si>
  <si>
    <t>Открытая (26.06.1980)/38</t>
  </si>
  <si>
    <t>87,50</t>
  </si>
  <si>
    <t>41,0</t>
  </si>
  <si>
    <t xml:space="preserve">Конакова Е.А. </t>
  </si>
  <si>
    <t>2. Измайлов Константин</t>
  </si>
  <si>
    <t>Открытая (04.04.1991)/27</t>
  </si>
  <si>
    <t>87,30</t>
  </si>
  <si>
    <t xml:space="preserve">Заболотников И. </t>
  </si>
  <si>
    <t>3. Терехин Юрий</t>
  </si>
  <si>
    <t>Открытая (23.05.1975)/43</t>
  </si>
  <si>
    <t>84,70</t>
  </si>
  <si>
    <t>32,0</t>
  </si>
  <si>
    <t xml:space="preserve">Барышников А. </t>
  </si>
  <si>
    <t>4. Наумов Павел</t>
  </si>
  <si>
    <t>Открытая (12.07.1985)/33</t>
  </si>
  <si>
    <t>1. Терехов Анатолий</t>
  </si>
  <si>
    <t>Мастера 40 - 49 (20.03.1971)/47</t>
  </si>
  <si>
    <t>84,40</t>
  </si>
  <si>
    <t>26,0</t>
  </si>
  <si>
    <t>1. Наумов Андрей</t>
  </si>
  <si>
    <t>22,0</t>
  </si>
  <si>
    <t>2. Сабанов Анатолий</t>
  </si>
  <si>
    <t>Открытая (12.11.1989)/29</t>
  </si>
  <si>
    <t>91,50</t>
  </si>
  <si>
    <t>21,0</t>
  </si>
  <si>
    <t>Мастера 40 - 49 (07.08.1977)/41</t>
  </si>
  <si>
    <t>13,0</t>
  </si>
  <si>
    <t>1. Селезнев Владимир</t>
  </si>
  <si>
    <t>Мастера 40 - 49 (09.05.1977)/41</t>
  </si>
  <si>
    <t>126,20</t>
  </si>
  <si>
    <t>15,0</t>
  </si>
  <si>
    <t>Моисеев Даниил</t>
  </si>
  <si>
    <t>1875,0</t>
  </si>
  <si>
    <t>1301,2500</t>
  </si>
  <si>
    <t>Медведев Константин</t>
  </si>
  <si>
    <t>2450,0</t>
  </si>
  <si>
    <t>1535,7825</t>
  </si>
  <si>
    <t>Заболотников Иван</t>
  </si>
  <si>
    <t>7222,5</t>
  </si>
  <si>
    <t>5439,6258</t>
  </si>
  <si>
    <t>Егоров Александр</t>
  </si>
  <si>
    <t>4745,0</t>
  </si>
  <si>
    <t>3699,6764</t>
  </si>
  <si>
    <t>Жегулин Андрей</t>
  </si>
  <si>
    <t>3587,5</t>
  </si>
  <si>
    <t>2230,5281</t>
  </si>
  <si>
    <t>Измайлов Константин</t>
  </si>
  <si>
    <t>3500,0</t>
  </si>
  <si>
    <t>2179,1001</t>
  </si>
  <si>
    <t>Гапузин Александр</t>
  </si>
  <si>
    <t>2700,0</t>
  </si>
  <si>
    <t>2060,1000</t>
  </si>
  <si>
    <t>Терехин Юрий</t>
  </si>
  <si>
    <t>2720,0</t>
  </si>
  <si>
    <t>1724,4800</t>
  </si>
  <si>
    <t>Наумов Павел</t>
  </si>
  <si>
    <t>1658,2050</t>
  </si>
  <si>
    <t>2200,0</t>
  </si>
  <si>
    <t>1280,5101</t>
  </si>
  <si>
    <t>Сабанов Анатолий</t>
  </si>
  <si>
    <t>1942,5</t>
  </si>
  <si>
    <t>1177,9320</t>
  </si>
  <si>
    <t>Терехов Анатолий</t>
  </si>
  <si>
    <t xml:space="preserve">Мастера 40 - 49 </t>
  </si>
  <si>
    <t>2210,0</t>
  </si>
  <si>
    <t>1519,3812</t>
  </si>
  <si>
    <t>Селезнев Владимир</t>
  </si>
  <si>
    <t>1912,5</t>
  </si>
  <si>
    <t>1051,1903</t>
  </si>
  <si>
    <t>Абашкин Денис</t>
  </si>
  <si>
    <t>1360,0</t>
  </si>
  <si>
    <t>896,1720</t>
  </si>
  <si>
    <t>Щербаков Владислав</t>
  </si>
  <si>
    <t>1300,0</t>
  </si>
  <si>
    <t>764,2317</t>
  </si>
  <si>
    <t>Мегаполис 2019 НЖ
WPF Народный жим (1/2 вес) с д.к.
Москва 23 - 24 февраля 2019 г.</t>
  </si>
  <si>
    <t>Мегаполис 2019 НЖ
WPF Народный жим (1 вес) с д.к.
Москва 23 - 24 февраля 2019 г.</t>
  </si>
  <si>
    <t>33,0</t>
  </si>
  <si>
    <t>1. Сулейманов Сулейман</t>
  </si>
  <si>
    <t>Юниоры 20 - 23 (21.01.1996)/23</t>
  </si>
  <si>
    <t>71,60</t>
  </si>
  <si>
    <t>1. Никитин Роман</t>
  </si>
  <si>
    <t>Открытая (20.03.1993)/25</t>
  </si>
  <si>
    <t>78,60</t>
  </si>
  <si>
    <t>89,0</t>
  </si>
  <si>
    <t>1. Прагин Роман</t>
  </si>
  <si>
    <t>Открытая (02.06.1986)/32</t>
  </si>
  <si>
    <t>86,50</t>
  </si>
  <si>
    <t>34,0</t>
  </si>
  <si>
    <t>1. Князев Михаил</t>
  </si>
  <si>
    <t>Открытая (29.04.1990)/28</t>
  </si>
  <si>
    <t>91,90</t>
  </si>
  <si>
    <t>35,0</t>
  </si>
  <si>
    <t xml:space="preserve">Князев М.И. </t>
  </si>
  <si>
    <t>1. Гринберг Игорс</t>
  </si>
  <si>
    <t>Мастера 40 - 49 (24.08.1969)/49</t>
  </si>
  <si>
    <t>Мастера 50 - 59 (25.01.1969)/50</t>
  </si>
  <si>
    <t>Мастера 40 - 49 (14.09.1976)/42</t>
  </si>
  <si>
    <t>27,0</t>
  </si>
  <si>
    <t>1. Чернышев Андрей</t>
  </si>
  <si>
    <t>Сулейманов Сулейман</t>
  </si>
  <si>
    <t>2682,5</t>
  </si>
  <si>
    <t>1913,2931</t>
  </si>
  <si>
    <t>Никитин Роман</t>
  </si>
  <si>
    <t>7120,0</t>
  </si>
  <si>
    <t>4740,8519</t>
  </si>
  <si>
    <t>Князев Михаил</t>
  </si>
  <si>
    <t>3237,5</t>
  </si>
  <si>
    <t>1958,6876</t>
  </si>
  <si>
    <t>Прагин Роман</t>
  </si>
  <si>
    <t>2975,0</t>
  </si>
  <si>
    <t>1862,2012</t>
  </si>
  <si>
    <t>1980,0</t>
  </si>
  <si>
    <t>1659,8340</t>
  </si>
  <si>
    <t>1680,0</t>
  </si>
  <si>
    <t>1405,9920</t>
  </si>
  <si>
    <t>2125,0</t>
  </si>
  <si>
    <t>1159,7188</t>
  </si>
  <si>
    <t>Гринберг Игорс</t>
  </si>
  <si>
    <t>3000,0</t>
  </si>
  <si>
    <t>1940,9608</t>
  </si>
  <si>
    <t>2437,5</t>
  </si>
  <si>
    <t>1636,9250</t>
  </si>
  <si>
    <t>2767,5</t>
  </si>
  <si>
    <t>1629,3490</t>
  </si>
  <si>
    <t>Мегаполис 2019 НЖ
WPF Народный жим (1 вес)
Москва 23 - 24 февраля 2019 г.</t>
  </si>
  <si>
    <t>Мегаполис 2019
WPF PRO Элита Пауэрлифтинг Классический
Москва 23 - 24 февраля 2019 г.</t>
  </si>
  <si>
    <t>DSQ. Мазур Евгений</t>
  </si>
  <si>
    <t>1. Булахов Евгений</t>
  </si>
  <si>
    <t>2. Добрянский Денис</t>
  </si>
  <si>
    <t>3. Козак Константин</t>
  </si>
  <si>
    <t>4. Бирюков Никита</t>
  </si>
  <si>
    <t>5. Раудмес Руслан</t>
  </si>
  <si>
    <t>6. Дашкевич Роман</t>
  </si>
  <si>
    <t>7. Ермаков Константин</t>
  </si>
  <si>
    <t>8. Басарев Максим</t>
  </si>
  <si>
    <t>9. Товпеко Роман</t>
  </si>
  <si>
    <t>10. Тришин Евгений</t>
  </si>
  <si>
    <t>11. Шелестов Александр</t>
  </si>
  <si>
    <t>12. Соловьев Евгений</t>
  </si>
  <si>
    <t>13. Мотов Дмитрий</t>
  </si>
  <si>
    <t>14. Ковалев Константин</t>
  </si>
  <si>
    <t>- DSQ. Круть Никита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</si>
</sst>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left"/>
    </xf>
    <xf numFmtId="1" fontId="0" fillId="0" borderId="14" xfId="0" applyNumberFormat="1" applyFont="1" applyFill="1" applyBorder="1" applyAlignment="1">
      <alignment horizontal="center"/>
    </xf>
    <xf numFmtId="49" fontId="0" fillId="0" borderId="16" xfId="0" applyNumberFormat="1" applyFill="1" applyBorder="1" applyAlignment="1">
      <alignment horizontal="left"/>
    </xf>
    <xf numFmtId="1" fontId="0" fillId="0" borderId="16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left"/>
    </xf>
    <xf numFmtId="1" fontId="0" fillId="0" borderId="15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left"/>
    </xf>
    <xf numFmtId="49" fontId="10" fillId="0" borderId="16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"/>
  <sheetViews>
    <sheetView workbookViewId="0">
      <selection activeCell="B22" sqref="B2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42578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6" style="4" bestFit="1" customWidth="1"/>
    <col min="22" max="16384" width="9.140625" style="3"/>
  </cols>
  <sheetData>
    <row r="1" spans="1:21" s="2" customFormat="1" ht="29.1" customHeight="1">
      <c r="A1" s="42" t="s">
        <v>2188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6">
        <v>1</v>
      </c>
      <c r="H4" s="26">
        <v>2</v>
      </c>
      <c r="I4" s="26">
        <v>3</v>
      </c>
      <c r="J4" s="26" t="s">
        <v>5</v>
      </c>
      <c r="K4" s="26">
        <v>1</v>
      </c>
      <c r="L4" s="26">
        <v>2</v>
      </c>
      <c r="M4" s="26">
        <v>3</v>
      </c>
      <c r="N4" s="26" t="s">
        <v>5</v>
      </c>
      <c r="O4" s="26">
        <v>1</v>
      </c>
      <c r="P4" s="26">
        <v>2</v>
      </c>
      <c r="Q4" s="26">
        <v>3</v>
      </c>
      <c r="R4" s="26" t="s">
        <v>5</v>
      </c>
      <c r="S4" s="51"/>
      <c r="T4" s="51"/>
      <c r="U4" s="39"/>
    </row>
    <row r="5" spans="1:21" ht="15">
      <c r="A5" s="40" t="s">
        <v>237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5" t="s">
        <v>1937</v>
      </c>
      <c r="B6" s="5" t="s">
        <v>1938</v>
      </c>
      <c r="C6" s="5" t="s">
        <v>1202</v>
      </c>
      <c r="D6" s="5" t="str">
        <f>"0,7146"</f>
        <v>0,7146</v>
      </c>
      <c r="E6" s="5" t="s">
        <v>61</v>
      </c>
      <c r="F6" s="5" t="s">
        <v>868</v>
      </c>
      <c r="G6" s="6" t="s">
        <v>91</v>
      </c>
      <c r="H6" s="6" t="s">
        <v>41</v>
      </c>
      <c r="I6" s="7" t="s">
        <v>41</v>
      </c>
      <c r="J6" s="6"/>
      <c r="K6" s="6" t="s">
        <v>236</v>
      </c>
      <c r="L6" s="7" t="s">
        <v>236</v>
      </c>
      <c r="M6" s="6" t="s">
        <v>49</v>
      </c>
      <c r="N6" s="6"/>
      <c r="O6" s="7" t="s">
        <v>91</v>
      </c>
      <c r="P6" s="6" t="s">
        <v>105</v>
      </c>
      <c r="Q6" s="6" t="s">
        <v>105</v>
      </c>
      <c r="R6" s="6"/>
      <c r="S6" s="5" t="str">
        <f>"620,0"</f>
        <v>620,0</v>
      </c>
      <c r="T6" s="7" t="str">
        <f>"443,0520"</f>
        <v>443,0520</v>
      </c>
      <c r="U6" s="27" t="s">
        <v>1939</v>
      </c>
    </row>
    <row r="8" spans="1:21" ht="15">
      <c r="A8" s="41" t="s">
        <v>56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5" t="s">
        <v>1940</v>
      </c>
      <c r="B9" s="5" t="s">
        <v>1941</v>
      </c>
      <c r="C9" s="5" t="s">
        <v>862</v>
      </c>
      <c r="D9" s="5" t="str">
        <f>"0,6432"</f>
        <v>0,6432</v>
      </c>
      <c r="E9" s="5" t="s">
        <v>1942</v>
      </c>
      <c r="F9" s="5" t="s">
        <v>1943</v>
      </c>
      <c r="G9" s="7" t="s">
        <v>129</v>
      </c>
      <c r="H9" s="7" t="s">
        <v>130</v>
      </c>
      <c r="I9" s="7" t="s">
        <v>541</v>
      </c>
      <c r="J9" s="6"/>
      <c r="K9" s="7" t="s">
        <v>82</v>
      </c>
      <c r="L9" s="7" t="s">
        <v>441</v>
      </c>
      <c r="M9" s="6" t="s">
        <v>159</v>
      </c>
      <c r="N9" s="6"/>
      <c r="O9" s="7" t="s">
        <v>285</v>
      </c>
      <c r="P9" s="7" t="s">
        <v>1944</v>
      </c>
      <c r="Q9" s="6" t="s">
        <v>1945</v>
      </c>
      <c r="R9" s="6"/>
      <c r="S9" s="5" t="str">
        <f>"900,0"</f>
        <v>900,0</v>
      </c>
      <c r="T9" s="7" t="str">
        <f>"578,8800"</f>
        <v>578,8800</v>
      </c>
      <c r="U9" s="5"/>
    </row>
    <row r="11" spans="1:21" ht="15">
      <c r="A11" s="41" t="s">
        <v>122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1">
      <c r="A12" s="5" t="s">
        <v>1946</v>
      </c>
      <c r="B12" s="5" t="s">
        <v>1947</v>
      </c>
      <c r="C12" s="5" t="s">
        <v>1399</v>
      </c>
      <c r="D12" s="5" t="str">
        <f>"0,5964"</f>
        <v>0,5964</v>
      </c>
      <c r="E12" s="5" t="s">
        <v>1948</v>
      </c>
      <c r="F12" s="5" t="s">
        <v>1949</v>
      </c>
      <c r="G12" s="7" t="s">
        <v>181</v>
      </c>
      <c r="H12" s="7" t="s">
        <v>543</v>
      </c>
      <c r="I12" s="7" t="s">
        <v>1945</v>
      </c>
      <c r="J12" s="6"/>
      <c r="K12" s="7" t="s">
        <v>84</v>
      </c>
      <c r="L12" s="7" t="s">
        <v>283</v>
      </c>
      <c r="M12" s="6" t="s">
        <v>112</v>
      </c>
      <c r="N12" s="6"/>
      <c r="O12" s="7" t="s">
        <v>130</v>
      </c>
      <c r="P12" s="7" t="s">
        <v>1950</v>
      </c>
      <c r="Q12" s="6" t="s">
        <v>324</v>
      </c>
      <c r="R12" s="6"/>
      <c r="S12" s="5" t="str">
        <f>"910,0"</f>
        <v>910,0</v>
      </c>
      <c r="T12" s="7" t="str">
        <f>"542,7240"</f>
        <v>542,7240</v>
      </c>
      <c r="U12" s="5" t="s">
        <v>1951</v>
      </c>
    </row>
    <row r="14" spans="1:21" ht="15">
      <c r="A14" s="41" t="s">
        <v>153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1">
      <c r="A15" s="8" t="s">
        <v>1952</v>
      </c>
      <c r="B15" s="8" t="s">
        <v>1953</v>
      </c>
      <c r="C15" s="8" t="s">
        <v>942</v>
      </c>
      <c r="D15" s="8" t="str">
        <f>"0,5701"</f>
        <v>0,5701</v>
      </c>
      <c r="E15" s="8" t="s">
        <v>18</v>
      </c>
      <c r="F15" s="8" t="s">
        <v>127</v>
      </c>
      <c r="G15" s="9" t="s">
        <v>77</v>
      </c>
      <c r="H15" s="9" t="s">
        <v>128</v>
      </c>
      <c r="I15" s="10"/>
      <c r="J15" s="10"/>
      <c r="K15" s="9" t="s">
        <v>83</v>
      </c>
      <c r="L15" s="9" t="s">
        <v>76</v>
      </c>
      <c r="M15" s="9" t="s">
        <v>143</v>
      </c>
      <c r="N15" s="10"/>
      <c r="O15" s="9" t="s">
        <v>1950</v>
      </c>
      <c r="P15" s="9" t="s">
        <v>1954</v>
      </c>
      <c r="Q15" s="9" t="s">
        <v>1955</v>
      </c>
      <c r="R15" s="10"/>
      <c r="S15" s="8" t="str">
        <f>"952,5"</f>
        <v>952,5</v>
      </c>
      <c r="T15" s="9" t="str">
        <f>"543,0203"</f>
        <v>543,0203</v>
      </c>
      <c r="U15" s="8" t="s">
        <v>667</v>
      </c>
    </row>
    <row r="16" spans="1:21">
      <c r="A16" s="14" t="s">
        <v>1956</v>
      </c>
      <c r="B16" s="14" t="s">
        <v>1957</v>
      </c>
      <c r="C16" s="14" t="s">
        <v>1958</v>
      </c>
      <c r="D16" s="14" t="str">
        <f>"0,5708"</f>
        <v>0,5708</v>
      </c>
      <c r="E16" s="14" t="s">
        <v>1389</v>
      </c>
      <c r="F16" s="14" t="s">
        <v>1390</v>
      </c>
      <c r="G16" s="16" t="s">
        <v>306</v>
      </c>
      <c r="H16" s="16" t="s">
        <v>760</v>
      </c>
      <c r="I16" s="16" t="s">
        <v>324</v>
      </c>
      <c r="J16" s="15"/>
      <c r="K16" s="16" t="s">
        <v>82</v>
      </c>
      <c r="L16" s="16" t="s">
        <v>284</v>
      </c>
      <c r="M16" s="15"/>
      <c r="N16" s="15"/>
      <c r="O16" s="16" t="s">
        <v>760</v>
      </c>
      <c r="P16" s="15" t="s">
        <v>309</v>
      </c>
      <c r="Q16" s="15"/>
      <c r="R16" s="15"/>
      <c r="S16" s="14" t="str">
        <f>"932,5"</f>
        <v>932,5</v>
      </c>
      <c r="T16" s="16" t="str">
        <f>"532,2710"</f>
        <v>532,2710</v>
      </c>
      <c r="U16" s="14"/>
    </row>
    <row r="17" spans="1:21">
      <c r="A17" s="11" t="s">
        <v>1959</v>
      </c>
      <c r="B17" s="11" t="s">
        <v>1960</v>
      </c>
      <c r="C17" s="11" t="s">
        <v>1961</v>
      </c>
      <c r="D17" s="11" t="str">
        <f>"0,5823"</f>
        <v>0,5823</v>
      </c>
      <c r="E17" s="11" t="s">
        <v>34</v>
      </c>
      <c r="F17" s="11" t="s">
        <v>35</v>
      </c>
      <c r="G17" s="12" t="s">
        <v>67</v>
      </c>
      <c r="H17" s="12" t="s">
        <v>285</v>
      </c>
      <c r="I17" s="12" t="s">
        <v>181</v>
      </c>
      <c r="J17" s="13"/>
      <c r="K17" s="12" t="s">
        <v>83</v>
      </c>
      <c r="L17" s="12" t="s">
        <v>76</v>
      </c>
      <c r="M17" s="13" t="s">
        <v>120</v>
      </c>
      <c r="N17" s="13"/>
      <c r="O17" s="12" t="s">
        <v>306</v>
      </c>
      <c r="P17" s="12" t="s">
        <v>760</v>
      </c>
      <c r="Q17" s="13" t="s">
        <v>324</v>
      </c>
      <c r="R17" s="13"/>
      <c r="S17" s="11" t="str">
        <f>"900,0"</f>
        <v>900,0</v>
      </c>
      <c r="T17" s="12" t="str">
        <f>"524,0700"</f>
        <v>524,0700</v>
      </c>
      <c r="U17" s="11" t="s">
        <v>1962</v>
      </c>
    </row>
    <row r="19" spans="1:21" ht="15">
      <c r="A19" s="41" t="s">
        <v>160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1">
      <c r="A20" s="8" t="s">
        <v>1963</v>
      </c>
      <c r="B20" s="8" t="s">
        <v>1964</v>
      </c>
      <c r="C20" s="8" t="s">
        <v>1965</v>
      </c>
      <c r="D20" s="8" t="str">
        <f>"0,5613"</f>
        <v>0,5613</v>
      </c>
      <c r="E20" s="8" t="s">
        <v>1966</v>
      </c>
      <c r="F20" s="8" t="s">
        <v>1967</v>
      </c>
      <c r="G20" s="9" t="s">
        <v>181</v>
      </c>
      <c r="H20" s="9" t="s">
        <v>306</v>
      </c>
      <c r="I20" s="9" t="s">
        <v>760</v>
      </c>
      <c r="J20" s="10"/>
      <c r="K20" s="9" t="s">
        <v>82</v>
      </c>
      <c r="L20" s="9" t="s">
        <v>112</v>
      </c>
      <c r="M20" s="9" t="s">
        <v>85</v>
      </c>
      <c r="N20" s="10"/>
      <c r="O20" s="9" t="s">
        <v>181</v>
      </c>
      <c r="P20" s="9" t="s">
        <v>130</v>
      </c>
      <c r="Q20" s="9" t="s">
        <v>1950</v>
      </c>
      <c r="R20" s="10"/>
      <c r="S20" s="8" t="str">
        <f>"935,0"</f>
        <v>935,0</v>
      </c>
      <c r="T20" s="9" t="str">
        <f>"524,8155"</f>
        <v>524,8155</v>
      </c>
      <c r="U20" s="8" t="s">
        <v>1968</v>
      </c>
    </row>
    <row r="21" spans="1:21">
      <c r="A21" s="11" t="s">
        <v>1969</v>
      </c>
      <c r="B21" s="11" t="s">
        <v>1970</v>
      </c>
      <c r="C21" s="11" t="s">
        <v>1971</v>
      </c>
      <c r="D21" s="11" t="str">
        <f>"0,5642"</f>
        <v>0,5642</v>
      </c>
      <c r="E21" s="11" t="s">
        <v>672</v>
      </c>
      <c r="F21" s="11" t="s">
        <v>673</v>
      </c>
      <c r="G21" s="12" t="s">
        <v>286</v>
      </c>
      <c r="H21" s="12" t="s">
        <v>129</v>
      </c>
      <c r="I21" s="13" t="s">
        <v>1945</v>
      </c>
      <c r="J21" s="13"/>
      <c r="K21" s="12" t="s">
        <v>112</v>
      </c>
      <c r="L21" s="12" t="s">
        <v>83</v>
      </c>
      <c r="M21" s="13" t="s">
        <v>442</v>
      </c>
      <c r="N21" s="13"/>
      <c r="O21" s="12" t="s">
        <v>181</v>
      </c>
      <c r="P21" s="12" t="s">
        <v>1945</v>
      </c>
      <c r="Q21" s="13" t="s">
        <v>1950</v>
      </c>
      <c r="R21" s="13"/>
      <c r="S21" s="11" t="str">
        <f>"885,0"</f>
        <v>885,0</v>
      </c>
      <c r="T21" s="12" t="str">
        <f>"499,3170"</f>
        <v>499,3170</v>
      </c>
      <c r="U21" s="11"/>
    </row>
    <row r="23" spans="1:21" ht="15">
      <c r="A23" s="41" t="s">
        <v>958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1">
      <c r="A24" s="5" t="s">
        <v>1972</v>
      </c>
      <c r="B24" s="5" t="s">
        <v>1973</v>
      </c>
      <c r="C24" s="5" t="s">
        <v>1974</v>
      </c>
      <c r="D24" s="5" t="str">
        <f>"0,5565"</f>
        <v>0,5565</v>
      </c>
      <c r="E24" s="5" t="s">
        <v>641</v>
      </c>
      <c r="F24" s="5" t="s">
        <v>642</v>
      </c>
      <c r="G24" s="7" t="s">
        <v>1975</v>
      </c>
      <c r="H24" s="6" t="s">
        <v>1976</v>
      </c>
      <c r="I24" s="7" t="s">
        <v>1976</v>
      </c>
      <c r="J24" s="6"/>
      <c r="K24" s="7" t="s">
        <v>82</v>
      </c>
      <c r="L24" s="7" t="s">
        <v>112</v>
      </c>
      <c r="M24" s="6" t="s">
        <v>85</v>
      </c>
      <c r="N24" s="6"/>
      <c r="O24" s="7" t="s">
        <v>760</v>
      </c>
      <c r="P24" s="7" t="s">
        <v>324</v>
      </c>
      <c r="Q24" s="6" t="s">
        <v>1977</v>
      </c>
      <c r="R24" s="6"/>
      <c r="S24" s="5" t="str">
        <f>"980,0"</f>
        <v>980,0</v>
      </c>
      <c r="T24" s="7" t="str">
        <f>"545,3700"</f>
        <v>545,3700</v>
      </c>
      <c r="U24" s="5" t="s">
        <v>28</v>
      </c>
    </row>
    <row r="26" spans="1:21" ht="15">
      <c r="E26" s="17" t="s">
        <v>166</v>
      </c>
    </row>
    <row r="27" spans="1:21" ht="15">
      <c r="E27" s="17" t="s">
        <v>167</v>
      </c>
    </row>
    <row r="28" spans="1:21" ht="15">
      <c r="E28" s="17" t="s">
        <v>168</v>
      </c>
    </row>
    <row r="29" spans="1:21" ht="15">
      <c r="E29" s="17" t="s">
        <v>169</v>
      </c>
    </row>
    <row r="30" spans="1:21" ht="15">
      <c r="E30" s="17" t="s">
        <v>169</v>
      </c>
    </row>
    <row r="31" spans="1:21" ht="15">
      <c r="E31" s="17" t="s">
        <v>170</v>
      </c>
    </row>
    <row r="32" spans="1:21" ht="15">
      <c r="E32" s="17"/>
    </row>
    <row r="34" spans="1:5" ht="18">
      <c r="A34" s="18" t="s">
        <v>171</v>
      </c>
      <c r="B34" s="18"/>
    </row>
    <row r="35" spans="1:5" ht="15">
      <c r="A35" s="19" t="s">
        <v>183</v>
      </c>
      <c r="B35" s="19"/>
    </row>
    <row r="36" spans="1:5" ht="14.25">
      <c r="A36" s="21"/>
      <c r="B36" s="22" t="s">
        <v>191</v>
      </c>
    </row>
    <row r="37" spans="1:5" ht="15">
      <c r="A37" s="23" t="s">
        <v>174</v>
      </c>
      <c r="B37" s="23" t="s">
        <v>175</v>
      </c>
      <c r="C37" s="23" t="s">
        <v>176</v>
      </c>
      <c r="D37" s="23" t="s">
        <v>177</v>
      </c>
      <c r="E37" s="23" t="s">
        <v>178</v>
      </c>
    </row>
    <row r="38" spans="1:5">
      <c r="A38" s="20" t="s">
        <v>1978</v>
      </c>
      <c r="B38" s="4" t="s">
        <v>191</v>
      </c>
      <c r="C38" s="4" t="s">
        <v>52</v>
      </c>
      <c r="D38" s="4" t="s">
        <v>1979</v>
      </c>
      <c r="E38" s="24" t="s">
        <v>1980</v>
      </c>
    </row>
    <row r="39" spans="1:5">
      <c r="A39" s="20" t="s">
        <v>1981</v>
      </c>
      <c r="B39" s="4" t="s">
        <v>191</v>
      </c>
      <c r="C39" s="4" t="s">
        <v>972</v>
      </c>
      <c r="D39" s="4" t="s">
        <v>1982</v>
      </c>
      <c r="E39" s="24" t="s">
        <v>1983</v>
      </c>
    </row>
    <row r="40" spans="1:5">
      <c r="A40" s="20" t="s">
        <v>1984</v>
      </c>
      <c r="B40" s="4" t="s">
        <v>191</v>
      </c>
      <c r="C40" s="4" t="s">
        <v>186</v>
      </c>
      <c r="D40" s="4" t="s">
        <v>1985</v>
      </c>
      <c r="E40" s="24" t="s">
        <v>1986</v>
      </c>
    </row>
    <row r="41" spans="1:5">
      <c r="A41" s="20" t="s">
        <v>1987</v>
      </c>
      <c r="B41" s="4" t="s">
        <v>191</v>
      </c>
      <c r="C41" s="4" t="s">
        <v>192</v>
      </c>
      <c r="D41" s="4" t="s">
        <v>1988</v>
      </c>
      <c r="E41" s="24" t="s">
        <v>1989</v>
      </c>
    </row>
    <row r="42" spans="1:5">
      <c r="A42" s="20" t="s">
        <v>1990</v>
      </c>
      <c r="B42" s="4" t="s">
        <v>191</v>
      </c>
      <c r="C42" s="4" t="s">
        <v>186</v>
      </c>
      <c r="D42" s="4" t="s">
        <v>1991</v>
      </c>
      <c r="E42" s="24" t="s">
        <v>1992</v>
      </c>
    </row>
    <row r="43" spans="1:5">
      <c r="A43" s="20" t="s">
        <v>1993</v>
      </c>
      <c r="B43" s="4" t="s">
        <v>191</v>
      </c>
      <c r="C43" s="4" t="s">
        <v>49</v>
      </c>
      <c r="D43" s="4" t="s">
        <v>1994</v>
      </c>
      <c r="E43" s="24" t="s">
        <v>1995</v>
      </c>
    </row>
    <row r="44" spans="1:5">
      <c r="A44" s="20" t="s">
        <v>1996</v>
      </c>
      <c r="B44" s="4" t="s">
        <v>191</v>
      </c>
      <c r="C44" s="4" t="s">
        <v>186</v>
      </c>
      <c r="D44" s="4" t="s">
        <v>1979</v>
      </c>
      <c r="E44" s="24" t="s">
        <v>1997</v>
      </c>
    </row>
    <row r="45" spans="1:5">
      <c r="A45" s="20" t="s">
        <v>1998</v>
      </c>
      <c r="B45" s="4" t="s">
        <v>191</v>
      </c>
      <c r="C45" s="4" t="s">
        <v>49</v>
      </c>
      <c r="D45" s="4" t="s">
        <v>1999</v>
      </c>
      <c r="E45" s="24" t="s">
        <v>2000</v>
      </c>
    </row>
    <row r="46" spans="1:5">
      <c r="A46" s="20" t="s">
        <v>2001</v>
      </c>
      <c r="B46" s="4" t="s">
        <v>191</v>
      </c>
      <c r="C46" s="4" t="s">
        <v>25</v>
      </c>
      <c r="D46" s="4" t="s">
        <v>2002</v>
      </c>
      <c r="E46" s="24" t="s">
        <v>2003</v>
      </c>
    </row>
  </sheetData>
  <mergeCells count="19">
    <mergeCell ref="A11:T11"/>
    <mergeCell ref="A14:T14"/>
    <mergeCell ref="A19:T19"/>
    <mergeCell ref="A23:T23"/>
    <mergeCell ref="S3:S4"/>
    <mergeCell ref="T3:T4"/>
    <mergeCell ref="U3:U4"/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I41" sqref="I41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7" width="5.5703125" style="3" bestFit="1" customWidth="1"/>
    <col min="8" max="8" width="4.5703125" style="30" bestFit="1" customWidth="1"/>
    <col min="9" max="9" width="7.85546875" style="4" bestFit="1" customWidth="1"/>
    <col min="10" max="10" width="9.5703125" style="3" bestFit="1" customWidth="1"/>
    <col min="11" max="11" width="12.140625" style="4" bestFit="1" customWidth="1"/>
    <col min="12" max="16384" width="9.140625" style="3"/>
  </cols>
  <sheetData>
    <row r="1" spans="1:11" s="2" customFormat="1" ht="29.1" customHeight="1">
      <c r="A1" s="42" t="s">
        <v>2187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7</v>
      </c>
      <c r="D3" s="52" t="s">
        <v>2004</v>
      </c>
      <c r="E3" s="52" t="s">
        <v>4</v>
      </c>
      <c r="F3" s="52" t="s">
        <v>8</v>
      </c>
      <c r="G3" s="52" t="s">
        <v>2005</v>
      </c>
      <c r="H3" s="52"/>
      <c r="I3" s="52" t="s">
        <v>2006</v>
      </c>
      <c r="J3" s="52" t="s">
        <v>3</v>
      </c>
      <c r="K3" s="38" t="s">
        <v>2</v>
      </c>
    </row>
    <row r="4" spans="1:11" s="1" customFormat="1" ht="21" customHeight="1" thickBot="1">
      <c r="A4" s="49"/>
      <c r="B4" s="51"/>
      <c r="C4" s="51"/>
      <c r="D4" s="51"/>
      <c r="E4" s="51"/>
      <c r="F4" s="51"/>
      <c r="G4" s="26" t="s">
        <v>2007</v>
      </c>
      <c r="H4" s="28" t="s">
        <v>2008</v>
      </c>
      <c r="I4" s="51"/>
      <c r="J4" s="51"/>
      <c r="K4" s="39"/>
    </row>
    <row r="5" spans="1:11" ht="15">
      <c r="A5" s="40" t="s">
        <v>391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8" t="s">
        <v>803</v>
      </c>
      <c r="B6" s="8" t="s">
        <v>804</v>
      </c>
      <c r="C6" s="8" t="s">
        <v>805</v>
      </c>
      <c r="D6" s="8" t="str">
        <f>"0,8383"</f>
        <v>0,8383</v>
      </c>
      <c r="E6" s="8" t="s">
        <v>34</v>
      </c>
      <c r="F6" s="8" t="s">
        <v>35</v>
      </c>
      <c r="G6" s="9" t="s">
        <v>378</v>
      </c>
      <c r="H6" s="32" t="s">
        <v>2139</v>
      </c>
      <c r="I6" s="8" t="str">
        <f>"1980,0"</f>
        <v>1980,0</v>
      </c>
      <c r="J6" s="9" t="str">
        <f>"1659,8340"</f>
        <v>1659,8340</v>
      </c>
      <c r="K6" s="8"/>
    </row>
    <row r="7" spans="1:11">
      <c r="A7" s="11" t="s">
        <v>807</v>
      </c>
      <c r="B7" s="11" t="s">
        <v>808</v>
      </c>
      <c r="C7" s="11" t="s">
        <v>809</v>
      </c>
      <c r="D7" s="11" t="str">
        <f>"0,8369"</f>
        <v>0,8369</v>
      </c>
      <c r="E7" s="11" t="s">
        <v>34</v>
      </c>
      <c r="F7" s="11" t="s">
        <v>35</v>
      </c>
      <c r="G7" s="12" t="s">
        <v>378</v>
      </c>
      <c r="H7" s="36" t="s">
        <v>2013</v>
      </c>
      <c r="I7" s="11" t="str">
        <f>"1680,0"</f>
        <v>1680,0</v>
      </c>
      <c r="J7" s="12" t="str">
        <f>"1405,9920"</f>
        <v>1405,9920</v>
      </c>
      <c r="K7" s="11"/>
    </row>
    <row r="9" spans="1:11" ht="15">
      <c r="A9" s="41" t="s">
        <v>237</v>
      </c>
      <c r="B9" s="41"/>
      <c r="C9" s="41"/>
      <c r="D9" s="41"/>
      <c r="E9" s="41"/>
      <c r="F9" s="41"/>
      <c r="G9" s="41"/>
      <c r="H9" s="41"/>
      <c r="I9" s="41"/>
      <c r="J9" s="41"/>
    </row>
    <row r="10" spans="1:11">
      <c r="A10" s="5" t="s">
        <v>2140</v>
      </c>
      <c r="B10" s="5" t="s">
        <v>2141</v>
      </c>
      <c r="C10" s="5" t="s">
        <v>2142</v>
      </c>
      <c r="D10" s="5" t="str">
        <f>"0,7132"</f>
        <v>0,7132</v>
      </c>
      <c r="E10" s="5" t="s">
        <v>18</v>
      </c>
      <c r="F10" s="5" t="s">
        <v>857</v>
      </c>
      <c r="G10" s="7" t="s">
        <v>567</v>
      </c>
      <c r="H10" s="29" t="s">
        <v>2018</v>
      </c>
      <c r="I10" s="5" t="str">
        <f>"2682,5"</f>
        <v>2682,5</v>
      </c>
      <c r="J10" s="7" t="str">
        <f>"1913,2931"</f>
        <v>1913,2931</v>
      </c>
      <c r="K10" s="5"/>
    </row>
    <row r="12" spans="1:11" ht="15">
      <c r="A12" s="41" t="s">
        <v>29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1">
      <c r="A13" s="5" t="s">
        <v>2143</v>
      </c>
      <c r="B13" s="5" t="s">
        <v>2144</v>
      </c>
      <c r="C13" s="5" t="s">
        <v>2145</v>
      </c>
      <c r="D13" s="5" t="str">
        <f>"0,6658"</f>
        <v>0,6658</v>
      </c>
      <c r="E13" s="5" t="s">
        <v>18</v>
      </c>
      <c r="F13" s="5" t="s">
        <v>2042</v>
      </c>
      <c r="G13" s="7" t="s">
        <v>20</v>
      </c>
      <c r="H13" s="29" t="s">
        <v>2146</v>
      </c>
      <c r="I13" s="5" t="str">
        <f>"7120,0"</f>
        <v>7120,0</v>
      </c>
      <c r="J13" s="7" t="str">
        <f>"4740,8519"</f>
        <v>4740,8519</v>
      </c>
      <c r="K13" s="5"/>
    </row>
    <row r="15" spans="1:11" ht="15">
      <c r="A15" s="41" t="s">
        <v>56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11">
      <c r="A16" s="5" t="s">
        <v>2147</v>
      </c>
      <c r="B16" s="5" t="s">
        <v>2148</v>
      </c>
      <c r="C16" s="5" t="s">
        <v>2149</v>
      </c>
      <c r="D16" s="5" t="str">
        <f>"0,6259"</f>
        <v>0,6259</v>
      </c>
      <c r="E16" s="5" t="s">
        <v>34</v>
      </c>
      <c r="F16" s="5" t="s">
        <v>35</v>
      </c>
      <c r="G16" s="7" t="s">
        <v>366</v>
      </c>
      <c r="H16" s="29" t="s">
        <v>2150</v>
      </c>
      <c r="I16" s="5" t="str">
        <f>"2975,0"</f>
        <v>2975,0</v>
      </c>
      <c r="J16" s="7" t="str">
        <f>"1862,2012"</f>
        <v>1862,2012</v>
      </c>
      <c r="K16" s="5"/>
    </row>
    <row r="18" spans="1:11" ht="15">
      <c r="A18" s="41" t="s">
        <v>86</v>
      </c>
      <c r="B18" s="41"/>
      <c r="C18" s="41"/>
      <c r="D18" s="41"/>
      <c r="E18" s="41"/>
      <c r="F18" s="41"/>
      <c r="G18" s="41"/>
      <c r="H18" s="41"/>
      <c r="I18" s="41"/>
      <c r="J18" s="41"/>
    </row>
    <row r="19" spans="1:11">
      <c r="A19" s="8" t="s">
        <v>2151</v>
      </c>
      <c r="B19" s="8" t="s">
        <v>2152</v>
      </c>
      <c r="C19" s="8" t="s">
        <v>2153</v>
      </c>
      <c r="D19" s="8" t="str">
        <f>"0,6050"</f>
        <v>0,6050</v>
      </c>
      <c r="E19" s="8" t="s">
        <v>34</v>
      </c>
      <c r="F19" s="8" t="s">
        <v>35</v>
      </c>
      <c r="G19" s="9" t="s">
        <v>246</v>
      </c>
      <c r="H19" s="32" t="s">
        <v>2154</v>
      </c>
      <c r="I19" s="8" t="str">
        <f>"3237,5"</f>
        <v>3237,5</v>
      </c>
      <c r="J19" s="9" t="str">
        <f>"1958,6876"</f>
        <v>1958,6876</v>
      </c>
      <c r="K19" s="8" t="s">
        <v>2155</v>
      </c>
    </row>
    <row r="20" spans="1:11">
      <c r="A20" s="14" t="s">
        <v>2156</v>
      </c>
      <c r="B20" s="14" t="s">
        <v>2157</v>
      </c>
      <c r="C20" s="14" t="s">
        <v>1023</v>
      </c>
      <c r="D20" s="14" t="str">
        <f>"0,5813"</f>
        <v>0,5813</v>
      </c>
      <c r="E20" s="14" t="s">
        <v>34</v>
      </c>
      <c r="F20" s="14" t="s">
        <v>35</v>
      </c>
      <c r="G20" s="16" t="s">
        <v>21</v>
      </c>
      <c r="H20" s="34" t="s">
        <v>2017</v>
      </c>
      <c r="I20" s="14" t="str">
        <f>"3000,0"</f>
        <v>3000,0</v>
      </c>
      <c r="J20" s="16" t="str">
        <f>"1940,9608"</f>
        <v>1940,9608</v>
      </c>
      <c r="K20" s="14"/>
    </row>
    <row r="21" spans="1:11">
      <c r="A21" s="11" t="s">
        <v>885</v>
      </c>
      <c r="B21" s="11" t="s">
        <v>2158</v>
      </c>
      <c r="C21" s="11" t="s">
        <v>887</v>
      </c>
      <c r="D21" s="11" t="str">
        <f>"0,5943"</f>
        <v>0,5943</v>
      </c>
      <c r="E21" s="11" t="s">
        <v>103</v>
      </c>
      <c r="F21" s="11" t="s">
        <v>888</v>
      </c>
      <c r="G21" s="12" t="s">
        <v>228</v>
      </c>
      <c r="H21" s="36" t="s">
        <v>2051</v>
      </c>
      <c r="I21" s="11" t="str">
        <f>"2437,5"</f>
        <v>2437,5</v>
      </c>
      <c r="J21" s="12" t="str">
        <f>"1636,9250"</f>
        <v>1636,9250</v>
      </c>
      <c r="K21" s="11"/>
    </row>
    <row r="23" spans="1:11" ht="15">
      <c r="A23" s="41" t="s">
        <v>122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1">
      <c r="A24" s="5" t="s">
        <v>907</v>
      </c>
      <c r="B24" s="5" t="s">
        <v>2159</v>
      </c>
      <c r="C24" s="5" t="s">
        <v>909</v>
      </c>
      <c r="D24" s="5" t="str">
        <f>"0,5772"</f>
        <v>0,5772</v>
      </c>
      <c r="E24" s="5" t="s">
        <v>73</v>
      </c>
      <c r="F24" s="5" t="s">
        <v>910</v>
      </c>
      <c r="G24" s="7" t="s">
        <v>247</v>
      </c>
      <c r="H24" s="29" t="s">
        <v>2160</v>
      </c>
      <c r="I24" s="5" t="str">
        <f>"2767,5"</f>
        <v>2767,5</v>
      </c>
      <c r="J24" s="7" t="str">
        <f>"1629,3490"</f>
        <v>1629,3490</v>
      </c>
      <c r="K24" s="5"/>
    </row>
    <row r="26" spans="1:11" ht="15">
      <c r="A26" s="41" t="s">
        <v>153</v>
      </c>
      <c r="B26" s="41"/>
      <c r="C26" s="41"/>
      <c r="D26" s="41"/>
      <c r="E26" s="41"/>
      <c r="F26" s="41"/>
      <c r="G26" s="41"/>
      <c r="H26" s="41"/>
      <c r="I26" s="41"/>
      <c r="J26" s="41"/>
    </row>
    <row r="27" spans="1:11">
      <c r="A27" s="5" t="s">
        <v>2161</v>
      </c>
      <c r="B27" s="5" t="s">
        <v>941</v>
      </c>
      <c r="C27" s="5" t="s">
        <v>942</v>
      </c>
      <c r="D27" s="5" t="str">
        <f>"0,5458"</f>
        <v>0,5458</v>
      </c>
      <c r="E27" s="5" t="s">
        <v>18</v>
      </c>
      <c r="F27" s="5" t="s">
        <v>943</v>
      </c>
      <c r="G27" s="7" t="s">
        <v>186</v>
      </c>
      <c r="H27" s="29" t="s">
        <v>2055</v>
      </c>
      <c r="I27" s="5" t="str">
        <f>"2125,0"</f>
        <v>2125,0</v>
      </c>
      <c r="J27" s="7" t="str">
        <f>"1159,7188"</f>
        <v>1159,7188</v>
      </c>
      <c r="K27" s="5"/>
    </row>
    <row r="29" spans="1:11" ht="15">
      <c r="E29" s="17" t="s">
        <v>166</v>
      </c>
    </row>
    <row r="30" spans="1:11" ht="15">
      <c r="E30" s="17" t="s">
        <v>167</v>
      </c>
    </row>
    <row r="31" spans="1:11" ht="15">
      <c r="E31" s="17" t="s">
        <v>168</v>
      </c>
    </row>
    <row r="32" spans="1:11" ht="15">
      <c r="E32" s="17" t="s">
        <v>169</v>
      </c>
    </row>
    <row r="33" spans="1:5" ht="15">
      <c r="E33" s="17" t="s">
        <v>169</v>
      </c>
    </row>
    <row r="34" spans="1:5" ht="15">
      <c r="E34" s="17" t="s">
        <v>170</v>
      </c>
    </row>
    <row r="35" spans="1:5" ht="15">
      <c r="E35" s="17"/>
    </row>
    <row r="37" spans="1:5" ht="18">
      <c r="A37" s="18" t="s">
        <v>171</v>
      </c>
      <c r="B37" s="18"/>
    </row>
    <row r="38" spans="1:5" ht="15">
      <c r="A38" s="19" t="s">
        <v>183</v>
      </c>
      <c r="B38" s="19"/>
    </row>
    <row r="39" spans="1:5" ht="14.25">
      <c r="A39" s="21"/>
      <c r="B39" s="22" t="s">
        <v>184</v>
      </c>
    </row>
    <row r="40" spans="1:5" ht="15">
      <c r="A40" s="23" t="s">
        <v>174</v>
      </c>
      <c r="B40" s="23" t="s">
        <v>175</v>
      </c>
      <c r="C40" s="23" t="s">
        <v>176</v>
      </c>
      <c r="D40" s="23" t="s">
        <v>177</v>
      </c>
      <c r="E40" s="23" t="s">
        <v>2023</v>
      </c>
    </row>
    <row r="41" spans="1:5">
      <c r="A41" s="20" t="s">
        <v>2162</v>
      </c>
      <c r="B41" s="4" t="s">
        <v>185</v>
      </c>
      <c r="C41" s="4" t="s">
        <v>25</v>
      </c>
      <c r="D41" s="4" t="s">
        <v>2163</v>
      </c>
      <c r="E41" s="24" t="s">
        <v>2164</v>
      </c>
    </row>
    <row r="43" spans="1:5" ht="14.25">
      <c r="A43" s="21"/>
      <c r="B43" s="22" t="s">
        <v>191</v>
      </c>
    </row>
    <row r="44" spans="1:5" ht="15">
      <c r="A44" s="23" t="s">
        <v>174</v>
      </c>
      <c r="B44" s="23" t="s">
        <v>175</v>
      </c>
      <c r="C44" s="23" t="s">
        <v>176</v>
      </c>
      <c r="D44" s="23" t="s">
        <v>177</v>
      </c>
      <c r="E44" s="23" t="s">
        <v>2023</v>
      </c>
    </row>
    <row r="45" spans="1:5">
      <c r="A45" s="20" t="s">
        <v>2165</v>
      </c>
      <c r="B45" s="4" t="s">
        <v>191</v>
      </c>
      <c r="C45" s="4" t="s">
        <v>200</v>
      </c>
      <c r="D45" s="4" t="s">
        <v>2166</v>
      </c>
      <c r="E45" s="24" t="s">
        <v>2167</v>
      </c>
    </row>
    <row r="46" spans="1:5">
      <c r="A46" s="20" t="s">
        <v>2168</v>
      </c>
      <c r="B46" s="4" t="s">
        <v>191</v>
      </c>
      <c r="C46" s="4" t="s">
        <v>21</v>
      </c>
      <c r="D46" s="4" t="s">
        <v>2169</v>
      </c>
      <c r="E46" s="24" t="s">
        <v>2170</v>
      </c>
    </row>
    <row r="47" spans="1:5">
      <c r="A47" s="20" t="s">
        <v>2171</v>
      </c>
      <c r="B47" s="4" t="s">
        <v>191</v>
      </c>
      <c r="C47" s="4" t="s">
        <v>52</v>
      </c>
      <c r="D47" s="4" t="s">
        <v>2172</v>
      </c>
      <c r="E47" s="24" t="s">
        <v>2173</v>
      </c>
    </row>
    <row r="48" spans="1:5">
      <c r="A48" s="20" t="s">
        <v>802</v>
      </c>
      <c r="B48" s="4" t="s">
        <v>191</v>
      </c>
      <c r="C48" s="4" t="s">
        <v>378</v>
      </c>
      <c r="D48" s="4" t="s">
        <v>2174</v>
      </c>
      <c r="E48" s="24" t="s">
        <v>2175</v>
      </c>
    </row>
    <row r="49" spans="1:5">
      <c r="A49" s="20" t="s">
        <v>806</v>
      </c>
      <c r="B49" s="4" t="s">
        <v>191</v>
      </c>
      <c r="C49" s="4" t="s">
        <v>378</v>
      </c>
      <c r="D49" s="4" t="s">
        <v>2176</v>
      </c>
      <c r="E49" s="24" t="s">
        <v>2177</v>
      </c>
    </row>
    <row r="50" spans="1:5">
      <c r="A50" s="20" t="s">
        <v>939</v>
      </c>
      <c r="B50" s="4" t="s">
        <v>191</v>
      </c>
      <c r="C50" s="4" t="s">
        <v>186</v>
      </c>
      <c r="D50" s="4" t="s">
        <v>2178</v>
      </c>
      <c r="E50" s="24" t="s">
        <v>2179</v>
      </c>
    </row>
    <row r="52" spans="1:5" ht="14.25">
      <c r="A52" s="21"/>
      <c r="B52" s="22" t="s">
        <v>2027</v>
      </c>
    </row>
    <row r="53" spans="1:5" ht="15">
      <c r="A53" s="23" t="s">
        <v>174</v>
      </c>
      <c r="B53" s="23" t="s">
        <v>175</v>
      </c>
      <c r="C53" s="23" t="s">
        <v>176</v>
      </c>
      <c r="D53" s="23" t="s">
        <v>177</v>
      </c>
      <c r="E53" s="23" t="s">
        <v>2023</v>
      </c>
    </row>
    <row r="54" spans="1:5">
      <c r="A54" s="20" t="s">
        <v>2180</v>
      </c>
      <c r="B54" s="4" t="s">
        <v>2125</v>
      </c>
      <c r="C54" s="4" t="s">
        <v>21</v>
      </c>
      <c r="D54" s="4" t="s">
        <v>2181</v>
      </c>
      <c r="E54" s="24" t="s">
        <v>2182</v>
      </c>
    </row>
    <row r="55" spans="1:5">
      <c r="A55" s="20" t="s">
        <v>884</v>
      </c>
      <c r="B55" s="4" t="s">
        <v>2029</v>
      </c>
      <c r="C55" s="4" t="s">
        <v>21</v>
      </c>
      <c r="D55" s="4" t="s">
        <v>2183</v>
      </c>
      <c r="E55" s="24" t="s">
        <v>2184</v>
      </c>
    </row>
    <row r="56" spans="1:5">
      <c r="A56" s="20" t="s">
        <v>906</v>
      </c>
      <c r="B56" s="4" t="s">
        <v>2125</v>
      </c>
      <c r="C56" s="4" t="s">
        <v>192</v>
      </c>
      <c r="D56" s="4" t="s">
        <v>2185</v>
      </c>
      <c r="E56" s="24" t="s">
        <v>2186</v>
      </c>
    </row>
  </sheetData>
  <mergeCells count="18">
    <mergeCell ref="A23:J23"/>
    <mergeCell ref="A26:J26"/>
    <mergeCell ref="K3:K4"/>
    <mergeCell ref="A5:J5"/>
    <mergeCell ref="A9:J9"/>
    <mergeCell ref="A12:J12"/>
    <mergeCell ref="A15:J15"/>
    <mergeCell ref="A18:J18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U127"/>
  <sheetViews>
    <sheetView workbookViewId="0">
      <selection activeCell="B45" sqref="B45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8" width="5.5703125" style="3" bestFit="1" customWidth="1"/>
    <col min="19" max="19" width="7.85546875" style="4" bestFit="1" customWidth="1"/>
    <col min="20" max="20" width="8.5703125" style="3" bestFit="1" customWidth="1"/>
    <col min="21" max="21" width="27.140625" style="4" bestFit="1" customWidth="1"/>
    <col min="22" max="16384" width="9.140625" style="3"/>
  </cols>
  <sheetData>
    <row r="1" spans="1:21" s="2" customFormat="1" ht="29.1" customHeight="1">
      <c r="A1" s="42" t="s">
        <v>1931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548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8" t="s">
        <v>550</v>
      </c>
      <c r="B6" s="8" t="s">
        <v>551</v>
      </c>
      <c r="C6" s="8" t="s">
        <v>552</v>
      </c>
      <c r="D6" s="8" t="str">
        <f>"1,3265"</f>
        <v>1,3265</v>
      </c>
      <c r="E6" s="8" t="s">
        <v>34</v>
      </c>
      <c r="F6" s="8" t="s">
        <v>35</v>
      </c>
      <c r="G6" s="9" t="s">
        <v>51</v>
      </c>
      <c r="H6" s="10" t="s">
        <v>52</v>
      </c>
      <c r="I6" s="10"/>
      <c r="J6" s="10"/>
      <c r="K6" s="9" t="s">
        <v>226</v>
      </c>
      <c r="L6" s="10" t="s">
        <v>358</v>
      </c>
      <c r="M6" s="10" t="s">
        <v>358</v>
      </c>
      <c r="N6" s="10"/>
      <c r="O6" s="9" t="s">
        <v>22</v>
      </c>
      <c r="P6" s="9" t="s">
        <v>186</v>
      </c>
      <c r="Q6" s="10"/>
      <c r="R6" s="10"/>
      <c r="S6" s="8" t="str">
        <f>"255,0"</f>
        <v>255,0</v>
      </c>
      <c r="T6" s="9" t="str">
        <f>"338,2575"</f>
        <v>338,2575</v>
      </c>
      <c r="U6" s="8" t="s">
        <v>553</v>
      </c>
    </row>
    <row r="7" spans="1:21">
      <c r="A7" s="11" t="s">
        <v>555</v>
      </c>
      <c r="B7" s="11" t="s">
        <v>556</v>
      </c>
      <c r="C7" s="11" t="s">
        <v>557</v>
      </c>
      <c r="D7" s="11" t="str">
        <f>"1,3408"</f>
        <v>1,3408</v>
      </c>
      <c r="E7" s="11" t="s">
        <v>18</v>
      </c>
      <c r="F7" s="11" t="s">
        <v>315</v>
      </c>
      <c r="G7" s="12" t="s">
        <v>200</v>
      </c>
      <c r="H7" s="12" t="s">
        <v>52</v>
      </c>
      <c r="I7" s="12" t="s">
        <v>246</v>
      </c>
      <c r="J7" s="13"/>
      <c r="K7" s="12" t="s">
        <v>225</v>
      </c>
      <c r="L7" s="12" t="s">
        <v>226</v>
      </c>
      <c r="M7" s="12" t="s">
        <v>227</v>
      </c>
      <c r="N7" s="13"/>
      <c r="O7" s="12" t="s">
        <v>52</v>
      </c>
      <c r="P7" s="12" t="s">
        <v>21</v>
      </c>
      <c r="Q7" s="12" t="s">
        <v>26</v>
      </c>
      <c r="R7" s="13"/>
      <c r="S7" s="11" t="str">
        <f>"245,0"</f>
        <v>245,0</v>
      </c>
      <c r="T7" s="12" t="str">
        <f>"328,4960"</f>
        <v>328,4960</v>
      </c>
      <c r="U7" s="11" t="s">
        <v>426</v>
      </c>
    </row>
    <row r="9" spans="1:21" ht="15">
      <c r="A9" s="41" t="s">
        <v>220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1">
      <c r="A10" s="8" t="s">
        <v>559</v>
      </c>
      <c r="B10" s="8" t="s">
        <v>560</v>
      </c>
      <c r="C10" s="8" t="s">
        <v>224</v>
      </c>
      <c r="D10" s="8" t="str">
        <f>"1,2711"</f>
        <v>1,2711</v>
      </c>
      <c r="E10" s="8" t="s">
        <v>18</v>
      </c>
      <c r="F10" s="8" t="s">
        <v>561</v>
      </c>
      <c r="G10" s="9" t="s">
        <v>24</v>
      </c>
      <c r="H10" s="9" t="s">
        <v>25</v>
      </c>
      <c r="I10" s="9" t="s">
        <v>20</v>
      </c>
      <c r="J10" s="10"/>
      <c r="K10" s="9" t="s">
        <v>226</v>
      </c>
      <c r="L10" s="9" t="s">
        <v>227</v>
      </c>
      <c r="M10" s="10" t="s">
        <v>358</v>
      </c>
      <c r="N10" s="10"/>
      <c r="O10" s="9" t="s">
        <v>24</v>
      </c>
      <c r="P10" s="10" t="s">
        <v>20</v>
      </c>
      <c r="Q10" s="9" t="s">
        <v>20</v>
      </c>
      <c r="R10" s="10"/>
      <c r="S10" s="8" t="str">
        <f>"207,5"</f>
        <v>207,5</v>
      </c>
      <c r="T10" s="9" t="str">
        <f>"263,7533"</f>
        <v>263,7533</v>
      </c>
      <c r="U10" s="8" t="s">
        <v>562</v>
      </c>
    </row>
    <row r="11" spans="1:21">
      <c r="A11" s="11" t="s">
        <v>564</v>
      </c>
      <c r="B11" s="11" t="s">
        <v>565</v>
      </c>
      <c r="C11" s="11" t="s">
        <v>566</v>
      </c>
      <c r="D11" s="11" t="str">
        <f>"1,2730"</f>
        <v>1,2730</v>
      </c>
      <c r="E11" s="11" t="s">
        <v>34</v>
      </c>
      <c r="F11" s="11" t="s">
        <v>35</v>
      </c>
      <c r="G11" s="12" t="s">
        <v>567</v>
      </c>
      <c r="H11" s="13" t="s">
        <v>235</v>
      </c>
      <c r="I11" s="13" t="s">
        <v>235</v>
      </c>
      <c r="J11" s="13"/>
      <c r="K11" s="12" t="s">
        <v>568</v>
      </c>
      <c r="L11" s="12" t="s">
        <v>225</v>
      </c>
      <c r="M11" s="13" t="s">
        <v>226</v>
      </c>
      <c r="N11" s="13"/>
      <c r="O11" s="12" t="s">
        <v>200</v>
      </c>
      <c r="P11" s="12" t="s">
        <v>366</v>
      </c>
      <c r="Q11" s="13" t="s">
        <v>52</v>
      </c>
      <c r="R11" s="13"/>
      <c r="S11" s="11" t="str">
        <f>"200,0"</f>
        <v>200,0</v>
      </c>
      <c r="T11" s="12" t="str">
        <f>"254,6000"</f>
        <v>254,6000</v>
      </c>
      <c r="U11" s="11"/>
    </row>
    <row r="13" spans="1:21" ht="15">
      <c r="A13" s="41" t="s">
        <v>391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1">
      <c r="A14" s="8" t="s">
        <v>570</v>
      </c>
      <c r="B14" s="8" t="s">
        <v>571</v>
      </c>
      <c r="C14" s="8" t="s">
        <v>572</v>
      </c>
      <c r="D14" s="8" t="str">
        <f>"1,1178"</f>
        <v>1,1178</v>
      </c>
      <c r="E14" s="8" t="s">
        <v>34</v>
      </c>
      <c r="F14" s="8" t="s">
        <v>35</v>
      </c>
      <c r="G14" s="9" t="s">
        <v>192</v>
      </c>
      <c r="H14" s="9" t="s">
        <v>22</v>
      </c>
      <c r="I14" s="9" t="s">
        <v>234</v>
      </c>
      <c r="J14" s="10"/>
      <c r="K14" s="9" t="s">
        <v>180</v>
      </c>
      <c r="L14" s="9" t="s">
        <v>24</v>
      </c>
      <c r="M14" s="10" t="s">
        <v>567</v>
      </c>
      <c r="N14" s="10"/>
      <c r="O14" s="9" t="s">
        <v>236</v>
      </c>
      <c r="P14" s="10" t="s">
        <v>49</v>
      </c>
      <c r="Q14" s="10" t="s">
        <v>49</v>
      </c>
      <c r="R14" s="10"/>
      <c r="S14" s="8" t="str">
        <f>"325,0"</f>
        <v>325,0</v>
      </c>
      <c r="T14" s="9" t="str">
        <f>"363,2850"</f>
        <v>363,2850</v>
      </c>
      <c r="U14" s="8" t="s">
        <v>573</v>
      </c>
    </row>
    <row r="15" spans="1:21">
      <c r="A15" s="11" t="s">
        <v>575</v>
      </c>
      <c r="B15" s="11" t="s">
        <v>576</v>
      </c>
      <c r="C15" s="11" t="s">
        <v>577</v>
      </c>
      <c r="D15" s="11" t="str">
        <f>"1,1371"</f>
        <v>1,1371</v>
      </c>
      <c r="E15" s="11" t="s">
        <v>34</v>
      </c>
      <c r="F15" s="11" t="s">
        <v>35</v>
      </c>
      <c r="G15" s="12" t="s">
        <v>366</v>
      </c>
      <c r="H15" s="12" t="s">
        <v>246</v>
      </c>
      <c r="I15" s="13" t="s">
        <v>53</v>
      </c>
      <c r="J15" s="13"/>
      <c r="K15" s="12" t="s">
        <v>227</v>
      </c>
      <c r="L15" s="12" t="s">
        <v>385</v>
      </c>
      <c r="M15" s="12" t="s">
        <v>359</v>
      </c>
      <c r="N15" s="13"/>
      <c r="O15" s="12" t="s">
        <v>409</v>
      </c>
      <c r="P15" s="12" t="s">
        <v>578</v>
      </c>
      <c r="Q15" s="13" t="s">
        <v>579</v>
      </c>
      <c r="R15" s="13"/>
      <c r="S15" s="11" t="str">
        <f>"270,0"</f>
        <v>270,0</v>
      </c>
      <c r="T15" s="12" t="str">
        <f>"307,0170"</f>
        <v>307,0170</v>
      </c>
      <c r="U15" s="11" t="s">
        <v>273</v>
      </c>
    </row>
    <row r="17" spans="1:21" ht="15">
      <c r="A17" s="41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1">
      <c r="A18" s="8" t="s">
        <v>581</v>
      </c>
      <c r="B18" s="8" t="s">
        <v>582</v>
      </c>
      <c r="C18" s="8" t="s">
        <v>583</v>
      </c>
      <c r="D18" s="8" t="str">
        <f>"1,0339"</f>
        <v>1,0339</v>
      </c>
      <c r="E18" s="8" t="s">
        <v>18</v>
      </c>
      <c r="F18" s="8" t="s">
        <v>474</v>
      </c>
      <c r="G18" s="9" t="s">
        <v>21</v>
      </c>
      <c r="H18" s="9" t="s">
        <v>26</v>
      </c>
      <c r="I18" s="9" t="s">
        <v>192</v>
      </c>
      <c r="J18" s="10"/>
      <c r="K18" s="10" t="s">
        <v>359</v>
      </c>
      <c r="L18" s="9" t="s">
        <v>359</v>
      </c>
      <c r="M18" s="9" t="s">
        <v>378</v>
      </c>
      <c r="N18" s="10"/>
      <c r="O18" s="9" t="s">
        <v>22</v>
      </c>
      <c r="P18" s="10" t="s">
        <v>186</v>
      </c>
      <c r="Q18" s="10" t="s">
        <v>186</v>
      </c>
      <c r="R18" s="10"/>
      <c r="S18" s="8" t="str">
        <f>"285,0"</f>
        <v>285,0</v>
      </c>
      <c r="T18" s="9" t="str">
        <f>"294,6615"</f>
        <v>294,6615</v>
      </c>
      <c r="U18" s="8" t="s">
        <v>476</v>
      </c>
    </row>
    <row r="19" spans="1:21">
      <c r="A19" s="11" t="s">
        <v>585</v>
      </c>
      <c r="B19" s="11" t="s">
        <v>586</v>
      </c>
      <c r="C19" s="11" t="s">
        <v>587</v>
      </c>
      <c r="D19" s="11" t="str">
        <f>"1,0432"</f>
        <v>1,0432</v>
      </c>
      <c r="E19" s="11" t="s">
        <v>34</v>
      </c>
      <c r="F19" s="11" t="s">
        <v>35</v>
      </c>
      <c r="G19" s="12" t="s">
        <v>52</v>
      </c>
      <c r="H19" s="12" t="s">
        <v>53</v>
      </c>
      <c r="I19" s="12" t="s">
        <v>21</v>
      </c>
      <c r="J19" s="13"/>
      <c r="K19" s="12" t="s">
        <v>359</v>
      </c>
      <c r="L19" s="13" t="s">
        <v>360</v>
      </c>
      <c r="M19" s="13" t="s">
        <v>360</v>
      </c>
      <c r="N19" s="13"/>
      <c r="O19" s="12" t="s">
        <v>192</v>
      </c>
      <c r="P19" s="12" t="s">
        <v>22</v>
      </c>
      <c r="Q19" s="13" t="s">
        <v>409</v>
      </c>
      <c r="R19" s="13"/>
      <c r="S19" s="11" t="str">
        <f>"270,0"</f>
        <v>270,0</v>
      </c>
      <c r="T19" s="12" t="str">
        <f>"281,6640"</f>
        <v>281,6640</v>
      </c>
      <c r="U19" s="11" t="s">
        <v>588</v>
      </c>
    </row>
    <row r="21" spans="1:21" ht="15">
      <c r="A21" s="41" t="s">
        <v>237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1">
      <c r="A22" s="5" t="s">
        <v>590</v>
      </c>
      <c r="B22" s="5" t="s">
        <v>591</v>
      </c>
      <c r="C22" s="5" t="s">
        <v>592</v>
      </c>
      <c r="D22" s="5" t="str">
        <f>"0,9579"</f>
        <v>0,9579</v>
      </c>
      <c r="E22" s="5" t="s">
        <v>34</v>
      </c>
      <c r="F22" s="5" t="s">
        <v>35</v>
      </c>
      <c r="G22" s="7" t="s">
        <v>25</v>
      </c>
      <c r="H22" s="6" t="s">
        <v>20</v>
      </c>
      <c r="I22" s="7" t="s">
        <v>200</v>
      </c>
      <c r="J22" s="6"/>
      <c r="K22" s="7" t="s">
        <v>226</v>
      </c>
      <c r="L22" s="7" t="s">
        <v>358</v>
      </c>
      <c r="M22" s="7" t="s">
        <v>385</v>
      </c>
      <c r="N22" s="6"/>
      <c r="O22" s="6" t="s">
        <v>26</v>
      </c>
      <c r="P22" s="6" t="s">
        <v>22</v>
      </c>
      <c r="Q22" s="7" t="s">
        <v>234</v>
      </c>
      <c r="R22" s="6"/>
      <c r="S22" s="5" t="str">
        <f>"255,0"</f>
        <v>255,0</v>
      </c>
      <c r="T22" s="7" t="str">
        <f>"244,2645"</f>
        <v>244,2645</v>
      </c>
      <c r="U22" s="5" t="s">
        <v>593</v>
      </c>
    </row>
    <row r="24" spans="1:21" ht="15">
      <c r="A24" s="41" t="s">
        <v>13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1">
      <c r="A25" s="8" t="s">
        <v>595</v>
      </c>
      <c r="B25" s="8" t="s">
        <v>596</v>
      </c>
      <c r="C25" s="8" t="s">
        <v>597</v>
      </c>
      <c r="D25" s="8" t="str">
        <f>"0,8089"</f>
        <v>0,8089</v>
      </c>
      <c r="E25" s="8" t="s">
        <v>34</v>
      </c>
      <c r="F25" s="8" t="s">
        <v>35</v>
      </c>
      <c r="G25" s="10" t="s">
        <v>234</v>
      </c>
      <c r="H25" s="10" t="s">
        <v>234</v>
      </c>
      <c r="I25" s="9" t="s">
        <v>234</v>
      </c>
      <c r="J25" s="10"/>
      <c r="K25" s="9" t="s">
        <v>200</v>
      </c>
      <c r="L25" s="9" t="s">
        <v>51</v>
      </c>
      <c r="M25" s="10" t="s">
        <v>366</v>
      </c>
      <c r="N25" s="10"/>
      <c r="O25" s="9" t="s">
        <v>93</v>
      </c>
      <c r="P25" s="9" t="s">
        <v>106</v>
      </c>
      <c r="Q25" s="9" t="s">
        <v>82</v>
      </c>
      <c r="R25" s="10"/>
      <c r="S25" s="8" t="str">
        <f>"395,0"</f>
        <v>395,0</v>
      </c>
      <c r="T25" s="9" t="str">
        <f>"319,5155"</f>
        <v>319,5155</v>
      </c>
      <c r="U25" s="8" t="s">
        <v>341</v>
      </c>
    </row>
    <row r="26" spans="1:21">
      <c r="A26" s="11" t="s">
        <v>599</v>
      </c>
      <c r="B26" s="11" t="s">
        <v>600</v>
      </c>
      <c r="C26" s="11" t="s">
        <v>601</v>
      </c>
      <c r="D26" s="11" t="str">
        <f>"0,7804"</f>
        <v>0,7804</v>
      </c>
      <c r="E26" s="11" t="s">
        <v>34</v>
      </c>
      <c r="F26" s="11" t="s">
        <v>35</v>
      </c>
      <c r="G26" s="12" t="s">
        <v>26</v>
      </c>
      <c r="H26" s="12" t="s">
        <v>192</v>
      </c>
      <c r="I26" s="12" t="s">
        <v>409</v>
      </c>
      <c r="J26" s="13"/>
      <c r="K26" s="12" t="s">
        <v>53</v>
      </c>
      <c r="L26" s="12" t="s">
        <v>21</v>
      </c>
      <c r="M26" s="12" t="s">
        <v>26</v>
      </c>
      <c r="N26" s="13"/>
      <c r="O26" s="12" t="s">
        <v>192</v>
      </c>
      <c r="P26" s="12" t="s">
        <v>234</v>
      </c>
      <c r="Q26" s="12" t="s">
        <v>260</v>
      </c>
      <c r="R26" s="13"/>
      <c r="S26" s="11" t="str">
        <f>"360,0"</f>
        <v>360,0</v>
      </c>
      <c r="T26" s="12" t="str">
        <f>"280,9440"</f>
        <v>280,9440</v>
      </c>
      <c r="U26" s="11"/>
    </row>
    <row r="28" spans="1:21" ht="15">
      <c r="A28" s="41" t="s">
        <v>237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1">
      <c r="A29" s="8" t="s">
        <v>603</v>
      </c>
      <c r="B29" s="8" t="s">
        <v>604</v>
      </c>
      <c r="C29" s="8" t="s">
        <v>605</v>
      </c>
      <c r="D29" s="8" t="str">
        <f>"0,7271"</f>
        <v>0,7271</v>
      </c>
      <c r="E29" s="8" t="s">
        <v>34</v>
      </c>
      <c r="F29" s="8" t="s">
        <v>35</v>
      </c>
      <c r="G29" s="9" t="s">
        <v>234</v>
      </c>
      <c r="H29" s="9" t="s">
        <v>27</v>
      </c>
      <c r="I29" s="9" t="s">
        <v>49</v>
      </c>
      <c r="J29" s="10"/>
      <c r="K29" s="9" t="s">
        <v>52</v>
      </c>
      <c r="L29" s="9" t="s">
        <v>53</v>
      </c>
      <c r="M29" s="9" t="s">
        <v>21</v>
      </c>
      <c r="N29" s="10"/>
      <c r="O29" s="9" t="s">
        <v>64</v>
      </c>
      <c r="P29" s="10" t="s">
        <v>55</v>
      </c>
      <c r="Q29" s="10" t="s">
        <v>55</v>
      </c>
      <c r="R29" s="10"/>
      <c r="S29" s="8" t="str">
        <f>"390,0"</f>
        <v>390,0</v>
      </c>
      <c r="T29" s="9" t="str">
        <f>"283,5690"</f>
        <v>283,5690</v>
      </c>
      <c r="U29" s="8" t="s">
        <v>606</v>
      </c>
    </row>
    <row r="30" spans="1:21">
      <c r="A30" s="14" t="s">
        <v>608</v>
      </c>
      <c r="B30" s="14" t="s">
        <v>609</v>
      </c>
      <c r="C30" s="14" t="s">
        <v>610</v>
      </c>
      <c r="D30" s="14" t="str">
        <f>"0,7330"</f>
        <v>0,7330</v>
      </c>
      <c r="E30" s="14" t="s">
        <v>34</v>
      </c>
      <c r="F30" s="14" t="s">
        <v>35</v>
      </c>
      <c r="G30" s="16" t="s">
        <v>52</v>
      </c>
      <c r="H30" s="16" t="s">
        <v>228</v>
      </c>
      <c r="I30" s="16" t="s">
        <v>247</v>
      </c>
      <c r="J30" s="15"/>
      <c r="K30" s="16" t="s">
        <v>20</v>
      </c>
      <c r="L30" s="16" t="s">
        <v>51</v>
      </c>
      <c r="M30" s="15" t="s">
        <v>246</v>
      </c>
      <c r="N30" s="15"/>
      <c r="O30" s="16" t="s">
        <v>192</v>
      </c>
      <c r="P30" s="16" t="s">
        <v>186</v>
      </c>
      <c r="Q30" s="15" t="s">
        <v>611</v>
      </c>
      <c r="R30" s="15"/>
      <c r="S30" s="14" t="str">
        <f>"312,5"</f>
        <v>312,5</v>
      </c>
      <c r="T30" s="16" t="str">
        <f>"229,0625"</f>
        <v>229,0625</v>
      </c>
      <c r="U30" s="14" t="s">
        <v>612</v>
      </c>
    </row>
    <row r="31" spans="1:21">
      <c r="A31" s="14" t="s">
        <v>614</v>
      </c>
      <c r="B31" s="14" t="s">
        <v>615</v>
      </c>
      <c r="C31" s="14" t="s">
        <v>403</v>
      </c>
      <c r="D31" s="14" t="str">
        <f>"0,7207"</f>
        <v>0,7207</v>
      </c>
      <c r="E31" s="14" t="s">
        <v>34</v>
      </c>
      <c r="F31" s="14" t="s">
        <v>35</v>
      </c>
      <c r="G31" s="16" t="s">
        <v>85</v>
      </c>
      <c r="H31" s="15" t="s">
        <v>76</v>
      </c>
      <c r="I31" s="15" t="s">
        <v>76</v>
      </c>
      <c r="J31" s="15"/>
      <c r="K31" s="16" t="s">
        <v>234</v>
      </c>
      <c r="L31" s="16" t="s">
        <v>579</v>
      </c>
      <c r="M31" s="15" t="s">
        <v>27</v>
      </c>
      <c r="N31" s="15"/>
      <c r="O31" s="16" t="s">
        <v>92</v>
      </c>
      <c r="P31" s="16" t="s">
        <v>63</v>
      </c>
      <c r="Q31" s="15"/>
      <c r="R31" s="15"/>
      <c r="S31" s="14" t="str">
        <f>"602,5"</f>
        <v>602,5</v>
      </c>
      <c r="T31" s="16" t="str">
        <f>"434,2218"</f>
        <v>434,2218</v>
      </c>
      <c r="U31" s="14" t="s">
        <v>616</v>
      </c>
    </row>
    <row r="32" spans="1:21">
      <c r="A32" s="11" t="s">
        <v>618</v>
      </c>
      <c r="B32" s="11" t="s">
        <v>619</v>
      </c>
      <c r="C32" s="11" t="s">
        <v>620</v>
      </c>
      <c r="D32" s="11" t="str">
        <f>"0,7322"</f>
        <v>0,7322</v>
      </c>
      <c r="E32" s="11" t="s">
        <v>34</v>
      </c>
      <c r="F32" s="11" t="s">
        <v>35</v>
      </c>
      <c r="G32" s="12" t="s">
        <v>51</v>
      </c>
      <c r="H32" s="12" t="s">
        <v>52</v>
      </c>
      <c r="I32" s="12" t="s">
        <v>53</v>
      </c>
      <c r="J32" s="13"/>
      <c r="K32" s="12" t="s">
        <v>20</v>
      </c>
      <c r="L32" s="13" t="s">
        <v>366</v>
      </c>
      <c r="M32" s="12" t="s">
        <v>366</v>
      </c>
      <c r="N32" s="13"/>
      <c r="O32" s="12" t="s">
        <v>186</v>
      </c>
      <c r="P32" s="12" t="s">
        <v>236</v>
      </c>
      <c r="Q32" s="12" t="s">
        <v>49</v>
      </c>
      <c r="R32" s="13"/>
      <c r="S32" s="11" t="str">
        <f>"322,5"</f>
        <v>322,5</v>
      </c>
      <c r="T32" s="12" t="str">
        <f>"236,1345"</f>
        <v>236,1345</v>
      </c>
      <c r="U32" s="11" t="s">
        <v>621</v>
      </c>
    </row>
    <row r="34" spans="1:21" ht="15">
      <c r="A34" s="41" t="s">
        <v>29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1">
      <c r="A35" s="8" t="s">
        <v>623</v>
      </c>
      <c r="B35" s="8" t="s">
        <v>624</v>
      </c>
      <c r="C35" s="8" t="s">
        <v>625</v>
      </c>
      <c r="D35" s="8" t="str">
        <f>"0,6795"</f>
        <v>0,6795</v>
      </c>
      <c r="E35" s="8" t="s">
        <v>18</v>
      </c>
      <c r="F35" s="8" t="s">
        <v>127</v>
      </c>
      <c r="G35" s="10" t="s">
        <v>27</v>
      </c>
      <c r="H35" s="9" t="s">
        <v>27</v>
      </c>
      <c r="I35" s="9" t="s">
        <v>236</v>
      </c>
      <c r="J35" s="10"/>
      <c r="K35" s="10" t="s">
        <v>52</v>
      </c>
      <c r="L35" s="9" t="s">
        <v>52</v>
      </c>
      <c r="M35" s="9" t="s">
        <v>53</v>
      </c>
      <c r="N35" s="10"/>
      <c r="O35" s="10" t="s">
        <v>55</v>
      </c>
      <c r="P35" s="9" t="s">
        <v>55</v>
      </c>
      <c r="Q35" s="9" t="s">
        <v>136</v>
      </c>
      <c r="R35" s="10"/>
      <c r="S35" s="8" t="str">
        <f>"395,0"</f>
        <v>395,0</v>
      </c>
      <c r="T35" s="9" t="str">
        <f>"268,4025"</f>
        <v>268,4025</v>
      </c>
      <c r="U35" s="8"/>
    </row>
    <row r="36" spans="1:21">
      <c r="A36" s="14" t="s">
        <v>627</v>
      </c>
      <c r="B36" s="14" t="s">
        <v>628</v>
      </c>
      <c r="C36" s="14" t="s">
        <v>629</v>
      </c>
      <c r="D36" s="14" t="str">
        <f>"0,6785"</f>
        <v>0,6785</v>
      </c>
      <c r="E36" s="14" t="s">
        <v>34</v>
      </c>
      <c r="F36" s="14" t="s">
        <v>35</v>
      </c>
      <c r="G36" s="16" t="s">
        <v>55</v>
      </c>
      <c r="H36" s="15" t="s">
        <v>137</v>
      </c>
      <c r="I36" s="15" t="s">
        <v>137</v>
      </c>
      <c r="J36" s="15"/>
      <c r="K36" s="16" t="s">
        <v>236</v>
      </c>
      <c r="L36" s="16" t="s">
        <v>50</v>
      </c>
      <c r="M36" s="16" t="s">
        <v>64</v>
      </c>
      <c r="N36" s="15"/>
      <c r="O36" s="16" t="s">
        <v>82</v>
      </c>
      <c r="P36" s="16" t="s">
        <v>159</v>
      </c>
      <c r="Q36" s="15" t="s">
        <v>75</v>
      </c>
      <c r="R36" s="15"/>
      <c r="S36" s="14" t="str">
        <f>"517,5"</f>
        <v>517,5</v>
      </c>
      <c r="T36" s="16" t="str">
        <f>"351,1237"</f>
        <v>351,1237</v>
      </c>
      <c r="U36" s="14" t="s">
        <v>630</v>
      </c>
    </row>
    <row r="37" spans="1:21">
      <c r="A37" s="11" t="s">
        <v>632</v>
      </c>
      <c r="B37" s="11" t="s">
        <v>633</v>
      </c>
      <c r="C37" s="11" t="s">
        <v>634</v>
      </c>
      <c r="D37" s="11" t="str">
        <f>"0,6699"</f>
        <v>0,6699</v>
      </c>
      <c r="E37" s="11" t="s">
        <v>34</v>
      </c>
      <c r="F37" s="11" t="s">
        <v>35</v>
      </c>
      <c r="G37" s="12" t="s">
        <v>83</v>
      </c>
      <c r="H37" s="13" t="s">
        <v>76</v>
      </c>
      <c r="I37" s="12" t="s">
        <v>635</v>
      </c>
      <c r="J37" s="12" t="s">
        <v>143</v>
      </c>
      <c r="K37" s="12" t="s">
        <v>469</v>
      </c>
      <c r="L37" s="13" t="s">
        <v>55</v>
      </c>
      <c r="M37" s="12" t="s">
        <v>55</v>
      </c>
      <c r="N37" s="13" t="s">
        <v>136</v>
      </c>
      <c r="O37" s="13" t="s">
        <v>92</v>
      </c>
      <c r="P37" s="12" t="s">
        <v>92</v>
      </c>
      <c r="Q37" s="12" t="s">
        <v>636</v>
      </c>
      <c r="R37" s="12" t="s">
        <v>66</v>
      </c>
      <c r="S37" s="11" t="str">
        <f>"650,0"</f>
        <v>650,0</v>
      </c>
      <c r="T37" s="12" t="str">
        <f>"435,4350"</f>
        <v>435,4350</v>
      </c>
      <c r="U37" s="11" t="s">
        <v>266</v>
      </c>
    </row>
    <row r="39" spans="1:21" ht="15">
      <c r="A39" s="41" t="s">
        <v>56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1:21">
      <c r="A40" s="8" t="s">
        <v>638</v>
      </c>
      <c r="B40" s="8" t="s">
        <v>639</v>
      </c>
      <c r="C40" s="8" t="s">
        <v>640</v>
      </c>
      <c r="D40" s="8" t="str">
        <f>"0,6451"</f>
        <v>0,6451</v>
      </c>
      <c r="E40" s="8" t="s">
        <v>641</v>
      </c>
      <c r="F40" s="8" t="s">
        <v>642</v>
      </c>
      <c r="G40" s="9" t="s">
        <v>93</v>
      </c>
      <c r="H40" s="9" t="s">
        <v>106</v>
      </c>
      <c r="I40" s="9" t="s">
        <v>84</v>
      </c>
      <c r="J40" s="10"/>
      <c r="K40" s="9" t="s">
        <v>21</v>
      </c>
      <c r="L40" s="10" t="s">
        <v>192</v>
      </c>
      <c r="M40" s="9" t="s">
        <v>192</v>
      </c>
      <c r="N40" s="10"/>
      <c r="O40" s="9" t="s">
        <v>106</v>
      </c>
      <c r="P40" s="9" t="s">
        <v>112</v>
      </c>
      <c r="Q40" s="10"/>
      <c r="R40" s="10"/>
      <c r="S40" s="8" t="str">
        <f>"495,0"</f>
        <v>495,0</v>
      </c>
      <c r="T40" s="9" t="str">
        <f>"319,3245"</f>
        <v>319,3245</v>
      </c>
      <c r="U40" s="8" t="s">
        <v>643</v>
      </c>
    </row>
    <row r="41" spans="1:21">
      <c r="A41" s="14" t="s">
        <v>645</v>
      </c>
      <c r="B41" s="14" t="s">
        <v>646</v>
      </c>
      <c r="C41" s="14" t="s">
        <v>647</v>
      </c>
      <c r="D41" s="14" t="str">
        <f>"0,6499"</f>
        <v>0,6499</v>
      </c>
      <c r="E41" s="14" t="s">
        <v>34</v>
      </c>
      <c r="F41" s="14" t="s">
        <v>35</v>
      </c>
      <c r="G41" s="16" t="s">
        <v>51</v>
      </c>
      <c r="H41" s="16" t="s">
        <v>53</v>
      </c>
      <c r="I41" s="15" t="s">
        <v>21</v>
      </c>
      <c r="J41" s="15"/>
      <c r="K41" s="16" t="s">
        <v>23</v>
      </c>
      <c r="L41" s="15" t="s">
        <v>180</v>
      </c>
      <c r="M41" s="16" t="s">
        <v>180</v>
      </c>
      <c r="N41" s="15"/>
      <c r="O41" s="16" t="s">
        <v>51</v>
      </c>
      <c r="P41" s="16" t="s">
        <v>228</v>
      </c>
      <c r="Q41" s="16" t="s">
        <v>247</v>
      </c>
      <c r="R41" s="15"/>
      <c r="S41" s="14" t="str">
        <f>"265,0"</f>
        <v>265,0</v>
      </c>
      <c r="T41" s="16" t="str">
        <f>"172,2235"</f>
        <v>172,2235</v>
      </c>
      <c r="U41" s="14" t="s">
        <v>648</v>
      </c>
    </row>
    <row r="42" spans="1:21">
      <c r="A42" s="14" t="s">
        <v>650</v>
      </c>
      <c r="B42" s="14" t="s">
        <v>651</v>
      </c>
      <c r="C42" s="14" t="s">
        <v>652</v>
      </c>
      <c r="D42" s="14" t="str">
        <f>"0,6402"</f>
        <v>0,6402</v>
      </c>
      <c r="E42" s="14" t="s">
        <v>18</v>
      </c>
      <c r="F42" s="14" t="s">
        <v>653</v>
      </c>
      <c r="G42" s="16" t="s">
        <v>76</v>
      </c>
      <c r="H42" s="16" t="s">
        <v>143</v>
      </c>
      <c r="I42" s="16" t="s">
        <v>152</v>
      </c>
      <c r="J42" s="15"/>
      <c r="K42" s="16" t="s">
        <v>236</v>
      </c>
      <c r="L42" s="16" t="s">
        <v>64</v>
      </c>
      <c r="M42" s="15" t="s">
        <v>54</v>
      </c>
      <c r="N42" s="15"/>
      <c r="O42" s="16" t="s">
        <v>143</v>
      </c>
      <c r="P42" s="16" t="s">
        <v>91</v>
      </c>
      <c r="Q42" s="16" t="s">
        <v>42</v>
      </c>
      <c r="R42" s="15"/>
      <c r="S42" s="14" t="str">
        <f>"637,5"</f>
        <v>637,5</v>
      </c>
      <c r="T42" s="16" t="str">
        <f>"408,1275"</f>
        <v>408,1275</v>
      </c>
      <c r="U42" s="14" t="s">
        <v>654</v>
      </c>
    </row>
    <row r="43" spans="1:21">
      <c r="A43" s="14" t="s">
        <v>656</v>
      </c>
      <c r="B43" s="14" t="s">
        <v>657</v>
      </c>
      <c r="C43" s="14" t="s">
        <v>658</v>
      </c>
      <c r="D43" s="14" t="str">
        <f>"0,6428"</f>
        <v>0,6428</v>
      </c>
      <c r="E43" s="14" t="s">
        <v>34</v>
      </c>
      <c r="F43" s="14" t="s">
        <v>35</v>
      </c>
      <c r="G43" s="16" t="s">
        <v>93</v>
      </c>
      <c r="H43" s="16" t="s">
        <v>82</v>
      </c>
      <c r="I43" s="15" t="s">
        <v>284</v>
      </c>
      <c r="J43" s="15"/>
      <c r="K43" s="16" t="s">
        <v>49</v>
      </c>
      <c r="L43" s="16" t="s">
        <v>54</v>
      </c>
      <c r="M43" s="15" t="s">
        <v>55</v>
      </c>
      <c r="N43" s="15"/>
      <c r="O43" s="16" t="s">
        <v>36</v>
      </c>
      <c r="P43" s="16" t="s">
        <v>117</v>
      </c>
      <c r="Q43" s="16" t="s">
        <v>105</v>
      </c>
      <c r="R43" s="15"/>
      <c r="S43" s="14" t="str">
        <f>"600,0"</f>
        <v>600,0</v>
      </c>
      <c r="T43" s="16" t="str">
        <f>"385,6800"</f>
        <v>385,6800</v>
      </c>
      <c r="U43" s="14" t="s">
        <v>659</v>
      </c>
    </row>
    <row r="44" spans="1:21">
      <c r="A44" s="11" t="s">
        <v>661</v>
      </c>
      <c r="B44" s="11" t="s">
        <v>662</v>
      </c>
      <c r="C44" s="11" t="s">
        <v>652</v>
      </c>
      <c r="D44" s="11" t="str">
        <f>"0,6402"</f>
        <v>0,6402</v>
      </c>
      <c r="E44" s="11" t="s">
        <v>18</v>
      </c>
      <c r="F44" s="11" t="s">
        <v>48</v>
      </c>
      <c r="G44" s="12" t="s">
        <v>93</v>
      </c>
      <c r="H44" s="12" t="s">
        <v>106</v>
      </c>
      <c r="I44" s="13" t="s">
        <v>316</v>
      </c>
      <c r="J44" s="13"/>
      <c r="K44" s="12" t="s">
        <v>27</v>
      </c>
      <c r="L44" s="12" t="s">
        <v>236</v>
      </c>
      <c r="M44" s="12" t="s">
        <v>49</v>
      </c>
      <c r="N44" s="13"/>
      <c r="O44" s="12" t="s">
        <v>83</v>
      </c>
      <c r="P44" s="13" t="s">
        <v>120</v>
      </c>
      <c r="Q44" s="13" t="s">
        <v>120</v>
      </c>
      <c r="R44" s="13"/>
      <c r="S44" s="11" t="str">
        <f>"530,0"</f>
        <v>530,0</v>
      </c>
      <c r="T44" s="12" t="str">
        <f>"339,3060"</f>
        <v>339,3060</v>
      </c>
      <c r="U44" s="11"/>
    </row>
    <row r="46" spans="1:21" ht="15">
      <c r="A46" s="41" t="s">
        <v>86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1:21">
      <c r="A47" s="8" t="s">
        <v>664</v>
      </c>
      <c r="B47" s="8" t="s">
        <v>665</v>
      </c>
      <c r="C47" s="8" t="s">
        <v>666</v>
      </c>
      <c r="D47" s="8" t="str">
        <f>"0,6088"</f>
        <v>0,6088</v>
      </c>
      <c r="E47" s="8" t="s">
        <v>18</v>
      </c>
      <c r="F47" s="8" t="s">
        <v>127</v>
      </c>
      <c r="G47" s="10" t="s">
        <v>82</v>
      </c>
      <c r="H47" s="9" t="s">
        <v>82</v>
      </c>
      <c r="I47" s="9" t="s">
        <v>442</v>
      </c>
      <c r="J47" s="10"/>
      <c r="K47" s="9" t="s">
        <v>27</v>
      </c>
      <c r="L47" s="9" t="s">
        <v>50</v>
      </c>
      <c r="M47" s="9" t="s">
        <v>469</v>
      </c>
      <c r="N47" s="10"/>
      <c r="O47" s="9" t="s">
        <v>117</v>
      </c>
      <c r="P47" s="9" t="s">
        <v>63</v>
      </c>
      <c r="Q47" s="10" t="s">
        <v>77</v>
      </c>
      <c r="R47" s="10"/>
      <c r="S47" s="8" t="str">
        <f>"640,0"</f>
        <v>640,0</v>
      </c>
      <c r="T47" s="9" t="str">
        <f>"389,6320"</f>
        <v>389,6320</v>
      </c>
      <c r="U47" s="8" t="s">
        <v>667</v>
      </c>
    </row>
    <row r="48" spans="1:21">
      <c r="A48" s="14" t="s">
        <v>669</v>
      </c>
      <c r="B48" s="14" t="s">
        <v>670</v>
      </c>
      <c r="C48" s="14" t="s">
        <v>671</v>
      </c>
      <c r="D48" s="14" t="str">
        <f>"0,6266"</f>
        <v>0,6266</v>
      </c>
      <c r="E48" s="14" t="s">
        <v>672</v>
      </c>
      <c r="F48" s="14" t="s">
        <v>673</v>
      </c>
      <c r="G48" s="16" t="s">
        <v>112</v>
      </c>
      <c r="H48" s="15" t="s">
        <v>85</v>
      </c>
      <c r="I48" s="16" t="s">
        <v>85</v>
      </c>
      <c r="J48" s="15"/>
      <c r="K48" s="16" t="s">
        <v>27</v>
      </c>
      <c r="L48" s="15" t="s">
        <v>236</v>
      </c>
      <c r="M48" s="15" t="s">
        <v>236</v>
      </c>
      <c r="N48" s="15"/>
      <c r="O48" s="16" t="s">
        <v>76</v>
      </c>
      <c r="P48" s="16" t="s">
        <v>143</v>
      </c>
      <c r="Q48" s="16" t="s">
        <v>37</v>
      </c>
      <c r="R48" s="15"/>
      <c r="S48" s="14" t="str">
        <f>"572,5"</f>
        <v>572,5</v>
      </c>
      <c r="T48" s="16" t="str">
        <f>"358,7285"</f>
        <v>358,7285</v>
      </c>
      <c r="U48" s="14" t="s">
        <v>674</v>
      </c>
    </row>
    <row r="49" spans="1:21">
      <c r="A49" s="14" t="s">
        <v>676</v>
      </c>
      <c r="B49" s="14" t="s">
        <v>677</v>
      </c>
      <c r="C49" s="14" t="s">
        <v>678</v>
      </c>
      <c r="D49" s="14" t="str">
        <f>"0,6103"</f>
        <v>0,6103</v>
      </c>
      <c r="E49" s="14" t="s">
        <v>34</v>
      </c>
      <c r="F49" s="14" t="s">
        <v>35</v>
      </c>
      <c r="G49" s="16" t="s">
        <v>64</v>
      </c>
      <c r="H49" s="16" t="s">
        <v>679</v>
      </c>
      <c r="I49" s="16" t="s">
        <v>136</v>
      </c>
      <c r="J49" s="15"/>
      <c r="K49" s="16" t="s">
        <v>51</v>
      </c>
      <c r="L49" s="16" t="s">
        <v>52</v>
      </c>
      <c r="M49" s="15" t="s">
        <v>53</v>
      </c>
      <c r="N49" s="15"/>
      <c r="O49" s="16" t="s">
        <v>55</v>
      </c>
      <c r="P49" s="16" t="s">
        <v>93</v>
      </c>
      <c r="Q49" s="16" t="s">
        <v>106</v>
      </c>
      <c r="R49" s="15"/>
      <c r="S49" s="14" t="str">
        <f>"435,0"</f>
        <v>435,0</v>
      </c>
      <c r="T49" s="16" t="str">
        <f>"265,4805"</f>
        <v>265,4805</v>
      </c>
      <c r="U49" s="14" t="s">
        <v>680</v>
      </c>
    </row>
    <row r="50" spans="1:21">
      <c r="A50" s="55" t="s">
        <v>2204</v>
      </c>
      <c r="B50" s="14" t="s">
        <v>681</v>
      </c>
      <c r="C50" s="14" t="s">
        <v>682</v>
      </c>
      <c r="D50" s="14" t="str">
        <f>"0,6158"</f>
        <v>0,6158</v>
      </c>
      <c r="E50" s="14" t="s">
        <v>34</v>
      </c>
      <c r="F50" s="14" t="s">
        <v>35</v>
      </c>
      <c r="G50" s="16" t="s">
        <v>112</v>
      </c>
      <c r="H50" s="16" t="s">
        <v>159</v>
      </c>
      <c r="I50" s="15" t="s">
        <v>75</v>
      </c>
      <c r="J50" s="15"/>
      <c r="K50" s="16" t="s">
        <v>93</v>
      </c>
      <c r="L50" s="16" t="s">
        <v>94</v>
      </c>
      <c r="M50" s="15" t="s">
        <v>84</v>
      </c>
      <c r="N50" s="15"/>
      <c r="O50" s="15" t="s">
        <v>117</v>
      </c>
      <c r="P50" s="15" t="s">
        <v>117</v>
      </c>
      <c r="Q50" s="15" t="s">
        <v>117</v>
      </c>
      <c r="R50" s="15"/>
      <c r="S50" s="14" t="str">
        <f>"0.00"</f>
        <v>0.00</v>
      </c>
      <c r="T50" s="16" t="str">
        <f>"0,0000"</f>
        <v>0,0000</v>
      </c>
      <c r="U50" s="14"/>
    </row>
    <row r="51" spans="1:21">
      <c r="A51" s="11" t="s">
        <v>684</v>
      </c>
      <c r="B51" s="11" t="s">
        <v>685</v>
      </c>
      <c r="C51" s="11" t="s">
        <v>90</v>
      </c>
      <c r="D51" s="11" t="str">
        <f>"0,6121"</f>
        <v>0,6121</v>
      </c>
      <c r="E51" s="11" t="s">
        <v>18</v>
      </c>
      <c r="F51" s="11" t="s">
        <v>686</v>
      </c>
      <c r="G51" s="12" t="s">
        <v>106</v>
      </c>
      <c r="H51" s="13" t="s">
        <v>82</v>
      </c>
      <c r="I51" s="12" t="s">
        <v>82</v>
      </c>
      <c r="J51" s="13"/>
      <c r="K51" s="12" t="s">
        <v>234</v>
      </c>
      <c r="L51" s="12" t="s">
        <v>579</v>
      </c>
      <c r="M51" s="13" t="s">
        <v>611</v>
      </c>
      <c r="N51" s="13"/>
      <c r="O51" s="12" t="s">
        <v>106</v>
      </c>
      <c r="P51" s="12" t="s">
        <v>82</v>
      </c>
      <c r="Q51" s="13" t="s">
        <v>283</v>
      </c>
      <c r="R51" s="13"/>
      <c r="S51" s="11" t="str">
        <f>"507,5"</f>
        <v>507,5</v>
      </c>
      <c r="T51" s="12" t="str">
        <f>"316,8536"</f>
        <v>316,8536</v>
      </c>
      <c r="U51" s="11"/>
    </row>
    <row r="53" spans="1:21" ht="15">
      <c r="A53" s="41" t="s">
        <v>122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1">
      <c r="A54" s="8" t="s">
        <v>688</v>
      </c>
      <c r="B54" s="8" t="s">
        <v>689</v>
      </c>
      <c r="C54" s="8" t="s">
        <v>690</v>
      </c>
      <c r="D54" s="8" t="str">
        <f>"0,5909"</f>
        <v>0,5909</v>
      </c>
      <c r="E54" s="8" t="s">
        <v>34</v>
      </c>
      <c r="F54" s="8" t="s">
        <v>35</v>
      </c>
      <c r="G54" s="9" t="s">
        <v>54</v>
      </c>
      <c r="H54" s="10" t="s">
        <v>679</v>
      </c>
      <c r="I54" s="9" t="s">
        <v>55</v>
      </c>
      <c r="J54" s="10"/>
      <c r="K54" s="9" t="s">
        <v>20</v>
      </c>
      <c r="L54" s="9" t="s">
        <v>51</v>
      </c>
      <c r="M54" s="10" t="s">
        <v>52</v>
      </c>
      <c r="N54" s="10"/>
      <c r="O54" s="9" t="s">
        <v>54</v>
      </c>
      <c r="P54" s="9" t="s">
        <v>136</v>
      </c>
      <c r="Q54" s="9" t="s">
        <v>40</v>
      </c>
      <c r="R54" s="10"/>
      <c r="S54" s="8" t="str">
        <f>"417,5"</f>
        <v>417,5</v>
      </c>
      <c r="T54" s="9" t="str">
        <f>"246,7008"</f>
        <v>246,7008</v>
      </c>
      <c r="U54" s="8" t="s">
        <v>691</v>
      </c>
    </row>
    <row r="55" spans="1:21">
      <c r="A55" s="14" t="s">
        <v>693</v>
      </c>
      <c r="B55" s="14" t="s">
        <v>694</v>
      </c>
      <c r="C55" s="14" t="s">
        <v>695</v>
      </c>
      <c r="D55" s="14" t="str">
        <f>"0,5980"</f>
        <v>0,5980</v>
      </c>
      <c r="E55" s="14" t="s">
        <v>34</v>
      </c>
      <c r="F55" s="14" t="s">
        <v>35</v>
      </c>
      <c r="G55" s="16" t="s">
        <v>143</v>
      </c>
      <c r="H55" s="15" t="s">
        <v>41</v>
      </c>
      <c r="I55" s="16" t="s">
        <v>41</v>
      </c>
      <c r="J55" s="15"/>
      <c r="K55" s="16" t="s">
        <v>40</v>
      </c>
      <c r="L55" s="16" t="s">
        <v>106</v>
      </c>
      <c r="M55" s="16" t="s">
        <v>95</v>
      </c>
      <c r="N55" s="15"/>
      <c r="O55" s="16" t="s">
        <v>37</v>
      </c>
      <c r="P55" s="16" t="s">
        <v>117</v>
      </c>
      <c r="Q55" s="15" t="s">
        <v>92</v>
      </c>
      <c r="R55" s="15"/>
      <c r="S55" s="14" t="str">
        <f>"677,5"</f>
        <v>677,5</v>
      </c>
      <c r="T55" s="16" t="str">
        <f>"405,1450"</f>
        <v>405,1450</v>
      </c>
      <c r="U55" s="14" t="s">
        <v>696</v>
      </c>
    </row>
    <row r="56" spans="1:21">
      <c r="A56" s="14" t="s">
        <v>698</v>
      </c>
      <c r="B56" s="14" t="s">
        <v>699</v>
      </c>
      <c r="C56" s="14" t="s">
        <v>700</v>
      </c>
      <c r="D56" s="14" t="str">
        <f>"0,5952"</f>
        <v>0,5952</v>
      </c>
      <c r="E56" s="14" t="s">
        <v>18</v>
      </c>
      <c r="F56" s="14" t="s">
        <v>127</v>
      </c>
      <c r="G56" s="15" t="s">
        <v>143</v>
      </c>
      <c r="H56" s="16" t="s">
        <v>143</v>
      </c>
      <c r="I56" s="16" t="s">
        <v>91</v>
      </c>
      <c r="J56" s="15"/>
      <c r="K56" s="16" t="s">
        <v>27</v>
      </c>
      <c r="L56" s="16" t="s">
        <v>49</v>
      </c>
      <c r="M56" s="16" t="s">
        <v>50</v>
      </c>
      <c r="N56" s="15"/>
      <c r="O56" s="16" t="s">
        <v>143</v>
      </c>
      <c r="P56" s="16" t="s">
        <v>91</v>
      </c>
      <c r="Q56" s="16" t="s">
        <v>105</v>
      </c>
      <c r="R56" s="15"/>
      <c r="S56" s="14" t="str">
        <f>"640,0"</f>
        <v>640,0</v>
      </c>
      <c r="T56" s="16" t="str">
        <f>"380,9280"</f>
        <v>380,9280</v>
      </c>
      <c r="U56" s="14" t="s">
        <v>701</v>
      </c>
    </row>
    <row r="57" spans="1:21">
      <c r="A57" s="14" t="s">
        <v>693</v>
      </c>
      <c r="B57" s="14" t="s">
        <v>702</v>
      </c>
      <c r="C57" s="14" t="s">
        <v>695</v>
      </c>
      <c r="D57" s="14" t="str">
        <f>"0,5980"</f>
        <v>0,5980</v>
      </c>
      <c r="E57" s="14" t="s">
        <v>34</v>
      </c>
      <c r="F57" s="14" t="s">
        <v>35</v>
      </c>
      <c r="G57" s="16" t="s">
        <v>143</v>
      </c>
      <c r="H57" s="15" t="s">
        <v>41</v>
      </c>
      <c r="I57" s="16" t="s">
        <v>41</v>
      </c>
      <c r="J57" s="15"/>
      <c r="K57" s="16" t="s">
        <v>40</v>
      </c>
      <c r="L57" s="16" t="s">
        <v>106</v>
      </c>
      <c r="M57" s="16" t="s">
        <v>95</v>
      </c>
      <c r="N57" s="15"/>
      <c r="O57" s="16" t="s">
        <v>37</v>
      </c>
      <c r="P57" s="16" t="s">
        <v>117</v>
      </c>
      <c r="Q57" s="15" t="s">
        <v>92</v>
      </c>
      <c r="R57" s="15"/>
      <c r="S57" s="14" t="str">
        <f>"677,5"</f>
        <v>677,5</v>
      </c>
      <c r="T57" s="16" t="str">
        <f>"413,2479"</f>
        <v>413,2479</v>
      </c>
      <c r="U57" s="14" t="s">
        <v>696</v>
      </c>
    </row>
    <row r="58" spans="1:21">
      <c r="A58" s="11" t="s">
        <v>704</v>
      </c>
      <c r="B58" s="11" t="s">
        <v>705</v>
      </c>
      <c r="C58" s="11" t="s">
        <v>706</v>
      </c>
      <c r="D58" s="11" t="str">
        <f>"0,6053"</f>
        <v>0,6053</v>
      </c>
      <c r="E58" s="11" t="s">
        <v>34</v>
      </c>
      <c r="F58" s="11" t="s">
        <v>35</v>
      </c>
      <c r="G58" s="12" t="s">
        <v>137</v>
      </c>
      <c r="H58" s="12" t="s">
        <v>84</v>
      </c>
      <c r="I58" s="12" t="s">
        <v>283</v>
      </c>
      <c r="J58" s="13"/>
      <c r="K58" s="13" t="s">
        <v>26</v>
      </c>
      <c r="L58" s="12" t="s">
        <v>26</v>
      </c>
      <c r="M58" s="12" t="s">
        <v>22</v>
      </c>
      <c r="N58" s="13"/>
      <c r="O58" s="12" t="s">
        <v>92</v>
      </c>
      <c r="P58" s="12" t="s">
        <v>63</v>
      </c>
      <c r="Q58" s="12" t="s">
        <v>490</v>
      </c>
      <c r="R58" s="13"/>
      <c r="S58" s="11" t="str">
        <f>"587,5"</f>
        <v>587,5</v>
      </c>
      <c r="T58" s="12" t="str">
        <f>"485,7684"</f>
        <v>485,7684</v>
      </c>
      <c r="U58" s="11" t="s">
        <v>707</v>
      </c>
    </row>
    <row r="60" spans="1:21" ht="15">
      <c r="A60" s="41" t="s">
        <v>153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1">
      <c r="A61" s="8" t="s">
        <v>709</v>
      </c>
      <c r="B61" s="8" t="s">
        <v>710</v>
      </c>
      <c r="C61" s="8" t="s">
        <v>711</v>
      </c>
      <c r="D61" s="8" t="str">
        <f>"0,5788"</f>
        <v>0,5788</v>
      </c>
      <c r="E61" s="8" t="s">
        <v>34</v>
      </c>
      <c r="F61" s="8" t="s">
        <v>35</v>
      </c>
      <c r="G61" s="9" t="s">
        <v>76</v>
      </c>
      <c r="H61" s="9" t="s">
        <v>152</v>
      </c>
      <c r="I61" s="9" t="s">
        <v>41</v>
      </c>
      <c r="J61" s="10"/>
      <c r="K61" s="9" t="s">
        <v>50</v>
      </c>
      <c r="L61" s="9" t="s">
        <v>55</v>
      </c>
      <c r="M61" s="10" t="s">
        <v>136</v>
      </c>
      <c r="N61" s="10"/>
      <c r="O61" s="9" t="s">
        <v>106</v>
      </c>
      <c r="P61" s="9" t="s">
        <v>83</v>
      </c>
      <c r="Q61" s="9" t="s">
        <v>76</v>
      </c>
      <c r="R61" s="10"/>
      <c r="S61" s="8" t="str">
        <f>"625,0"</f>
        <v>625,0</v>
      </c>
      <c r="T61" s="9" t="str">
        <f>"361,7500"</f>
        <v>361,7500</v>
      </c>
      <c r="U61" s="8" t="s">
        <v>266</v>
      </c>
    </row>
    <row r="62" spans="1:21">
      <c r="A62" s="11" t="s">
        <v>709</v>
      </c>
      <c r="B62" s="11" t="s">
        <v>712</v>
      </c>
      <c r="C62" s="11" t="s">
        <v>711</v>
      </c>
      <c r="D62" s="11" t="str">
        <f>"0,5788"</f>
        <v>0,5788</v>
      </c>
      <c r="E62" s="11" t="s">
        <v>34</v>
      </c>
      <c r="F62" s="11" t="s">
        <v>35</v>
      </c>
      <c r="G62" s="12" t="s">
        <v>76</v>
      </c>
      <c r="H62" s="12" t="s">
        <v>152</v>
      </c>
      <c r="I62" s="12" t="s">
        <v>41</v>
      </c>
      <c r="J62" s="13"/>
      <c r="K62" s="12" t="s">
        <v>50</v>
      </c>
      <c r="L62" s="12" t="s">
        <v>55</v>
      </c>
      <c r="M62" s="13" t="s">
        <v>136</v>
      </c>
      <c r="N62" s="13"/>
      <c r="O62" s="12" t="s">
        <v>106</v>
      </c>
      <c r="P62" s="12" t="s">
        <v>83</v>
      </c>
      <c r="Q62" s="12" t="s">
        <v>76</v>
      </c>
      <c r="R62" s="13"/>
      <c r="S62" s="11" t="str">
        <f>"625,0"</f>
        <v>625,0</v>
      </c>
      <c r="T62" s="12" t="str">
        <f>"361,7500"</f>
        <v>361,7500</v>
      </c>
      <c r="U62" s="11" t="s">
        <v>266</v>
      </c>
    </row>
    <row r="64" spans="1:21" ht="15">
      <c r="A64" s="41" t="s">
        <v>160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1:21">
      <c r="A65" s="5" t="s">
        <v>714</v>
      </c>
      <c r="B65" s="5" t="s">
        <v>715</v>
      </c>
      <c r="C65" s="5" t="s">
        <v>716</v>
      </c>
      <c r="D65" s="5" t="str">
        <f>"0,5602"</f>
        <v>0,5602</v>
      </c>
      <c r="E65" s="5" t="s">
        <v>641</v>
      </c>
      <c r="F65" s="5" t="s">
        <v>642</v>
      </c>
      <c r="G65" s="7" t="s">
        <v>76</v>
      </c>
      <c r="H65" s="7" t="s">
        <v>91</v>
      </c>
      <c r="I65" s="7" t="s">
        <v>117</v>
      </c>
      <c r="J65" s="6"/>
      <c r="K65" s="7" t="s">
        <v>55</v>
      </c>
      <c r="L65" s="7" t="s">
        <v>93</v>
      </c>
      <c r="M65" s="7" t="s">
        <v>137</v>
      </c>
      <c r="N65" s="6"/>
      <c r="O65" s="6" t="s">
        <v>117</v>
      </c>
      <c r="P65" s="7" t="s">
        <v>117</v>
      </c>
      <c r="Q65" s="7" t="s">
        <v>67</v>
      </c>
      <c r="R65" s="6"/>
      <c r="S65" s="5" t="str">
        <f>"715,0"</f>
        <v>715,0</v>
      </c>
      <c r="T65" s="7" t="str">
        <f>"400,5430"</f>
        <v>400,5430</v>
      </c>
      <c r="U65" s="5" t="s">
        <v>643</v>
      </c>
    </row>
    <row r="67" spans="1:21" ht="15">
      <c r="E67" s="17" t="s">
        <v>166</v>
      </c>
    </row>
    <row r="68" spans="1:21" ht="15">
      <c r="E68" s="17" t="s">
        <v>167</v>
      </c>
    </row>
    <row r="69" spans="1:21" ht="15">
      <c r="E69" s="17" t="s">
        <v>168</v>
      </c>
    </row>
    <row r="70" spans="1:21" ht="15">
      <c r="E70" s="17" t="s">
        <v>169</v>
      </c>
    </row>
    <row r="71" spans="1:21" ht="15">
      <c r="E71" s="17" t="s">
        <v>169</v>
      </c>
    </row>
    <row r="72" spans="1:21" ht="15">
      <c r="E72" s="17" t="s">
        <v>170</v>
      </c>
    </row>
    <row r="73" spans="1:21" ht="15">
      <c r="E73" s="17"/>
    </row>
    <row r="75" spans="1:21" ht="18">
      <c r="A75" s="18" t="s">
        <v>171</v>
      </c>
      <c r="B75" s="18"/>
    </row>
    <row r="76" spans="1:21" ht="15">
      <c r="A76" s="19" t="s">
        <v>172</v>
      </c>
      <c r="B76" s="19"/>
    </row>
    <row r="77" spans="1:21" ht="14.25">
      <c r="A77" s="21"/>
      <c r="B77" s="22" t="s">
        <v>191</v>
      </c>
    </row>
    <row r="78" spans="1:21" ht="15">
      <c r="A78" s="23" t="s">
        <v>174</v>
      </c>
      <c r="B78" s="23" t="s">
        <v>175</v>
      </c>
      <c r="C78" s="23" t="s">
        <v>176</v>
      </c>
      <c r="D78" s="23" t="s">
        <v>177</v>
      </c>
      <c r="E78" s="23" t="s">
        <v>178</v>
      </c>
    </row>
    <row r="79" spans="1:21">
      <c r="A79" s="20" t="s">
        <v>569</v>
      </c>
      <c r="B79" s="4" t="s">
        <v>191</v>
      </c>
      <c r="C79" s="4" t="s">
        <v>378</v>
      </c>
      <c r="D79" s="4" t="s">
        <v>265</v>
      </c>
      <c r="E79" s="24" t="s">
        <v>717</v>
      </c>
    </row>
    <row r="80" spans="1:21">
      <c r="A80" s="20" t="s">
        <v>549</v>
      </c>
      <c r="B80" s="4" t="s">
        <v>191</v>
      </c>
      <c r="C80" s="4" t="s">
        <v>718</v>
      </c>
      <c r="D80" s="4" t="s">
        <v>105</v>
      </c>
      <c r="E80" s="24" t="s">
        <v>719</v>
      </c>
    </row>
    <row r="81" spans="1:5">
      <c r="A81" s="20" t="s">
        <v>554</v>
      </c>
      <c r="B81" s="4" t="s">
        <v>191</v>
      </c>
      <c r="C81" s="4" t="s">
        <v>718</v>
      </c>
      <c r="D81" s="4" t="s">
        <v>41</v>
      </c>
      <c r="E81" s="24" t="s">
        <v>720</v>
      </c>
    </row>
    <row r="82" spans="1:5">
      <c r="A82" s="20" t="s">
        <v>574</v>
      </c>
      <c r="B82" s="4" t="s">
        <v>191</v>
      </c>
      <c r="C82" s="4" t="s">
        <v>378</v>
      </c>
      <c r="D82" s="4" t="s">
        <v>63</v>
      </c>
      <c r="E82" s="24" t="s">
        <v>721</v>
      </c>
    </row>
    <row r="83" spans="1:5">
      <c r="A83" s="20" t="s">
        <v>580</v>
      </c>
      <c r="B83" s="4" t="s">
        <v>191</v>
      </c>
      <c r="C83" s="4" t="s">
        <v>180</v>
      </c>
      <c r="D83" s="4" t="s">
        <v>107</v>
      </c>
      <c r="E83" s="24" t="s">
        <v>722</v>
      </c>
    </row>
    <row r="84" spans="1:5">
      <c r="A84" s="20" t="s">
        <v>584</v>
      </c>
      <c r="B84" s="4" t="s">
        <v>191</v>
      </c>
      <c r="C84" s="4" t="s">
        <v>180</v>
      </c>
      <c r="D84" s="4" t="s">
        <v>63</v>
      </c>
      <c r="E84" s="24" t="s">
        <v>723</v>
      </c>
    </row>
    <row r="85" spans="1:5">
      <c r="A85" s="20" t="s">
        <v>558</v>
      </c>
      <c r="B85" s="4" t="s">
        <v>191</v>
      </c>
      <c r="C85" s="4" t="s">
        <v>288</v>
      </c>
      <c r="D85" s="4" t="s">
        <v>159</v>
      </c>
      <c r="E85" s="24" t="s">
        <v>724</v>
      </c>
    </row>
    <row r="86" spans="1:5">
      <c r="A86" s="20" t="s">
        <v>563</v>
      </c>
      <c r="B86" s="4" t="s">
        <v>191</v>
      </c>
      <c r="C86" s="4" t="s">
        <v>288</v>
      </c>
      <c r="D86" s="4" t="s">
        <v>112</v>
      </c>
      <c r="E86" s="24" t="s">
        <v>725</v>
      </c>
    </row>
    <row r="87" spans="1:5">
      <c r="A87" s="20" t="s">
        <v>589</v>
      </c>
      <c r="B87" s="4" t="s">
        <v>191</v>
      </c>
      <c r="C87" s="4" t="s">
        <v>25</v>
      </c>
      <c r="D87" s="4" t="s">
        <v>105</v>
      </c>
      <c r="E87" s="24" t="s">
        <v>726</v>
      </c>
    </row>
    <row r="90" spans="1:5" ht="15">
      <c r="A90" s="19" t="s">
        <v>183</v>
      </c>
      <c r="B90" s="19"/>
    </row>
    <row r="91" spans="1:5" ht="14.25">
      <c r="A91" s="21"/>
      <c r="B91" s="22" t="s">
        <v>511</v>
      </c>
    </row>
    <row r="92" spans="1:5" ht="15">
      <c r="A92" s="23" t="s">
        <v>174</v>
      </c>
      <c r="B92" s="23" t="s">
        <v>175</v>
      </c>
      <c r="C92" s="23" t="s">
        <v>176</v>
      </c>
      <c r="D92" s="23" t="s">
        <v>177</v>
      </c>
      <c r="E92" s="23" t="s">
        <v>178</v>
      </c>
    </row>
    <row r="93" spans="1:5">
      <c r="A93" s="20" t="s">
        <v>713</v>
      </c>
      <c r="B93" s="4" t="s">
        <v>500</v>
      </c>
      <c r="C93" s="4" t="s">
        <v>49</v>
      </c>
      <c r="D93" s="4" t="s">
        <v>727</v>
      </c>
      <c r="E93" s="24" t="s">
        <v>728</v>
      </c>
    </row>
    <row r="94" spans="1:5">
      <c r="A94" s="20" t="s">
        <v>637</v>
      </c>
      <c r="B94" s="4" t="s">
        <v>500</v>
      </c>
      <c r="C94" s="4" t="s">
        <v>52</v>
      </c>
      <c r="D94" s="4" t="s">
        <v>729</v>
      </c>
      <c r="E94" s="24" t="s">
        <v>730</v>
      </c>
    </row>
    <row r="95" spans="1:5">
      <c r="A95" s="20" t="s">
        <v>602</v>
      </c>
      <c r="B95" s="4" t="s">
        <v>500</v>
      </c>
      <c r="C95" s="4" t="s">
        <v>25</v>
      </c>
      <c r="D95" s="4" t="s">
        <v>212</v>
      </c>
      <c r="E95" s="24" t="s">
        <v>731</v>
      </c>
    </row>
    <row r="96" spans="1:5">
      <c r="A96" s="20" t="s">
        <v>622</v>
      </c>
      <c r="B96" s="4" t="s">
        <v>500</v>
      </c>
      <c r="C96" s="4" t="s">
        <v>200</v>
      </c>
      <c r="D96" s="4" t="s">
        <v>304</v>
      </c>
      <c r="E96" s="24" t="s">
        <v>732</v>
      </c>
    </row>
    <row r="97" spans="1:5">
      <c r="A97" s="20" t="s">
        <v>687</v>
      </c>
      <c r="B97" s="4" t="s">
        <v>500</v>
      </c>
      <c r="C97" s="4" t="s">
        <v>192</v>
      </c>
      <c r="D97" s="4" t="s">
        <v>733</v>
      </c>
      <c r="E97" s="24" t="s">
        <v>734</v>
      </c>
    </row>
    <row r="98" spans="1:5">
      <c r="A98" s="20" t="s">
        <v>607</v>
      </c>
      <c r="B98" s="4" t="s">
        <v>500</v>
      </c>
      <c r="C98" s="4" t="s">
        <v>25</v>
      </c>
      <c r="D98" s="4" t="s">
        <v>735</v>
      </c>
      <c r="E98" s="24" t="s">
        <v>736</v>
      </c>
    </row>
    <row r="99" spans="1:5">
      <c r="A99" s="20" t="s">
        <v>644</v>
      </c>
      <c r="B99" s="4" t="s">
        <v>500</v>
      </c>
      <c r="C99" s="4" t="s">
        <v>52</v>
      </c>
      <c r="D99" s="4" t="s">
        <v>65</v>
      </c>
      <c r="E99" s="24" t="s">
        <v>737</v>
      </c>
    </row>
    <row r="101" spans="1:5" ht="14.25">
      <c r="A101" s="21"/>
      <c r="B101" s="22" t="s">
        <v>184</v>
      </c>
    </row>
    <row r="102" spans="1:5" ht="15">
      <c r="A102" s="23" t="s">
        <v>174</v>
      </c>
      <c r="B102" s="23" t="s">
        <v>175</v>
      </c>
      <c r="C102" s="23" t="s">
        <v>176</v>
      </c>
      <c r="D102" s="23" t="s">
        <v>177</v>
      </c>
      <c r="E102" s="23" t="s">
        <v>178</v>
      </c>
    </row>
    <row r="103" spans="1:5">
      <c r="A103" s="20" t="s">
        <v>626</v>
      </c>
      <c r="B103" s="4" t="s">
        <v>185</v>
      </c>
      <c r="C103" s="4" t="s">
        <v>200</v>
      </c>
      <c r="D103" s="4" t="s">
        <v>738</v>
      </c>
      <c r="E103" s="24" t="s">
        <v>739</v>
      </c>
    </row>
    <row r="105" spans="1:5" ht="14.25">
      <c r="A105" s="21"/>
      <c r="B105" s="22" t="s">
        <v>191</v>
      </c>
    </row>
    <row r="106" spans="1:5" ht="15">
      <c r="A106" s="23" t="s">
        <v>174</v>
      </c>
      <c r="B106" s="23" t="s">
        <v>175</v>
      </c>
      <c r="C106" s="23" t="s">
        <v>176</v>
      </c>
      <c r="D106" s="23" t="s">
        <v>177</v>
      </c>
      <c r="E106" s="23" t="s">
        <v>178</v>
      </c>
    </row>
    <row r="107" spans="1:5">
      <c r="A107" s="20" t="s">
        <v>631</v>
      </c>
      <c r="B107" s="4" t="s">
        <v>191</v>
      </c>
      <c r="C107" s="4" t="s">
        <v>200</v>
      </c>
      <c r="D107" s="4" t="s">
        <v>740</v>
      </c>
      <c r="E107" s="24" t="s">
        <v>741</v>
      </c>
    </row>
    <row r="108" spans="1:5">
      <c r="A108" s="20" t="s">
        <v>613</v>
      </c>
      <c r="B108" s="4" t="s">
        <v>191</v>
      </c>
      <c r="C108" s="4" t="s">
        <v>25</v>
      </c>
      <c r="D108" s="4" t="s">
        <v>742</v>
      </c>
      <c r="E108" s="24" t="s">
        <v>743</v>
      </c>
    </row>
    <row r="109" spans="1:5">
      <c r="A109" s="20" t="s">
        <v>649</v>
      </c>
      <c r="B109" s="4" t="s">
        <v>191</v>
      </c>
      <c r="C109" s="4" t="s">
        <v>52</v>
      </c>
      <c r="D109" s="4" t="s">
        <v>744</v>
      </c>
      <c r="E109" s="24" t="s">
        <v>745</v>
      </c>
    </row>
    <row r="110" spans="1:5">
      <c r="A110" s="20" t="s">
        <v>692</v>
      </c>
      <c r="B110" s="4" t="s">
        <v>191</v>
      </c>
      <c r="C110" s="4" t="s">
        <v>192</v>
      </c>
      <c r="D110" s="4" t="s">
        <v>746</v>
      </c>
      <c r="E110" s="24" t="s">
        <v>747</v>
      </c>
    </row>
    <row r="111" spans="1:5">
      <c r="A111" s="20" t="s">
        <v>663</v>
      </c>
      <c r="B111" s="4" t="s">
        <v>191</v>
      </c>
      <c r="C111" s="4" t="s">
        <v>21</v>
      </c>
      <c r="D111" s="4" t="s">
        <v>748</v>
      </c>
      <c r="E111" s="24" t="s">
        <v>749</v>
      </c>
    </row>
    <row r="112" spans="1:5">
      <c r="A112" s="20" t="s">
        <v>655</v>
      </c>
      <c r="B112" s="4" t="s">
        <v>191</v>
      </c>
      <c r="C112" s="4" t="s">
        <v>52</v>
      </c>
      <c r="D112" s="4" t="s">
        <v>750</v>
      </c>
      <c r="E112" s="24" t="s">
        <v>751</v>
      </c>
    </row>
    <row r="113" spans="1:5">
      <c r="A113" s="20" t="s">
        <v>697</v>
      </c>
      <c r="B113" s="4" t="s">
        <v>191</v>
      </c>
      <c r="C113" s="4" t="s">
        <v>192</v>
      </c>
      <c r="D113" s="4" t="s">
        <v>748</v>
      </c>
      <c r="E113" s="24" t="s">
        <v>752</v>
      </c>
    </row>
    <row r="114" spans="1:5">
      <c r="A114" s="20" t="s">
        <v>708</v>
      </c>
      <c r="B114" s="4" t="s">
        <v>191</v>
      </c>
      <c r="C114" s="4" t="s">
        <v>186</v>
      </c>
      <c r="D114" s="4" t="s">
        <v>753</v>
      </c>
      <c r="E114" s="24" t="s">
        <v>754</v>
      </c>
    </row>
    <row r="115" spans="1:5">
      <c r="A115" s="20" t="s">
        <v>668</v>
      </c>
      <c r="B115" s="4" t="s">
        <v>191</v>
      </c>
      <c r="C115" s="4" t="s">
        <v>21</v>
      </c>
      <c r="D115" s="4" t="s">
        <v>755</v>
      </c>
      <c r="E115" s="24" t="s">
        <v>756</v>
      </c>
    </row>
    <row r="116" spans="1:5">
      <c r="A116" s="20" t="s">
        <v>660</v>
      </c>
      <c r="B116" s="4" t="s">
        <v>191</v>
      </c>
      <c r="C116" s="4" t="s">
        <v>52</v>
      </c>
      <c r="D116" s="4" t="s">
        <v>757</v>
      </c>
      <c r="E116" s="24" t="s">
        <v>758</v>
      </c>
    </row>
    <row r="117" spans="1:5">
      <c r="A117" s="20" t="s">
        <v>594</v>
      </c>
      <c r="B117" s="4" t="s">
        <v>191</v>
      </c>
      <c r="C117" s="4" t="s">
        <v>180</v>
      </c>
      <c r="D117" s="4" t="s">
        <v>304</v>
      </c>
      <c r="E117" s="24" t="s">
        <v>759</v>
      </c>
    </row>
    <row r="118" spans="1:5">
      <c r="A118" s="20" t="s">
        <v>598</v>
      </c>
      <c r="B118" s="4" t="s">
        <v>191</v>
      </c>
      <c r="C118" s="4" t="s">
        <v>180</v>
      </c>
      <c r="D118" s="4" t="s">
        <v>760</v>
      </c>
      <c r="E118" s="24" t="s">
        <v>761</v>
      </c>
    </row>
    <row r="119" spans="1:5">
      <c r="A119" s="20" t="s">
        <v>675</v>
      </c>
      <c r="B119" s="4" t="s">
        <v>191</v>
      </c>
      <c r="C119" s="4" t="s">
        <v>21</v>
      </c>
      <c r="D119" s="4" t="s">
        <v>762</v>
      </c>
      <c r="E119" s="24" t="s">
        <v>763</v>
      </c>
    </row>
    <row r="120" spans="1:5">
      <c r="A120" s="20" t="s">
        <v>617</v>
      </c>
      <c r="B120" s="4" t="s">
        <v>191</v>
      </c>
      <c r="C120" s="4" t="s">
        <v>25</v>
      </c>
      <c r="D120" s="4" t="s">
        <v>764</v>
      </c>
      <c r="E120" s="24" t="s">
        <v>765</v>
      </c>
    </row>
    <row r="122" spans="1:5" ht="14.25">
      <c r="A122" s="21"/>
      <c r="B122" s="22" t="s">
        <v>173</v>
      </c>
    </row>
    <row r="123" spans="1:5" ht="15">
      <c r="A123" s="23" t="s">
        <v>174</v>
      </c>
      <c r="B123" s="23" t="s">
        <v>175</v>
      </c>
      <c r="C123" s="23" t="s">
        <v>176</v>
      </c>
      <c r="D123" s="23" t="s">
        <v>177</v>
      </c>
      <c r="E123" s="23" t="s">
        <v>178</v>
      </c>
    </row>
    <row r="124" spans="1:5">
      <c r="A124" s="20" t="s">
        <v>703</v>
      </c>
      <c r="B124" s="4" t="s">
        <v>545</v>
      </c>
      <c r="C124" s="4" t="s">
        <v>192</v>
      </c>
      <c r="D124" s="4" t="s">
        <v>766</v>
      </c>
      <c r="E124" s="24" t="s">
        <v>767</v>
      </c>
    </row>
    <row r="125" spans="1:5">
      <c r="A125" s="20" t="s">
        <v>692</v>
      </c>
      <c r="B125" s="4" t="s">
        <v>217</v>
      </c>
      <c r="C125" s="4" t="s">
        <v>192</v>
      </c>
      <c r="D125" s="4" t="s">
        <v>746</v>
      </c>
      <c r="E125" s="24" t="s">
        <v>768</v>
      </c>
    </row>
    <row r="126" spans="1:5">
      <c r="A126" s="20" t="s">
        <v>708</v>
      </c>
      <c r="B126" s="4" t="s">
        <v>217</v>
      </c>
      <c r="C126" s="4" t="s">
        <v>186</v>
      </c>
      <c r="D126" s="4" t="s">
        <v>753</v>
      </c>
      <c r="E126" s="24" t="s">
        <v>754</v>
      </c>
    </row>
    <row r="127" spans="1:5">
      <c r="A127" s="20" t="s">
        <v>683</v>
      </c>
      <c r="B127" s="4" t="s">
        <v>217</v>
      </c>
      <c r="C127" s="4" t="s">
        <v>21</v>
      </c>
      <c r="D127" s="4" t="s">
        <v>769</v>
      </c>
      <c r="E127" s="24" t="s">
        <v>770</v>
      </c>
    </row>
  </sheetData>
  <mergeCells count="26">
    <mergeCell ref="A46:T46"/>
    <mergeCell ref="A53:T53"/>
    <mergeCell ref="A60:T60"/>
    <mergeCell ref="A64:T64"/>
    <mergeCell ref="A17:T17"/>
    <mergeCell ref="A21:T21"/>
    <mergeCell ref="A24:T24"/>
    <mergeCell ref="A28:T28"/>
    <mergeCell ref="A34:T34"/>
    <mergeCell ref="A39:T39"/>
    <mergeCell ref="A13:T13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9:T9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22"/>
  <sheetViews>
    <sheetView topLeftCell="A16" workbookViewId="0">
      <selection activeCell="F27" sqref="F27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8" width="5.5703125" style="3" bestFit="1" customWidth="1"/>
    <col min="19" max="19" width="7.85546875" style="4" bestFit="1" customWidth="1"/>
    <col min="20" max="20" width="8.5703125" style="3" bestFit="1" customWidth="1"/>
    <col min="21" max="21" width="31.42578125" style="4" bestFit="1" customWidth="1"/>
    <col min="22" max="16384" width="9.140625" style="3"/>
  </cols>
  <sheetData>
    <row r="1" spans="1:21" s="2" customFormat="1" ht="29.1" customHeight="1">
      <c r="A1" s="42" t="s">
        <v>1932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220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5" t="s">
        <v>339</v>
      </c>
      <c r="B6" s="5" t="s">
        <v>340</v>
      </c>
      <c r="C6" s="5" t="s">
        <v>224</v>
      </c>
      <c r="D6" s="5" t="str">
        <f>"1,2711"</f>
        <v>1,2711</v>
      </c>
      <c r="E6" s="5" t="s">
        <v>34</v>
      </c>
      <c r="F6" s="5" t="s">
        <v>35</v>
      </c>
      <c r="G6" s="6" t="s">
        <v>246</v>
      </c>
      <c r="H6" s="7" t="s">
        <v>246</v>
      </c>
      <c r="I6" s="7" t="s">
        <v>228</v>
      </c>
      <c r="J6" s="6"/>
      <c r="K6" s="7" t="s">
        <v>226</v>
      </c>
      <c r="L6" s="6" t="s">
        <v>227</v>
      </c>
      <c r="M6" s="6" t="s">
        <v>227</v>
      </c>
      <c r="N6" s="6"/>
      <c r="O6" s="7" t="s">
        <v>53</v>
      </c>
      <c r="P6" s="7" t="s">
        <v>21</v>
      </c>
      <c r="Q6" s="6" t="s">
        <v>26</v>
      </c>
      <c r="R6" s="6"/>
      <c r="S6" s="5" t="str">
        <f>"242,5"</f>
        <v>242,5</v>
      </c>
      <c r="T6" s="7" t="str">
        <f>"308,2418"</f>
        <v>308,2418</v>
      </c>
      <c r="U6" s="5" t="s">
        <v>341</v>
      </c>
    </row>
    <row r="8" spans="1:21" ht="15">
      <c r="A8" s="41" t="s">
        <v>342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8" t="s">
        <v>344</v>
      </c>
      <c r="B9" s="8" t="s">
        <v>345</v>
      </c>
      <c r="C9" s="8" t="s">
        <v>346</v>
      </c>
      <c r="D9" s="8" t="str">
        <f>"1,1883"</f>
        <v>1,1883</v>
      </c>
      <c r="E9" s="8" t="s">
        <v>34</v>
      </c>
      <c r="F9" s="8" t="s">
        <v>35</v>
      </c>
      <c r="G9" s="9" t="s">
        <v>53</v>
      </c>
      <c r="H9" s="10" t="s">
        <v>247</v>
      </c>
      <c r="I9" s="9" t="s">
        <v>247</v>
      </c>
      <c r="J9" s="10"/>
      <c r="K9" s="9" t="s">
        <v>347</v>
      </c>
      <c r="L9" s="9" t="s">
        <v>226</v>
      </c>
      <c r="M9" s="9" t="s">
        <v>227</v>
      </c>
      <c r="N9" s="10"/>
      <c r="O9" s="9" t="s">
        <v>52</v>
      </c>
      <c r="P9" s="10" t="s">
        <v>228</v>
      </c>
      <c r="Q9" s="9" t="s">
        <v>228</v>
      </c>
      <c r="R9" s="10"/>
      <c r="S9" s="8" t="str">
        <f>"247,5"</f>
        <v>247,5</v>
      </c>
      <c r="T9" s="9" t="str">
        <f>"294,1043"</f>
        <v>294,1043</v>
      </c>
      <c r="U9" s="8" t="s">
        <v>348</v>
      </c>
    </row>
    <row r="10" spans="1:21">
      <c r="A10" s="14" t="s">
        <v>350</v>
      </c>
      <c r="B10" s="14" t="s">
        <v>351</v>
      </c>
      <c r="C10" s="14" t="s">
        <v>352</v>
      </c>
      <c r="D10" s="14" t="str">
        <f>"1,1783"</f>
        <v>1,1783</v>
      </c>
      <c r="E10" s="14" t="s">
        <v>34</v>
      </c>
      <c r="F10" s="14" t="s">
        <v>35</v>
      </c>
      <c r="G10" s="15" t="s">
        <v>246</v>
      </c>
      <c r="H10" s="15" t="s">
        <v>246</v>
      </c>
      <c r="I10" s="15" t="s">
        <v>246</v>
      </c>
      <c r="J10" s="15"/>
      <c r="K10" s="15" t="s">
        <v>347</v>
      </c>
      <c r="L10" s="15"/>
      <c r="M10" s="15"/>
      <c r="N10" s="15"/>
      <c r="O10" s="15" t="s">
        <v>234</v>
      </c>
      <c r="P10" s="15"/>
      <c r="Q10" s="15"/>
      <c r="R10" s="15"/>
      <c r="S10" s="14" t="str">
        <f>"0.00"</f>
        <v>0.00</v>
      </c>
      <c r="T10" s="16" t="str">
        <f>"0,0000"</f>
        <v>0,0000</v>
      </c>
      <c r="U10" s="14" t="s">
        <v>273</v>
      </c>
    </row>
    <row r="11" spans="1:21">
      <c r="A11" s="14" t="s">
        <v>354</v>
      </c>
      <c r="B11" s="14" t="s">
        <v>355</v>
      </c>
      <c r="C11" s="14" t="s">
        <v>356</v>
      </c>
      <c r="D11" s="14" t="str">
        <f>"1,1916"</f>
        <v>1,1916</v>
      </c>
      <c r="E11" s="14" t="s">
        <v>34</v>
      </c>
      <c r="F11" s="14" t="s">
        <v>35</v>
      </c>
      <c r="G11" s="15" t="s">
        <v>21</v>
      </c>
      <c r="H11" s="16" t="s">
        <v>21</v>
      </c>
      <c r="I11" s="16" t="s">
        <v>357</v>
      </c>
      <c r="J11" s="15"/>
      <c r="K11" s="16" t="s">
        <v>358</v>
      </c>
      <c r="L11" s="16" t="s">
        <v>359</v>
      </c>
      <c r="M11" s="16" t="s">
        <v>360</v>
      </c>
      <c r="N11" s="15"/>
      <c r="O11" s="16" t="s">
        <v>234</v>
      </c>
      <c r="P11" s="16" t="s">
        <v>27</v>
      </c>
      <c r="Q11" s="15" t="s">
        <v>236</v>
      </c>
      <c r="R11" s="15"/>
      <c r="S11" s="14" t="str">
        <f>"295,0"</f>
        <v>295,0</v>
      </c>
      <c r="T11" s="16" t="str">
        <f>"351,5220"</f>
        <v>351,5220</v>
      </c>
      <c r="U11" s="14" t="s">
        <v>361</v>
      </c>
    </row>
    <row r="12" spans="1:21">
      <c r="A12" s="14" t="s">
        <v>363</v>
      </c>
      <c r="B12" s="14" t="s">
        <v>364</v>
      </c>
      <c r="C12" s="14" t="s">
        <v>365</v>
      </c>
      <c r="D12" s="14" t="str">
        <f>"1,2374"</f>
        <v>1,2374</v>
      </c>
      <c r="E12" s="14" t="s">
        <v>34</v>
      </c>
      <c r="F12" s="14" t="s">
        <v>35</v>
      </c>
      <c r="G12" s="16" t="s">
        <v>25</v>
      </c>
      <c r="H12" s="16" t="s">
        <v>366</v>
      </c>
      <c r="I12" s="15" t="s">
        <v>246</v>
      </c>
      <c r="J12" s="15"/>
      <c r="K12" s="16" t="s">
        <v>225</v>
      </c>
      <c r="L12" s="15" t="s">
        <v>226</v>
      </c>
      <c r="M12" s="16" t="s">
        <v>358</v>
      </c>
      <c r="N12" s="15"/>
      <c r="O12" s="16" t="s">
        <v>24</v>
      </c>
      <c r="P12" s="16" t="s">
        <v>20</v>
      </c>
      <c r="Q12" s="16" t="s">
        <v>246</v>
      </c>
      <c r="R12" s="15"/>
      <c r="S12" s="14" t="str">
        <f>"230,0"</f>
        <v>230,0</v>
      </c>
      <c r="T12" s="16" t="str">
        <f>"284,6020"</f>
        <v>284,6020</v>
      </c>
      <c r="U12" s="14" t="s">
        <v>367</v>
      </c>
    </row>
    <row r="13" spans="1:21">
      <c r="A13" s="14" t="s">
        <v>369</v>
      </c>
      <c r="B13" s="14" t="s">
        <v>370</v>
      </c>
      <c r="C13" s="14" t="s">
        <v>371</v>
      </c>
      <c r="D13" s="14" t="str">
        <f>"1,2141"</f>
        <v>1,2141</v>
      </c>
      <c r="E13" s="14" t="s">
        <v>18</v>
      </c>
      <c r="F13" s="14" t="s">
        <v>372</v>
      </c>
      <c r="G13" s="15" t="s">
        <v>24</v>
      </c>
      <c r="H13" s="16" t="s">
        <v>20</v>
      </c>
      <c r="I13" s="16" t="s">
        <v>51</v>
      </c>
      <c r="J13" s="15"/>
      <c r="K13" s="15" t="s">
        <v>226</v>
      </c>
      <c r="L13" s="15" t="s">
        <v>226</v>
      </c>
      <c r="M13" s="16" t="s">
        <v>226</v>
      </c>
      <c r="N13" s="15"/>
      <c r="O13" s="16" t="s">
        <v>51</v>
      </c>
      <c r="P13" s="16" t="s">
        <v>246</v>
      </c>
      <c r="Q13" s="16" t="s">
        <v>21</v>
      </c>
      <c r="R13" s="15"/>
      <c r="S13" s="14" t="str">
        <f>"230,0"</f>
        <v>230,0</v>
      </c>
      <c r="T13" s="16" t="str">
        <f>"279,2430"</f>
        <v>279,2430</v>
      </c>
      <c r="U13" s="14" t="s">
        <v>373</v>
      </c>
    </row>
    <row r="14" spans="1:21">
      <c r="A14" s="14" t="s">
        <v>375</v>
      </c>
      <c r="B14" s="14" t="s">
        <v>376</v>
      </c>
      <c r="C14" s="14" t="s">
        <v>377</v>
      </c>
      <c r="D14" s="14" t="str">
        <f>"1,2106"</f>
        <v>1,2106</v>
      </c>
      <c r="E14" s="14" t="s">
        <v>34</v>
      </c>
      <c r="F14" s="14" t="s">
        <v>35</v>
      </c>
      <c r="G14" s="16" t="s">
        <v>24</v>
      </c>
      <c r="H14" s="16" t="s">
        <v>25</v>
      </c>
      <c r="I14" s="16" t="s">
        <v>20</v>
      </c>
      <c r="J14" s="15"/>
      <c r="K14" s="16" t="s">
        <v>360</v>
      </c>
      <c r="L14" s="16" t="s">
        <v>378</v>
      </c>
      <c r="M14" s="16" t="s">
        <v>23</v>
      </c>
      <c r="N14" s="15"/>
      <c r="O14" s="16" t="s">
        <v>192</v>
      </c>
      <c r="P14" s="16" t="s">
        <v>22</v>
      </c>
      <c r="Q14" s="16" t="s">
        <v>234</v>
      </c>
      <c r="R14" s="15"/>
      <c r="S14" s="14" t="str">
        <f>"262,5"</f>
        <v>262,5</v>
      </c>
      <c r="T14" s="16" t="str">
        <f>"348,6074"</f>
        <v>348,6074</v>
      </c>
      <c r="U14" s="14" t="s">
        <v>379</v>
      </c>
    </row>
    <row r="15" spans="1:21">
      <c r="A15" s="11" t="s">
        <v>381</v>
      </c>
      <c r="B15" s="11" t="s">
        <v>382</v>
      </c>
      <c r="C15" s="11" t="s">
        <v>383</v>
      </c>
      <c r="D15" s="11" t="str">
        <f>"1,1933"</f>
        <v>1,1933</v>
      </c>
      <c r="E15" s="11" t="s">
        <v>18</v>
      </c>
      <c r="F15" s="11" t="s">
        <v>384</v>
      </c>
      <c r="G15" s="12" t="s">
        <v>51</v>
      </c>
      <c r="H15" s="12" t="s">
        <v>52</v>
      </c>
      <c r="I15" s="12" t="s">
        <v>53</v>
      </c>
      <c r="J15" s="13"/>
      <c r="K15" s="13" t="s">
        <v>358</v>
      </c>
      <c r="L15" s="12" t="s">
        <v>358</v>
      </c>
      <c r="M15" s="12" t="s">
        <v>385</v>
      </c>
      <c r="N15" s="13"/>
      <c r="O15" s="12" t="s">
        <v>53</v>
      </c>
      <c r="P15" s="12" t="s">
        <v>247</v>
      </c>
      <c r="Q15" s="12" t="s">
        <v>192</v>
      </c>
      <c r="R15" s="13"/>
      <c r="S15" s="11" t="str">
        <f>"257,5"</f>
        <v>257,5</v>
      </c>
      <c r="T15" s="12" t="str">
        <f>"324,1749"</f>
        <v>324,1749</v>
      </c>
      <c r="U15" s="11" t="s">
        <v>386</v>
      </c>
    </row>
    <row r="17" spans="1:21" ht="15">
      <c r="A17" s="41" t="s">
        <v>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1">
      <c r="A18" s="5" t="s">
        <v>388</v>
      </c>
      <c r="B18" s="5" t="s">
        <v>389</v>
      </c>
      <c r="C18" s="5" t="s">
        <v>390</v>
      </c>
      <c r="D18" s="5" t="str">
        <f>"1,0966"</f>
        <v>1,0966</v>
      </c>
      <c r="E18" s="5" t="s">
        <v>18</v>
      </c>
      <c r="F18" s="5" t="s">
        <v>384</v>
      </c>
      <c r="G18" s="7" t="s">
        <v>53</v>
      </c>
      <c r="H18" s="7" t="s">
        <v>247</v>
      </c>
      <c r="I18" s="7" t="s">
        <v>192</v>
      </c>
      <c r="J18" s="6"/>
      <c r="K18" s="7" t="s">
        <v>227</v>
      </c>
      <c r="L18" s="6" t="s">
        <v>358</v>
      </c>
      <c r="M18" s="6" t="s">
        <v>358</v>
      </c>
      <c r="N18" s="6"/>
      <c r="O18" s="7" t="s">
        <v>20</v>
      </c>
      <c r="P18" s="7" t="s">
        <v>246</v>
      </c>
      <c r="Q18" s="7" t="s">
        <v>21</v>
      </c>
      <c r="R18" s="6"/>
      <c r="S18" s="5" t="str">
        <f>"257,5"</f>
        <v>257,5</v>
      </c>
      <c r="T18" s="7" t="str">
        <f>"282,3745"</f>
        <v>282,3745</v>
      </c>
      <c r="U18" s="5" t="s">
        <v>386</v>
      </c>
    </row>
    <row r="20" spans="1:21" ht="15">
      <c r="A20" s="41" t="s">
        <v>391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1">
      <c r="A21" s="5" t="s">
        <v>393</v>
      </c>
      <c r="B21" s="5" t="s">
        <v>394</v>
      </c>
      <c r="C21" s="5" t="s">
        <v>395</v>
      </c>
      <c r="D21" s="5" t="str">
        <f>"0,8759"</f>
        <v>0,8759</v>
      </c>
      <c r="E21" s="5" t="s">
        <v>34</v>
      </c>
      <c r="F21" s="5" t="s">
        <v>35</v>
      </c>
      <c r="G21" s="6" t="s">
        <v>22</v>
      </c>
      <c r="H21" s="7" t="s">
        <v>186</v>
      </c>
      <c r="I21" s="7" t="s">
        <v>236</v>
      </c>
      <c r="J21" s="6"/>
      <c r="K21" s="7" t="s">
        <v>51</v>
      </c>
      <c r="L21" s="6" t="s">
        <v>52</v>
      </c>
      <c r="M21" s="6" t="s">
        <v>52</v>
      </c>
      <c r="N21" s="6"/>
      <c r="O21" s="7" t="s">
        <v>186</v>
      </c>
      <c r="P21" s="7" t="s">
        <v>236</v>
      </c>
      <c r="Q21" s="7" t="s">
        <v>50</v>
      </c>
      <c r="R21" s="6"/>
      <c r="S21" s="5" t="str">
        <f>"365,0"</f>
        <v>365,0</v>
      </c>
      <c r="T21" s="7" t="str">
        <f>"319,7035"</f>
        <v>319,7035</v>
      </c>
      <c r="U21" s="5" t="s">
        <v>266</v>
      </c>
    </row>
    <row r="23" spans="1:21" ht="15">
      <c r="A23" s="41" t="s">
        <v>13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1">
      <c r="A24" s="5" t="s">
        <v>397</v>
      </c>
      <c r="B24" s="5" t="s">
        <v>398</v>
      </c>
      <c r="C24" s="5" t="s">
        <v>399</v>
      </c>
      <c r="D24" s="5" t="str">
        <f>"0,7962"</f>
        <v>0,7962</v>
      </c>
      <c r="E24" s="5" t="s">
        <v>34</v>
      </c>
      <c r="F24" s="5" t="s">
        <v>35</v>
      </c>
      <c r="G24" s="6" t="s">
        <v>21</v>
      </c>
      <c r="H24" s="7" t="s">
        <v>21</v>
      </c>
      <c r="I24" s="7" t="s">
        <v>192</v>
      </c>
      <c r="J24" s="6"/>
      <c r="K24" s="7" t="s">
        <v>24</v>
      </c>
      <c r="L24" s="6" t="s">
        <v>25</v>
      </c>
      <c r="M24" s="7" t="s">
        <v>25</v>
      </c>
      <c r="N24" s="6"/>
      <c r="O24" s="7" t="s">
        <v>234</v>
      </c>
      <c r="P24" s="7" t="s">
        <v>186</v>
      </c>
      <c r="Q24" s="7" t="s">
        <v>27</v>
      </c>
      <c r="R24" s="6"/>
      <c r="S24" s="5" t="str">
        <f>"315,0"</f>
        <v>315,0</v>
      </c>
      <c r="T24" s="7" t="str">
        <f>"250,8030"</f>
        <v>250,8030</v>
      </c>
      <c r="U24" s="5"/>
    </row>
    <row r="26" spans="1:21" ht="15">
      <c r="A26" s="41" t="s">
        <v>237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1">
      <c r="A27" s="8" t="s">
        <v>401</v>
      </c>
      <c r="B27" s="8" t="s">
        <v>402</v>
      </c>
      <c r="C27" s="8" t="s">
        <v>403</v>
      </c>
      <c r="D27" s="8" t="str">
        <f>"0,7207"</f>
        <v>0,7207</v>
      </c>
      <c r="E27" s="8" t="s">
        <v>34</v>
      </c>
      <c r="F27" s="8" t="s">
        <v>35</v>
      </c>
      <c r="G27" s="9" t="s">
        <v>51</v>
      </c>
      <c r="H27" s="9" t="s">
        <v>52</v>
      </c>
      <c r="I27" s="9" t="s">
        <v>53</v>
      </c>
      <c r="J27" s="10"/>
      <c r="K27" s="9" t="s">
        <v>180</v>
      </c>
      <c r="L27" s="9" t="s">
        <v>24</v>
      </c>
      <c r="M27" s="10" t="s">
        <v>25</v>
      </c>
      <c r="N27" s="10"/>
      <c r="O27" s="9" t="s">
        <v>26</v>
      </c>
      <c r="P27" s="9" t="s">
        <v>192</v>
      </c>
      <c r="Q27" s="9" t="s">
        <v>22</v>
      </c>
      <c r="R27" s="10"/>
      <c r="S27" s="8" t="str">
        <f>"280,0"</f>
        <v>280,0</v>
      </c>
      <c r="T27" s="9" t="str">
        <f>"201,7960"</f>
        <v>201,7960</v>
      </c>
      <c r="U27" s="8" t="s">
        <v>404</v>
      </c>
    </row>
    <row r="28" spans="1:21">
      <c r="A28" s="14" t="s">
        <v>406</v>
      </c>
      <c r="B28" s="14" t="s">
        <v>407</v>
      </c>
      <c r="C28" s="14" t="s">
        <v>408</v>
      </c>
      <c r="D28" s="14" t="str">
        <f>"0,7242"</f>
        <v>0,7242</v>
      </c>
      <c r="E28" s="14" t="s">
        <v>34</v>
      </c>
      <c r="F28" s="14" t="s">
        <v>35</v>
      </c>
      <c r="G28" s="16" t="s">
        <v>106</v>
      </c>
      <c r="H28" s="15" t="s">
        <v>82</v>
      </c>
      <c r="I28" s="15" t="s">
        <v>82</v>
      </c>
      <c r="J28" s="15"/>
      <c r="K28" s="16" t="s">
        <v>26</v>
      </c>
      <c r="L28" s="16" t="s">
        <v>192</v>
      </c>
      <c r="M28" s="16" t="s">
        <v>409</v>
      </c>
      <c r="N28" s="15"/>
      <c r="O28" s="16" t="s">
        <v>106</v>
      </c>
      <c r="P28" s="16" t="s">
        <v>82</v>
      </c>
      <c r="Q28" s="16" t="s">
        <v>112</v>
      </c>
      <c r="R28" s="15"/>
      <c r="S28" s="14" t="str">
        <f>"497,5"</f>
        <v>497,5</v>
      </c>
      <c r="T28" s="16" t="str">
        <f>"360,2895"</f>
        <v>360,2895</v>
      </c>
      <c r="U28" s="14"/>
    </row>
    <row r="29" spans="1:21">
      <c r="A29" s="11" t="s">
        <v>411</v>
      </c>
      <c r="B29" s="11" t="s">
        <v>412</v>
      </c>
      <c r="C29" s="11" t="s">
        <v>413</v>
      </c>
      <c r="D29" s="11" t="str">
        <f>"0,7665"</f>
        <v>0,7665</v>
      </c>
      <c r="E29" s="11" t="s">
        <v>18</v>
      </c>
      <c r="F29" s="11" t="s">
        <v>384</v>
      </c>
      <c r="G29" s="12" t="s">
        <v>21</v>
      </c>
      <c r="H29" s="13" t="s">
        <v>192</v>
      </c>
      <c r="I29" s="12" t="s">
        <v>22</v>
      </c>
      <c r="J29" s="13"/>
      <c r="K29" s="12" t="s">
        <v>25</v>
      </c>
      <c r="L29" s="12" t="s">
        <v>20</v>
      </c>
      <c r="M29" s="13" t="s">
        <v>51</v>
      </c>
      <c r="N29" s="13"/>
      <c r="O29" s="12" t="s">
        <v>27</v>
      </c>
      <c r="P29" s="12" t="s">
        <v>49</v>
      </c>
      <c r="Q29" s="13" t="s">
        <v>50</v>
      </c>
      <c r="R29" s="13"/>
      <c r="S29" s="11" t="str">
        <f>"335,0"</f>
        <v>335,0</v>
      </c>
      <c r="T29" s="12" t="str">
        <f>"256,7775"</f>
        <v>256,7775</v>
      </c>
      <c r="U29" s="11" t="s">
        <v>386</v>
      </c>
    </row>
    <row r="31" spans="1:21" ht="15">
      <c r="A31" s="41" t="s">
        <v>29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1">
      <c r="A32" s="8" t="s">
        <v>415</v>
      </c>
      <c r="B32" s="8" t="s">
        <v>416</v>
      </c>
      <c r="C32" s="8" t="s">
        <v>417</v>
      </c>
      <c r="D32" s="8" t="str">
        <f>"0,6769"</f>
        <v>0,6769</v>
      </c>
      <c r="E32" s="8" t="s">
        <v>18</v>
      </c>
      <c r="F32" s="8" t="s">
        <v>158</v>
      </c>
      <c r="G32" s="9" t="s">
        <v>82</v>
      </c>
      <c r="H32" s="9" t="s">
        <v>112</v>
      </c>
      <c r="I32" s="10" t="s">
        <v>83</v>
      </c>
      <c r="J32" s="10"/>
      <c r="K32" s="9" t="s">
        <v>247</v>
      </c>
      <c r="L32" s="9" t="s">
        <v>357</v>
      </c>
      <c r="M32" s="9" t="s">
        <v>22</v>
      </c>
      <c r="N32" s="10"/>
      <c r="O32" s="9" t="s">
        <v>112</v>
      </c>
      <c r="P32" s="9" t="s">
        <v>83</v>
      </c>
      <c r="Q32" s="10" t="s">
        <v>75</v>
      </c>
      <c r="R32" s="10"/>
      <c r="S32" s="8" t="str">
        <f>"525,0"</f>
        <v>525,0</v>
      </c>
      <c r="T32" s="9" t="str">
        <f>"355,3725"</f>
        <v>355,3725</v>
      </c>
      <c r="U32" s="8"/>
    </row>
    <row r="33" spans="1:21">
      <c r="A33" s="14" t="s">
        <v>419</v>
      </c>
      <c r="B33" s="14" t="s">
        <v>420</v>
      </c>
      <c r="C33" s="14" t="s">
        <v>421</v>
      </c>
      <c r="D33" s="14" t="str">
        <f>"0,6744"</f>
        <v>0,6744</v>
      </c>
      <c r="E33" s="14" t="s">
        <v>18</v>
      </c>
      <c r="F33" s="14" t="s">
        <v>422</v>
      </c>
      <c r="G33" s="16" t="s">
        <v>85</v>
      </c>
      <c r="H33" s="15" t="s">
        <v>423</v>
      </c>
      <c r="I33" s="16" t="s">
        <v>75</v>
      </c>
      <c r="J33" s="15"/>
      <c r="K33" s="16" t="s">
        <v>424</v>
      </c>
      <c r="L33" s="16" t="s">
        <v>50</v>
      </c>
      <c r="M33" s="15" t="s">
        <v>425</v>
      </c>
      <c r="N33" s="15"/>
      <c r="O33" s="16" t="s">
        <v>85</v>
      </c>
      <c r="P33" s="16" t="s">
        <v>75</v>
      </c>
      <c r="Q33" s="16" t="s">
        <v>76</v>
      </c>
      <c r="R33" s="15"/>
      <c r="S33" s="14" t="str">
        <f>"580,0"</f>
        <v>580,0</v>
      </c>
      <c r="T33" s="16" t="str">
        <f>"391,1520"</f>
        <v>391,1520</v>
      </c>
      <c r="U33" s="14" t="s">
        <v>426</v>
      </c>
    </row>
    <row r="34" spans="1:21">
      <c r="A34" s="14" t="s">
        <v>428</v>
      </c>
      <c r="B34" s="14" t="s">
        <v>429</v>
      </c>
      <c r="C34" s="14" t="s">
        <v>421</v>
      </c>
      <c r="D34" s="14" t="str">
        <f>"0,6744"</f>
        <v>0,6744</v>
      </c>
      <c r="E34" s="14" t="s">
        <v>18</v>
      </c>
      <c r="F34" s="14" t="s">
        <v>430</v>
      </c>
      <c r="G34" s="15" t="s">
        <v>283</v>
      </c>
      <c r="H34" s="15" t="s">
        <v>283</v>
      </c>
      <c r="I34" s="16" t="s">
        <v>283</v>
      </c>
      <c r="J34" s="15"/>
      <c r="K34" s="16" t="s">
        <v>50</v>
      </c>
      <c r="L34" s="16" t="s">
        <v>64</v>
      </c>
      <c r="M34" s="15" t="s">
        <v>54</v>
      </c>
      <c r="N34" s="15"/>
      <c r="O34" s="16" t="s">
        <v>112</v>
      </c>
      <c r="P34" s="16" t="s">
        <v>83</v>
      </c>
      <c r="Q34" s="16" t="s">
        <v>143</v>
      </c>
      <c r="R34" s="15"/>
      <c r="S34" s="14" t="str">
        <f>"575,0"</f>
        <v>575,0</v>
      </c>
      <c r="T34" s="16" t="str">
        <f>"387,7800"</f>
        <v>387,7800</v>
      </c>
      <c r="U34" s="14"/>
    </row>
    <row r="35" spans="1:21">
      <c r="A35" s="11" t="s">
        <v>432</v>
      </c>
      <c r="B35" s="11" t="s">
        <v>433</v>
      </c>
      <c r="C35" s="11" t="s">
        <v>434</v>
      </c>
      <c r="D35" s="11" t="str">
        <f>"0,6754"</f>
        <v>0,6754</v>
      </c>
      <c r="E35" s="11" t="s">
        <v>18</v>
      </c>
      <c r="F35" s="11" t="s">
        <v>435</v>
      </c>
      <c r="G35" s="12" t="s">
        <v>55</v>
      </c>
      <c r="H35" s="12" t="s">
        <v>106</v>
      </c>
      <c r="I35" s="13" t="s">
        <v>436</v>
      </c>
      <c r="J35" s="13"/>
      <c r="K35" s="12" t="s">
        <v>234</v>
      </c>
      <c r="L35" s="12" t="s">
        <v>27</v>
      </c>
      <c r="M35" s="12" t="s">
        <v>236</v>
      </c>
      <c r="N35" s="13"/>
      <c r="O35" s="12" t="s">
        <v>83</v>
      </c>
      <c r="P35" s="12" t="s">
        <v>120</v>
      </c>
      <c r="Q35" s="12" t="s">
        <v>91</v>
      </c>
      <c r="R35" s="13"/>
      <c r="S35" s="11" t="str">
        <f>"555,0"</f>
        <v>555,0</v>
      </c>
      <c r="T35" s="12" t="str">
        <f>"374,8470"</f>
        <v>374,8470</v>
      </c>
      <c r="U35" s="11" t="s">
        <v>437</v>
      </c>
    </row>
    <row r="37" spans="1:21" ht="15">
      <c r="A37" s="41" t="s">
        <v>56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1">
      <c r="A38" s="8" t="s">
        <v>439</v>
      </c>
      <c r="B38" s="8" t="s">
        <v>440</v>
      </c>
      <c r="C38" s="8" t="s">
        <v>81</v>
      </c>
      <c r="D38" s="8" t="str">
        <f>"0,6436"</f>
        <v>0,6436</v>
      </c>
      <c r="E38" s="8" t="s">
        <v>18</v>
      </c>
      <c r="F38" s="8" t="s">
        <v>315</v>
      </c>
      <c r="G38" s="9" t="s">
        <v>93</v>
      </c>
      <c r="H38" s="9" t="s">
        <v>84</v>
      </c>
      <c r="I38" s="10" t="s">
        <v>283</v>
      </c>
      <c r="J38" s="10"/>
      <c r="K38" s="9" t="s">
        <v>424</v>
      </c>
      <c r="L38" s="9" t="s">
        <v>425</v>
      </c>
      <c r="M38" s="10" t="s">
        <v>64</v>
      </c>
      <c r="N38" s="10"/>
      <c r="O38" s="9" t="s">
        <v>441</v>
      </c>
      <c r="P38" s="9" t="s">
        <v>423</v>
      </c>
      <c r="Q38" s="9" t="s">
        <v>442</v>
      </c>
      <c r="R38" s="10"/>
      <c r="S38" s="8" t="str">
        <f>"550,0"</f>
        <v>550,0</v>
      </c>
      <c r="T38" s="9" t="str">
        <f>"353,9800"</f>
        <v>353,9800</v>
      </c>
      <c r="U38" s="8" t="s">
        <v>443</v>
      </c>
    </row>
    <row r="39" spans="1:21">
      <c r="A39" s="14" t="s">
        <v>445</v>
      </c>
      <c r="B39" s="14" t="s">
        <v>446</v>
      </c>
      <c r="C39" s="14" t="s">
        <v>447</v>
      </c>
      <c r="D39" s="14" t="str">
        <f>"0,6395"</f>
        <v>0,6395</v>
      </c>
      <c r="E39" s="14" t="s">
        <v>34</v>
      </c>
      <c r="F39" s="14" t="s">
        <v>35</v>
      </c>
      <c r="G39" s="16" t="s">
        <v>84</v>
      </c>
      <c r="H39" s="16" t="s">
        <v>112</v>
      </c>
      <c r="I39" s="16" t="s">
        <v>83</v>
      </c>
      <c r="J39" s="15"/>
      <c r="K39" s="16" t="s">
        <v>234</v>
      </c>
      <c r="L39" s="16" t="s">
        <v>27</v>
      </c>
      <c r="M39" s="15" t="s">
        <v>236</v>
      </c>
      <c r="N39" s="15"/>
      <c r="O39" s="16" t="s">
        <v>283</v>
      </c>
      <c r="P39" s="16" t="s">
        <v>85</v>
      </c>
      <c r="Q39" s="15" t="s">
        <v>75</v>
      </c>
      <c r="R39" s="15"/>
      <c r="S39" s="14" t="str">
        <f>"545,0"</f>
        <v>545,0</v>
      </c>
      <c r="T39" s="16" t="str">
        <f>"348,5275"</f>
        <v>348,5275</v>
      </c>
      <c r="U39" s="14" t="s">
        <v>448</v>
      </c>
    </row>
    <row r="40" spans="1:21">
      <c r="A40" s="11" t="s">
        <v>450</v>
      </c>
      <c r="B40" s="11" t="s">
        <v>451</v>
      </c>
      <c r="C40" s="11" t="s">
        <v>452</v>
      </c>
      <c r="D40" s="11" t="str">
        <f>"0,6444"</f>
        <v>0,6444</v>
      </c>
      <c r="E40" s="11" t="s">
        <v>34</v>
      </c>
      <c r="F40" s="11" t="s">
        <v>35</v>
      </c>
      <c r="G40" s="12" t="s">
        <v>83</v>
      </c>
      <c r="H40" s="12" t="s">
        <v>76</v>
      </c>
      <c r="I40" s="12" t="s">
        <v>120</v>
      </c>
      <c r="J40" s="13"/>
      <c r="K40" s="12" t="s">
        <v>192</v>
      </c>
      <c r="L40" s="12" t="s">
        <v>234</v>
      </c>
      <c r="M40" s="13" t="s">
        <v>186</v>
      </c>
      <c r="N40" s="13"/>
      <c r="O40" s="12" t="s">
        <v>76</v>
      </c>
      <c r="P40" s="12" t="s">
        <v>143</v>
      </c>
      <c r="Q40" s="13"/>
      <c r="R40" s="13"/>
      <c r="S40" s="11" t="str">
        <f>"575,0"</f>
        <v>575,0</v>
      </c>
      <c r="T40" s="12" t="str">
        <f>"526,5231"</f>
        <v>526,5231</v>
      </c>
      <c r="U40" s="11"/>
    </row>
    <row r="42" spans="1:21" ht="15">
      <c r="A42" s="41" t="s">
        <v>86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</row>
    <row r="43" spans="1:21">
      <c r="A43" s="8" t="s">
        <v>454</v>
      </c>
      <c r="B43" s="8" t="s">
        <v>455</v>
      </c>
      <c r="C43" s="8" t="s">
        <v>456</v>
      </c>
      <c r="D43" s="8" t="str">
        <f>"0,6177"</f>
        <v>0,6177</v>
      </c>
      <c r="E43" s="8" t="s">
        <v>18</v>
      </c>
      <c r="F43" s="8" t="s">
        <v>457</v>
      </c>
      <c r="G43" s="9" t="s">
        <v>91</v>
      </c>
      <c r="H43" s="9" t="s">
        <v>105</v>
      </c>
      <c r="I43" s="10" t="s">
        <v>65</v>
      </c>
      <c r="J43" s="10"/>
      <c r="K43" s="10" t="s">
        <v>50</v>
      </c>
      <c r="L43" s="9" t="s">
        <v>50</v>
      </c>
      <c r="M43" s="10" t="s">
        <v>54</v>
      </c>
      <c r="N43" s="10"/>
      <c r="O43" s="9" t="s">
        <v>77</v>
      </c>
      <c r="P43" s="9" t="s">
        <v>67</v>
      </c>
      <c r="Q43" s="10" t="s">
        <v>128</v>
      </c>
      <c r="R43" s="10"/>
      <c r="S43" s="8" t="str">
        <f>"690,0"</f>
        <v>690,0</v>
      </c>
      <c r="T43" s="9" t="str">
        <f>"426,2130"</f>
        <v>426,2130</v>
      </c>
      <c r="U43" s="8" t="s">
        <v>458</v>
      </c>
    </row>
    <row r="44" spans="1:21">
      <c r="A44" s="14" t="s">
        <v>460</v>
      </c>
      <c r="B44" s="14" t="s">
        <v>461</v>
      </c>
      <c r="C44" s="14" t="s">
        <v>462</v>
      </c>
      <c r="D44" s="14" t="str">
        <f>"0,6188"</f>
        <v>0,6188</v>
      </c>
      <c r="E44" s="14" t="s">
        <v>34</v>
      </c>
      <c r="F44" s="14" t="s">
        <v>35</v>
      </c>
      <c r="G44" s="16" t="s">
        <v>83</v>
      </c>
      <c r="H44" s="16" t="s">
        <v>120</v>
      </c>
      <c r="I44" s="16" t="s">
        <v>91</v>
      </c>
      <c r="J44" s="15"/>
      <c r="K44" s="16" t="s">
        <v>27</v>
      </c>
      <c r="L44" s="16" t="s">
        <v>236</v>
      </c>
      <c r="M44" s="15" t="s">
        <v>49</v>
      </c>
      <c r="N44" s="15"/>
      <c r="O44" s="16" t="s">
        <v>120</v>
      </c>
      <c r="P44" s="15" t="s">
        <v>91</v>
      </c>
      <c r="Q44" s="16" t="s">
        <v>91</v>
      </c>
      <c r="R44" s="15"/>
      <c r="S44" s="14" t="str">
        <f>"615,0"</f>
        <v>615,0</v>
      </c>
      <c r="T44" s="16" t="str">
        <f>"380,5620"</f>
        <v>380,5620</v>
      </c>
      <c r="U44" s="14" t="s">
        <v>463</v>
      </c>
    </row>
    <row r="45" spans="1:21">
      <c r="A45" s="11" t="s">
        <v>465</v>
      </c>
      <c r="B45" s="11" t="s">
        <v>466</v>
      </c>
      <c r="C45" s="11" t="s">
        <v>467</v>
      </c>
      <c r="D45" s="11" t="str">
        <f>"0,6123"</f>
        <v>0,6123</v>
      </c>
      <c r="E45" s="11" t="s">
        <v>18</v>
      </c>
      <c r="F45" s="11" t="s">
        <v>468</v>
      </c>
      <c r="G45" s="13" t="s">
        <v>83</v>
      </c>
      <c r="H45" s="12" t="s">
        <v>76</v>
      </c>
      <c r="I45" s="13" t="s">
        <v>143</v>
      </c>
      <c r="J45" s="13"/>
      <c r="K45" s="12" t="s">
        <v>50</v>
      </c>
      <c r="L45" s="13" t="s">
        <v>469</v>
      </c>
      <c r="M45" s="13" t="s">
        <v>469</v>
      </c>
      <c r="N45" s="13"/>
      <c r="O45" s="12" t="s">
        <v>76</v>
      </c>
      <c r="P45" s="13" t="s">
        <v>38</v>
      </c>
      <c r="Q45" s="13" t="s">
        <v>38</v>
      </c>
      <c r="R45" s="13"/>
      <c r="S45" s="11" t="str">
        <f>"585,0"</f>
        <v>585,0</v>
      </c>
      <c r="T45" s="12" t="str">
        <f>"358,1955"</f>
        <v>358,1955</v>
      </c>
      <c r="U45" s="11"/>
    </row>
    <row r="47" spans="1:21" ht="15">
      <c r="A47" s="41" t="s">
        <v>122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21">
      <c r="A48" s="8" t="s">
        <v>471</v>
      </c>
      <c r="B48" s="8" t="s">
        <v>472</v>
      </c>
      <c r="C48" s="8" t="s">
        <v>473</v>
      </c>
      <c r="D48" s="8" t="str">
        <f>"0,6069"</f>
        <v>0,6069</v>
      </c>
      <c r="E48" s="8" t="s">
        <v>18</v>
      </c>
      <c r="F48" s="8" t="s">
        <v>474</v>
      </c>
      <c r="G48" s="9" t="s">
        <v>120</v>
      </c>
      <c r="H48" s="9" t="s">
        <v>152</v>
      </c>
      <c r="I48" s="9" t="s">
        <v>475</v>
      </c>
      <c r="J48" s="10"/>
      <c r="K48" s="9" t="s">
        <v>50</v>
      </c>
      <c r="L48" s="10" t="s">
        <v>64</v>
      </c>
      <c r="M48" s="9" t="s">
        <v>64</v>
      </c>
      <c r="N48" s="10"/>
      <c r="O48" s="9" t="s">
        <v>143</v>
      </c>
      <c r="P48" s="9" t="s">
        <v>41</v>
      </c>
      <c r="Q48" s="9" t="s">
        <v>92</v>
      </c>
      <c r="R48" s="10"/>
      <c r="S48" s="8" t="str">
        <f>"657,5"</f>
        <v>657,5</v>
      </c>
      <c r="T48" s="9" t="str">
        <f>"399,0367"</f>
        <v>399,0367</v>
      </c>
      <c r="U48" s="8" t="s">
        <v>476</v>
      </c>
    </row>
    <row r="49" spans="1:21">
      <c r="A49" s="14" t="s">
        <v>478</v>
      </c>
      <c r="B49" s="14" t="s">
        <v>479</v>
      </c>
      <c r="C49" s="14" t="s">
        <v>333</v>
      </c>
      <c r="D49" s="14" t="str">
        <f>"0,5919"</f>
        <v>0,5919</v>
      </c>
      <c r="E49" s="14" t="s">
        <v>18</v>
      </c>
      <c r="F49" s="14" t="s">
        <v>480</v>
      </c>
      <c r="G49" s="16" t="s">
        <v>76</v>
      </c>
      <c r="H49" s="15" t="s">
        <v>143</v>
      </c>
      <c r="I49" s="15" t="s">
        <v>143</v>
      </c>
      <c r="J49" s="15"/>
      <c r="K49" s="16" t="s">
        <v>55</v>
      </c>
      <c r="L49" s="16" t="s">
        <v>93</v>
      </c>
      <c r="M49" s="15"/>
      <c r="N49" s="15"/>
      <c r="O49" s="16" t="s">
        <v>76</v>
      </c>
      <c r="P49" s="16" t="s">
        <v>41</v>
      </c>
      <c r="Q49" s="15" t="s">
        <v>42</v>
      </c>
      <c r="R49" s="15"/>
      <c r="S49" s="14" t="str">
        <f>"635,0"</f>
        <v>635,0</v>
      </c>
      <c r="T49" s="16" t="str">
        <f>"375,8565"</f>
        <v>375,8565</v>
      </c>
      <c r="U49" s="14"/>
    </row>
    <row r="50" spans="1:21">
      <c r="A50" s="11" t="s">
        <v>482</v>
      </c>
      <c r="B50" s="11" t="s">
        <v>483</v>
      </c>
      <c r="C50" s="11" t="s">
        <v>484</v>
      </c>
      <c r="D50" s="11" t="str">
        <f>"0,5885"</f>
        <v>0,5885</v>
      </c>
      <c r="E50" s="11" t="s">
        <v>34</v>
      </c>
      <c r="F50" s="11" t="s">
        <v>35</v>
      </c>
      <c r="G50" s="12" t="s">
        <v>143</v>
      </c>
      <c r="H50" s="12" t="s">
        <v>91</v>
      </c>
      <c r="I50" s="13" t="s">
        <v>117</v>
      </c>
      <c r="J50" s="13"/>
      <c r="K50" s="12" t="s">
        <v>50</v>
      </c>
      <c r="L50" s="12" t="s">
        <v>64</v>
      </c>
      <c r="M50" s="13" t="s">
        <v>469</v>
      </c>
      <c r="N50" s="13"/>
      <c r="O50" s="13" t="s">
        <v>143</v>
      </c>
      <c r="P50" s="13" t="s">
        <v>41</v>
      </c>
      <c r="Q50" s="12" t="s">
        <v>41</v>
      </c>
      <c r="R50" s="13"/>
      <c r="S50" s="11" t="str">
        <f>"635,0"</f>
        <v>635,0</v>
      </c>
      <c r="T50" s="12" t="str">
        <f>"385,2821"</f>
        <v>385,2821</v>
      </c>
      <c r="U50" s="11" t="s">
        <v>485</v>
      </c>
    </row>
    <row r="52" spans="1:21" ht="15">
      <c r="A52" s="41" t="s">
        <v>153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1">
      <c r="A53" s="8" t="s">
        <v>487</v>
      </c>
      <c r="B53" s="8" t="s">
        <v>488</v>
      </c>
      <c r="C53" s="8" t="s">
        <v>489</v>
      </c>
      <c r="D53" s="8" t="str">
        <f>"0,5726"</f>
        <v>0,5726</v>
      </c>
      <c r="E53" s="8" t="s">
        <v>34</v>
      </c>
      <c r="F53" s="8" t="s">
        <v>35</v>
      </c>
      <c r="G53" s="9" t="s">
        <v>128</v>
      </c>
      <c r="H53" s="9" t="s">
        <v>286</v>
      </c>
      <c r="I53" s="10" t="s">
        <v>265</v>
      </c>
      <c r="J53" s="10"/>
      <c r="K53" s="9" t="s">
        <v>39</v>
      </c>
      <c r="L53" s="9" t="s">
        <v>40</v>
      </c>
      <c r="M53" s="9" t="s">
        <v>94</v>
      </c>
      <c r="N53" s="10"/>
      <c r="O53" s="9" t="s">
        <v>92</v>
      </c>
      <c r="P53" s="10" t="s">
        <v>66</v>
      </c>
      <c r="Q53" s="9" t="s">
        <v>490</v>
      </c>
      <c r="R53" s="10"/>
      <c r="S53" s="8" t="str">
        <f>"770,0"</f>
        <v>770,0</v>
      </c>
      <c r="T53" s="9" t="str">
        <f>"440,9020"</f>
        <v>440,9020</v>
      </c>
      <c r="U53" s="8"/>
    </row>
    <row r="54" spans="1:21">
      <c r="A54" s="11" t="s">
        <v>492</v>
      </c>
      <c r="B54" s="11" t="s">
        <v>493</v>
      </c>
      <c r="C54" s="11" t="s">
        <v>494</v>
      </c>
      <c r="D54" s="11" t="str">
        <f>"0,5750"</f>
        <v>0,5750</v>
      </c>
      <c r="E54" s="11" t="s">
        <v>34</v>
      </c>
      <c r="F54" s="11" t="s">
        <v>35</v>
      </c>
      <c r="G54" s="12" t="s">
        <v>83</v>
      </c>
      <c r="H54" s="12" t="s">
        <v>76</v>
      </c>
      <c r="I54" s="12" t="s">
        <v>143</v>
      </c>
      <c r="J54" s="13"/>
      <c r="K54" s="12" t="s">
        <v>236</v>
      </c>
      <c r="L54" s="12" t="s">
        <v>49</v>
      </c>
      <c r="M54" s="12" t="s">
        <v>50</v>
      </c>
      <c r="N54" s="13"/>
      <c r="O54" s="12" t="s">
        <v>143</v>
      </c>
      <c r="P54" s="12" t="s">
        <v>38</v>
      </c>
      <c r="Q54" s="13" t="s">
        <v>42</v>
      </c>
      <c r="R54" s="13"/>
      <c r="S54" s="11" t="str">
        <f>"617,5"</f>
        <v>617,5</v>
      </c>
      <c r="T54" s="12" t="str">
        <f>"355,0625"</f>
        <v>355,0625</v>
      </c>
      <c r="U54" s="11" t="s">
        <v>266</v>
      </c>
    </row>
    <row r="56" spans="1:21" ht="15">
      <c r="A56" s="41" t="s">
        <v>160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1">
      <c r="A57" s="5" t="s">
        <v>496</v>
      </c>
      <c r="B57" s="5" t="s">
        <v>497</v>
      </c>
      <c r="C57" s="5" t="s">
        <v>498</v>
      </c>
      <c r="D57" s="5" t="str">
        <f>"0,5600"</f>
        <v>0,5600</v>
      </c>
      <c r="E57" s="5" t="s">
        <v>34</v>
      </c>
      <c r="F57" s="5" t="s">
        <v>35</v>
      </c>
      <c r="G57" s="7" t="s">
        <v>92</v>
      </c>
      <c r="H57" s="7" t="s">
        <v>66</v>
      </c>
      <c r="I57" s="6" t="s">
        <v>107</v>
      </c>
      <c r="J57" s="6"/>
      <c r="K57" s="7" t="s">
        <v>93</v>
      </c>
      <c r="L57" s="7" t="s">
        <v>106</v>
      </c>
      <c r="M57" s="7" t="s">
        <v>84</v>
      </c>
      <c r="N57" s="6"/>
      <c r="O57" s="7" t="s">
        <v>43</v>
      </c>
      <c r="P57" s="7" t="s">
        <v>63</v>
      </c>
      <c r="Q57" s="7" t="s">
        <v>77</v>
      </c>
      <c r="R57" s="6" t="s">
        <v>67</v>
      </c>
      <c r="S57" s="5" t="str">
        <f>"740,0"</f>
        <v>740,0</v>
      </c>
      <c r="T57" s="7" t="str">
        <f>"414,4000"</f>
        <v>414,4000</v>
      </c>
      <c r="U57" s="5" t="s">
        <v>121</v>
      </c>
    </row>
    <row r="59" spans="1:21" ht="15">
      <c r="E59" s="17" t="s">
        <v>166</v>
      </c>
    </row>
    <row r="60" spans="1:21" ht="15">
      <c r="E60" s="17" t="s">
        <v>167</v>
      </c>
    </row>
    <row r="61" spans="1:21" ht="15">
      <c r="E61" s="17" t="s">
        <v>168</v>
      </c>
    </row>
    <row r="62" spans="1:21" ht="15">
      <c r="E62" s="17" t="s">
        <v>169</v>
      </c>
    </row>
    <row r="63" spans="1:21" ht="15">
      <c r="E63" s="17" t="s">
        <v>169</v>
      </c>
    </row>
    <row r="64" spans="1:21" ht="15">
      <c r="E64" s="17" t="s">
        <v>170</v>
      </c>
    </row>
    <row r="65" spans="1:5" ht="15">
      <c r="E65" s="17"/>
    </row>
    <row r="67" spans="1:5" ht="18">
      <c r="A67" s="18" t="s">
        <v>171</v>
      </c>
      <c r="B67" s="18"/>
    </row>
    <row r="68" spans="1:5" ht="15">
      <c r="A68" s="19" t="s">
        <v>172</v>
      </c>
      <c r="B68" s="19"/>
    </row>
    <row r="69" spans="1:5" ht="14.25">
      <c r="A69" s="21"/>
      <c r="B69" s="22" t="s">
        <v>499</v>
      </c>
    </row>
    <row r="70" spans="1:5" ht="15">
      <c r="A70" s="23" t="s">
        <v>174</v>
      </c>
      <c r="B70" s="23" t="s">
        <v>175</v>
      </c>
      <c r="C70" s="23" t="s">
        <v>176</v>
      </c>
      <c r="D70" s="23" t="s">
        <v>177</v>
      </c>
      <c r="E70" s="23" t="s">
        <v>178</v>
      </c>
    </row>
    <row r="71" spans="1:5">
      <c r="A71" s="20" t="s">
        <v>343</v>
      </c>
      <c r="B71" s="4" t="s">
        <v>500</v>
      </c>
      <c r="C71" s="4" t="s">
        <v>501</v>
      </c>
      <c r="D71" s="4" t="s">
        <v>475</v>
      </c>
      <c r="E71" s="24" t="s">
        <v>502</v>
      </c>
    </row>
    <row r="73" spans="1:5" ht="14.25">
      <c r="A73" s="21"/>
      <c r="B73" s="22" t="s">
        <v>287</v>
      </c>
    </row>
    <row r="74" spans="1:5" ht="15">
      <c r="A74" s="23" t="s">
        <v>174</v>
      </c>
      <c r="B74" s="23" t="s">
        <v>175</v>
      </c>
      <c r="C74" s="23" t="s">
        <v>176</v>
      </c>
      <c r="D74" s="23" t="s">
        <v>177</v>
      </c>
      <c r="E74" s="23" t="s">
        <v>178</v>
      </c>
    </row>
    <row r="75" spans="1:5">
      <c r="A75" s="20" t="s">
        <v>387</v>
      </c>
      <c r="B75" s="4" t="s">
        <v>185</v>
      </c>
      <c r="C75" s="4" t="s">
        <v>180</v>
      </c>
      <c r="D75" s="4" t="s">
        <v>43</v>
      </c>
      <c r="E75" s="24" t="s">
        <v>503</v>
      </c>
    </row>
    <row r="77" spans="1:5" ht="14.25">
      <c r="A77" s="21"/>
      <c r="B77" s="22" t="s">
        <v>191</v>
      </c>
    </row>
    <row r="78" spans="1:5" ht="15">
      <c r="A78" s="23" t="s">
        <v>174</v>
      </c>
      <c r="B78" s="23" t="s">
        <v>175</v>
      </c>
      <c r="C78" s="23" t="s">
        <v>176</v>
      </c>
      <c r="D78" s="23" t="s">
        <v>177</v>
      </c>
      <c r="E78" s="23" t="s">
        <v>178</v>
      </c>
    </row>
    <row r="79" spans="1:5">
      <c r="A79" s="20" t="s">
        <v>353</v>
      </c>
      <c r="B79" s="4" t="s">
        <v>191</v>
      </c>
      <c r="C79" s="4" t="s">
        <v>501</v>
      </c>
      <c r="D79" s="4" t="s">
        <v>96</v>
      </c>
      <c r="E79" s="24" t="s">
        <v>504</v>
      </c>
    </row>
    <row r="80" spans="1:5">
      <c r="A80" s="20" t="s">
        <v>338</v>
      </c>
      <c r="B80" s="4" t="s">
        <v>191</v>
      </c>
      <c r="C80" s="4" t="s">
        <v>288</v>
      </c>
      <c r="D80" s="4" t="s">
        <v>38</v>
      </c>
      <c r="E80" s="24" t="s">
        <v>505</v>
      </c>
    </row>
    <row r="81" spans="1:5">
      <c r="A81" s="20" t="s">
        <v>362</v>
      </c>
      <c r="B81" s="4" t="s">
        <v>191</v>
      </c>
      <c r="C81" s="4" t="s">
        <v>501</v>
      </c>
      <c r="D81" s="4" t="s">
        <v>143</v>
      </c>
      <c r="E81" s="24" t="s">
        <v>506</v>
      </c>
    </row>
    <row r="82" spans="1:5">
      <c r="A82" s="20" t="s">
        <v>368</v>
      </c>
      <c r="B82" s="4" t="s">
        <v>191</v>
      </c>
      <c r="C82" s="4" t="s">
        <v>501</v>
      </c>
      <c r="D82" s="4" t="s">
        <v>143</v>
      </c>
      <c r="E82" s="24" t="s">
        <v>507</v>
      </c>
    </row>
    <row r="84" spans="1:5" ht="14.25">
      <c r="A84" s="21"/>
      <c r="B84" s="22" t="s">
        <v>173</v>
      </c>
    </row>
    <row r="85" spans="1:5" ht="15">
      <c r="A85" s="23" t="s">
        <v>174</v>
      </c>
      <c r="B85" s="23" t="s">
        <v>175</v>
      </c>
      <c r="C85" s="23" t="s">
        <v>176</v>
      </c>
      <c r="D85" s="23" t="s">
        <v>177</v>
      </c>
      <c r="E85" s="23" t="s">
        <v>178</v>
      </c>
    </row>
    <row r="86" spans="1:5">
      <c r="A86" s="20" t="s">
        <v>374</v>
      </c>
      <c r="B86" s="4" t="s">
        <v>179</v>
      </c>
      <c r="C86" s="4" t="s">
        <v>501</v>
      </c>
      <c r="D86" s="4" t="s">
        <v>508</v>
      </c>
      <c r="E86" s="24" t="s">
        <v>509</v>
      </c>
    </row>
    <row r="87" spans="1:5">
      <c r="A87" s="20" t="s">
        <v>380</v>
      </c>
      <c r="B87" s="4" t="s">
        <v>179</v>
      </c>
      <c r="C87" s="4" t="s">
        <v>501</v>
      </c>
      <c r="D87" s="4" t="s">
        <v>43</v>
      </c>
      <c r="E87" s="24" t="s">
        <v>510</v>
      </c>
    </row>
    <row r="90" spans="1:5" ht="15">
      <c r="A90" s="19" t="s">
        <v>183</v>
      </c>
      <c r="B90" s="19"/>
    </row>
    <row r="91" spans="1:5" ht="14.25">
      <c r="A91" s="21"/>
      <c r="B91" s="22" t="s">
        <v>511</v>
      </c>
    </row>
    <row r="92" spans="1:5" ht="15">
      <c r="A92" s="23" t="s">
        <v>174</v>
      </c>
      <c r="B92" s="23" t="s">
        <v>175</v>
      </c>
      <c r="C92" s="23" t="s">
        <v>176</v>
      </c>
      <c r="D92" s="23" t="s">
        <v>177</v>
      </c>
      <c r="E92" s="23" t="s">
        <v>178</v>
      </c>
    </row>
    <row r="93" spans="1:5">
      <c r="A93" s="20" t="s">
        <v>396</v>
      </c>
      <c r="B93" s="4" t="s">
        <v>500</v>
      </c>
      <c r="C93" s="4" t="s">
        <v>180</v>
      </c>
      <c r="D93" s="4" t="s">
        <v>286</v>
      </c>
      <c r="E93" s="24" t="s">
        <v>512</v>
      </c>
    </row>
    <row r="94" spans="1:5">
      <c r="A94" s="20" t="s">
        <v>400</v>
      </c>
      <c r="B94" s="4" t="s">
        <v>500</v>
      </c>
      <c r="C94" s="4" t="s">
        <v>25</v>
      </c>
      <c r="D94" s="4" t="s">
        <v>77</v>
      </c>
      <c r="E94" s="24" t="s">
        <v>513</v>
      </c>
    </row>
    <row r="96" spans="1:5" ht="14.25">
      <c r="A96" s="21"/>
      <c r="B96" s="22" t="s">
        <v>184</v>
      </c>
    </row>
    <row r="97" spans="1:5" ht="15">
      <c r="A97" s="23" t="s">
        <v>174</v>
      </c>
      <c r="B97" s="23" t="s">
        <v>175</v>
      </c>
      <c r="C97" s="23" t="s">
        <v>176</v>
      </c>
      <c r="D97" s="23" t="s">
        <v>177</v>
      </c>
      <c r="E97" s="23" t="s">
        <v>178</v>
      </c>
    </row>
    <row r="98" spans="1:5">
      <c r="A98" s="20" t="s">
        <v>470</v>
      </c>
      <c r="B98" s="4" t="s">
        <v>185</v>
      </c>
      <c r="C98" s="4" t="s">
        <v>192</v>
      </c>
      <c r="D98" s="4" t="s">
        <v>201</v>
      </c>
      <c r="E98" s="24" t="s">
        <v>514</v>
      </c>
    </row>
    <row r="99" spans="1:5">
      <c r="A99" s="20" t="s">
        <v>405</v>
      </c>
      <c r="B99" s="4" t="s">
        <v>185</v>
      </c>
      <c r="C99" s="4" t="s">
        <v>25</v>
      </c>
      <c r="D99" s="4" t="s">
        <v>515</v>
      </c>
      <c r="E99" s="24" t="s">
        <v>516</v>
      </c>
    </row>
    <row r="100" spans="1:5">
      <c r="A100" s="20" t="s">
        <v>414</v>
      </c>
      <c r="B100" s="4" t="s">
        <v>185</v>
      </c>
      <c r="C100" s="4" t="s">
        <v>200</v>
      </c>
      <c r="D100" s="4" t="s">
        <v>517</v>
      </c>
      <c r="E100" s="24" t="s">
        <v>518</v>
      </c>
    </row>
    <row r="101" spans="1:5">
      <c r="A101" s="20" t="s">
        <v>438</v>
      </c>
      <c r="B101" s="4" t="s">
        <v>185</v>
      </c>
      <c r="C101" s="4" t="s">
        <v>52</v>
      </c>
      <c r="D101" s="4" t="s">
        <v>519</v>
      </c>
      <c r="E101" s="24" t="s">
        <v>520</v>
      </c>
    </row>
    <row r="103" spans="1:5" ht="14.25">
      <c r="A103" s="21"/>
      <c r="B103" s="22" t="s">
        <v>191</v>
      </c>
    </row>
    <row r="104" spans="1:5" ht="15">
      <c r="A104" s="23" t="s">
        <v>174</v>
      </c>
      <c r="B104" s="23" t="s">
        <v>175</v>
      </c>
      <c r="C104" s="23" t="s">
        <v>176</v>
      </c>
      <c r="D104" s="23" t="s">
        <v>177</v>
      </c>
      <c r="E104" s="23" t="s">
        <v>178</v>
      </c>
    </row>
    <row r="105" spans="1:5">
      <c r="A105" s="20" t="s">
        <v>486</v>
      </c>
      <c r="B105" s="4" t="s">
        <v>191</v>
      </c>
      <c r="C105" s="4" t="s">
        <v>186</v>
      </c>
      <c r="D105" s="4" t="s">
        <v>521</v>
      </c>
      <c r="E105" s="24" t="s">
        <v>522</v>
      </c>
    </row>
    <row r="106" spans="1:5">
      <c r="A106" s="20" t="s">
        <v>453</v>
      </c>
      <c r="B106" s="4" t="s">
        <v>191</v>
      </c>
      <c r="C106" s="4" t="s">
        <v>21</v>
      </c>
      <c r="D106" s="4" t="s">
        <v>523</v>
      </c>
      <c r="E106" s="24" t="s">
        <v>524</v>
      </c>
    </row>
    <row r="107" spans="1:5">
      <c r="A107" s="20" t="s">
        <v>495</v>
      </c>
      <c r="B107" s="4" t="s">
        <v>191</v>
      </c>
      <c r="C107" s="4" t="s">
        <v>49</v>
      </c>
      <c r="D107" s="4" t="s">
        <v>294</v>
      </c>
      <c r="E107" s="24" t="s">
        <v>525</v>
      </c>
    </row>
    <row r="108" spans="1:5">
      <c r="A108" s="20" t="s">
        <v>418</v>
      </c>
      <c r="B108" s="4" t="s">
        <v>191</v>
      </c>
      <c r="C108" s="4" t="s">
        <v>200</v>
      </c>
      <c r="D108" s="4" t="s">
        <v>526</v>
      </c>
      <c r="E108" s="24" t="s">
        <v>527</v>
      </c>
    </row>
    <row r="109" spans="1:5">
      <c r="A109" s="20" t="s">
        <v>427</v>
      </c>
      <c r="B109" s="4" t="s">
        <v>191</v>
      </c>
      <c r="C109" s="4" t="s">
        <v>200</v>
      </c>
      <c r="D109" s="4" t="s">
        <v>528</v>
      </c>
      <c r="E109" s="24" t="s">
        <v>529</v>
      </c>
    </row>
    <row r="110" spans="1:5">
      <c r="A110" s="20" t="s">
        <v>459</v>
      </c>
      <c r="B110" s="4" t="s">
        <v>191</v>
      </c>
      <c r="C110" s="4" t="s">
        <v>21</v>
      </c>
      <c r="D110" s="4" t="s">
        <v>530</v>
      </c>
      <c r="E110" s="24" t="s">
        <v>531</v>
      </c>
    </row>
    <row r="111" spans="1:5">
      <c r="A111" s="20" t="s">
        <v>477</v>
      </c>
      <c r="B111" s="4" t="s">
        <v>191</v>
      </c>
      <c r="C111" s="4" t="s">
        <v>192</v>
      </c>
      <c r="D111" s="4" t="s">
        <v>532</v>
      </c>
      <c r="E111" s="24" t="s">
        <v>533</v>
      </c>
    </row>
    <row r="112" spans="1:5">
      <c r="A112" s="20" t="s">
        <v>431</v>
      </c>
      <c r="B112" s="4" t="s">
        <v>191</v>
      </c>
      <c r="C112" s="4" t="s">
        <v>200</v>
      </c>
      <c r="D112" s="4" t="s">
        <v>534</v>
      </c>
      <c r="E112" s="24" t="s">
        <v>535</v>
      </c>
    </row>
    <row r="113" spans="1:5">
      <c r="A113" s="20" t="s">
        <v>464</v>
      </c>
      <c r="B113" s="4" t="s">
        <v>191</v>
      </c>
      <c r="C113" s="4" t="s">
        <v>21</v>
      </c>
      <c r="D113" s="4" t="s">
        <v>536</v>
      </c>
      <c r="E113" s="24" t="s">
        <v>537</v>
      </c>
    </row>
    <row r="114" spans="1:5">
      <c r="A114" s="20" t="s">
        <v>491</v>
      </c>
      <c r="B114" s="4" t="s">
        <v>191</v>
      </c>
      <c r="C114" s="4" t="s">
        <v>186</v>
      </c>
      <c r="D114" s="4" t="s">
        <v>538</v>
      </c>
      <c r="E114" s="24" t="s">
        <v>539</v>
      </c>
    </row>
    <row r="115" spans="1:5">
      <c r="A115" s="20" t="s">
        <v>444</v>
      </c>
      <c r="B115" s="4" t="s">
        <v>191</v>
      </c>
      <c r="C115" s="4" t="s">
        <v>52</v>
      </c>
      <c r="D115" s="4" t="s">
        <v>215</v>
      </c>
      <c r="E115" s="24" t="s">
        <v>540</v>
      </c>
    </row>
    <row r="116" spans="1:5">
      <c r="A116" s="20" t="s">
        <v>392</v>
      </c>
      <c r="B116" s="4" t="s">
        <v>191</v>
      </c>
      <c r="C116" s="4" t="s">
        <v>378</v>
      </c>
      <c r="D116" s="4" t="s">
        <v>541</v>
      </c>
      <c r="E116" s="24" t="s">
        <v>542</v>
      </c>
    </row>
    <row r="117" spans="1:5">
      <c r="A117" s="20" t="s">
        <v>410</v>
      </c>
      <c r="B117" s="4" t="s">
        <v>191</v>
      </c>
      <c r="C117" s="4" t="s">
        <v>25</v>
      </c>
      <c r="D117" s="4" t="s">
        <v>543</v>
      </c>
      <c r="E117" s="24" t="s">
        <v>544</v>
      </c>
    </row>
    <row r="119" spans="1:5" ht="14.25">
      <c r="A119" s="21"/>
      <c r="B119" s="22" t="s">
        <v>173</v>
      </c>
    </row>
    <row r="120" spans="1:5" ht="15">
      <c r="A120" s="23" t="s">
        <v>174</v>
      </c>
      <c r="B120" s="23" t="s">
        <v>175</v>
      </c>
      <c r="C120" s="23" t="s">
        <v>176</v>
      </c>
      <c r="D120" s="23" t="s">
        <v>177</v>
      </c>
      <c r="E120" s="23" t="s">
        <v>178</v>
      </c>
    </row>
    <row r="121" spans="1:5">
      <c r="A121" s="20" t="s">
        <v>449</v>
      </c>
      <c r="B121" s="4" t="s">
        <v>545</v>
      </c>
      <c r="C121" s="4" t="s">
        <v>52</v>
      </c>
      <c r="D121" s="4" t="s">
        <v>528</v>
      </c>
      <c r="E121" s="24" t="s">
        <v>546</v>
      </c>
    </row>
    <row r="122" spans="1:5">
      <c r="A122" s="20" t="s">
        <v>481</v>
      </c>
      <c r="B122" s="4" t="s">
        <v>217</v>
      </c>
      <c r="C122" s="4" t="s">
        <v>192</v>
      </c>
      <c r="D122" s="4" t="s">
        <v>532</v>
      </c>
      <c r="E122" s="24" t="s">
        <v>547</v>
      </c>
    </row>
  </sheetData>
  <mergeCells count="25">
    <mergeCell ref="A47:T47"/>
    <mergeCell ref="A52:T52"/>
    <mergeCell ref="A56:T56"/>
    <mergeCell ref="A20:T20"/>
    <mergeCell ref="A23:T23"/>
    <mergeCell ref="A26:T26"/>
    <mergeCell ref="A31:T31"/>
    <mergeCell ref="A37:T37"/>
    <mergeCell ref="A42:T42"/>
    <mergeCell ref="A17:T17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T5"/>
    <mergeCell ref="A8:T8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3"/>
  <sheetViews>
    <sheetView showRowColHeaders="0" workbookViewId="0">
      <selection activeCell="F27" sqref="F27"/>
    </sheetView>
  </sheetViews>
  <sheetFormatPr defaultRowHeight="12.75"/>
  <cols>
    <col min="1" max="1" width="26" style="4" bestFit="1" customWidth="1"/>
    <col min="2" max="2" width="28.42578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1.42578125" style="4" bestFit="1" customWidth="1"/>
    <col min="22" max="16384" width="9.140625" style="3"/>
  </cols>
  <sheetData>
    <row r="1" spans="1:21" s="2" customFormat="1" ht="29.1" customHeight="1">
      <c r="A1" s="42" t="s">
        <v>1930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5" t="s">
        <v>772</v>
      </c>
      <c r="B6" s="5" t="s">
        <v>773</v>
      </c>
      <c r="C6" s="5" t="s">
        <v>774</v>
      </c>
      <c r="D6" s="5" t="str">
        <f>"1,0638"</f>
        <v>1,0638</v>
      </c>
      <c r="E6" s="5" t="s">
        <v>18</v>
      </c>
      <c r="F6" s="5" t="s">
        <v>422</v>
      </c>
      <c r="G6" s="6" t="s">
        <v>234</v>
      </c>
      <c r="H6" s="6" t="s">
        <v>234</v>
      </c>
      <c r="I6" s="6" t="s">
        <v>234</v>
      </c>
      <c r="J6" s="6"/>
      <c r="K6" s="6" t="s">
        <v>567</v>
      </c>
      <c r="L6" s="6"/>
      <c r="M6" s="6"/>
      <c r="N6" s="6"/>
      <c r="O6" s="6" t="s">
        <v>21</v>
      </c>
      <c r="P6" s="6"/>
      <c r="Q6" s="6"/>
      <c r="R6" s="6"/>
      <c r="S6" s="5" t="str">
        <f>"0.00"</f>
        <v>0.00</v>
      </c>
      <c r="T6" s="7" t="str">
        <f>"0,0000"</f>
        <v>0,0000</v>
      </c>
      <c r="U6" s="5" t="s">
        <v>775</v>
      </c>
    </row>
    <row r="8" spans="1:21" ht="15">
      <c r="A8" s="41" t="s">
        <v>122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5" t="s">
        <v>777</v>
      </c>
      <c r="B9" s="5" t="s">
        <v>778</v>
      </c>
      <c r="C9" s="5" t="s">
        <v>779</v>
      </c>
      <c r="D9" s="5" t="str">
        <f>"0,6000"</f>
        <v>0,6000</v>
      </c>
      <c r="E9" s="5" t="s">
        <v>18</v>
      </c>
      <c r="F9" s="5" t="s">
        <v>780</v>
      </c>
      <c r="G9" s="6" t="s">
        <v>117</v>
      </c>
      <c r="H9" s="7" t="s">
        <v>92</v>
      </c>
      <c r="I9" s="7" t="s">
        <v>66</v>
      </c>
      <c r="J9" s="6"/>
      <c r="K9" s="7" t="s">
        <v>136</v>
      </c>
      <c r="L9" s="7" t="s">
        <v>137</v>
      </c>
      <c r="M9" s="6" t="s">
        <v>106</v>
      </c>
      <c r="N9" s="6"/>
      <c r="O9" s="6" t="s">
        <v>143</v>
      </c>
      <c r="P9" s="6" t="s">
        <v>91</v>
      </c>
      <c r="Q9" s="7" t="s">
        <v>91</v>
      </c>
      <c r="R9" s="6"/>
      <c r="S9" s="5" t="str">
        <f>"690,0"</f>
        <v>690,0</v>
      </c>
      <c r="T9" s="7" t="str">
        <f>"414,0000"</f>
        <v>414,0000</v>
      </c>
      <c r="U9" s="5"/>
    </row>
    <row r="11" spans="1:21" ht="15">
      <c r="E11" s="17" t="s">
        <v>166</v>
      </c>
    </row>
    <row r="12" spans="1:21" ht="15">
      <c r="E12" s="17" t="s">
        <v>167</v>
      </c>
    </row>
    <row r="13" spans="1:21" ht="15">
      <c r="E13" s="17" t="s">
        <v>168</v>
      </c>
    </row>
    <row r="14" spans="1:21" ht="15">
      <c r="E14" s="17" t="s">
        <v>169</v>
      </c>
    </row>
    <row r="15" spans="1:21" ht="15">
      <c r="E15" s="17" t="s">
        <v>169</v>
      </c>
    </row>
    <row r="16" spans="1:21" ht="15">
      <c r="E16" s="17" t="s">
        <v>170</v>
      </c>
    </row>
    <row r="17" spans="1:5" ht="15">
      <c r="E17" s="17"/>
    </row>
    <row r="19" spans="1:5" ht="18">
      <c r="A19" s="18" t="s">
        <v>171</v>
      </c>
      <c r="B19" s="18"/>
    </row>
    <row r="20" spans="1:5" ht="15">
      <c r="A20" s="19" t="s">
        <v>183</v>
      </c>
      <c r="B20" s="19"/>
    </row>
    <row r="21" spans="1:5" ht="14.25">
      <c r="A21" s="21"/>
      <c r="B21" s="22" t="s">
        <v>184</v>
      </c>
    </row>
    <row r="22" spans="1:5" ht="15">
      <c r="A22" s="23" t="s">
        <v>174</v>
      </c>
      <c r="B22" s="23" t="s">
        <v>175</v>
      </c>
      <c r="C22" s="23" t="s">
        <v>176</v>
      </c>
      <c r="D22" s="23" t="s">
        <v>177</v>
      </c>
      <c r="E22" s="23" t="s">
        <v>178</v>
      </c>
    </row>
    <row r="23" spans="1:5">
      <c r="A23" s="20" t="s">
        <v>776</v>
      </c>
      <c r="B23" s="4" t="s">
        <v>185</v>
      </c>
      <c r="C23" s="4" t="s">
        <v>192</v>
      </c>
      <c r="D23" s="4" t="s">
        <v>523</v>
      </c>
      <c r="E23" s="24" t="s">
        <v>781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M263"/>
  <sheetViews>
    <sheetView tabSelected="1" workbookViewId="0">
      <selection sqref="A1:M2"/>
    </sheetView>
  </sheetViews>
  <sheetFormatPr defaultRowHeight="12.75"/>
  <cols>
    <col min="1" max="1" width="28.5703125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7.285156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31.7109375" style="4" bestFit="1" customWidth="1"/>
    <col min="14" max="16384" width="9.140625" style="3"/>
  </cols>
  <sheetData>
    <row r="1" spans="1:13" s="2" customFormat="1" ht="29.1" customHeight="1">
      <c r="A1" s="42" t="s">
        <v>1926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11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53" t="s">
        <v>1052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3">
      <c r="A6" s="5" t="s">
        <v>1054</v>
      </c>
      <c r="B6" s="5" t="s">
        <v>1055</v>
      </c>
      <c r="C6" s="5" t="s">
        <v>1056</v>
      </c>
      <c r="D6" s="5" t="str">
        <f>"1,4402"</f>
        <v>1,4402</v>
      </c>
      <c r="E6" s="5" t="s">
        <v>1057</v>
      </c>
      <c r="F6" s="5" t="s">
        <v>1058</v>
      </c>
      <c r="G6" s="6" t="s">
        <v>1059</v>
      </c>
      <c r="H6" s="7" t="s">
        <v>1059</v>
      </c>
      <c r="I6" s="6" t="s">
        <v>568</v>
      </c>
      <c r="J6" s="6"/>
      <c r="K6" s="5" t="str">
        <f>"32,5"</f>
        <v>32,5</v>
      </c>
      <c r="L6" s="7" t="str">
        <f>"46,8065"</f>
        <v>46,8065</v>
      </c>
      <c r="M6" s="5" t="s">
        <v>1060</v>
      </c>
    </row>
    <row r="8" spans="1:13" ht="15">
      <c r="A8" s="41" t="s">
        <v>548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8" t="s">
        <v>1062</v>
      </c>
      <c r="B9" s="8" t="s">
        <v>1063</v>
      </c>
      <c r="C9" s="8" t="s">
        <v>1064</v>
      </c>
      <c r="D9" s="8" t="str">
        <f>"1,3553"</f>
        <v>1,3553</v>
      </c>
      <c r="E9" s="8" t="s">
        <v>1065</v>
      </c>
      <c r="F9" s="8" t="s">
        <v>1066</v>
      </c>
      <c r="G9" s="9" t="s">
        <v>385</v>
      </c>
      <c r="H9" s="9" t="s">
        <v>359</v>
      </c>
      <c r="I9" s="9" t="s">
        <v>360</v>
      </c>
      <c r="J9" s="10"/>
      <c r="K9" s="8" t="str">
        <f>"57,5"</f>
        <v>57,5</v>
      </c>
      <c r="L9" s="9" t="str">
        <f>"77,9297"</f>
        <v>77,9297</v>
      </c>
      <c r="M9" s="8" t="s">
        <v>1067</v>
      </c>
    </row>
    <row r="10" spans="1:13">
      <c r="A10" s="11" t="s">
        <v>1068</v>
      </c>
      <c r="B10" s="11" t="s">
        <v>1069</v>
      </c>
      <c r="C10" s="11" t="s">
        <v>1070</v>
      </c>
      <c r="D10" s="11" t="str">
        <f>"1,3244"</f>
        <v>1,3244</v>
      </c>
      <c r="E10" s="11" t="s">
        <v>18</v>
      </c>
      <c r="F10" s="11" t="s">
        <v>937</v>
      </c>
      <c r="G10" s="13" t="s">
        <v>226</v>
      </c>
      <c r="H10" s="13" t="s">
        <v>385</v>
      </c>
      <c r="I10" s="13" t="s">
        <v>385</v>
      </c>
      <c r="J10" s="13"/>
      <c r="K10" s="11" t="str">
        <f>"0.00"</f>
        <v>0.00</v>
      </c>
      <c r="L10" s="12" t="str">
        <f>"0,0000"</f>
        <v>0,0000</v>
      </c>
      <c r="M10" s="11" t="s">
        <v>1025</v>
      </c>
    </row>
    <row r="12" spans="1:13" ht="15">
      <c r="A12" s="41" t="s">
        <v>220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5" t="s">
        <v>1072</v>
      </c>
      <c r="B13" s="5" t="s">
        <v>1073</v>
      </c>
      <c r="C13" s="5" t="s">
        <v>1074</v>
      </c>
      <c r="D13" s="5" t="str">
        <f>"1,2466"</f>
        <v>1,2466</v>
      </c>
      <c r="E13" s="5" t="s">
        <v>34</v>
      </c>
      <c r="F13" s="5" t="s">
        <v>35</v>
      </c>
      <c r="G13" s="7" t="s">
        <v>226</v>
      </c>
      <c r="H13" s="7" t="s">
        <v>227</v>
      </c>
      <c r="I13" s="7" t="s">
        <v>358</v>
      </c>
      <c r="J13" s="6"/>
      <c r="K13" s="5" t="str">
        <f>"50,0"</f>
        <v>50,0</v>
      </c>
      <c r="L13" s="7" t="str">
        <f>"68,3760"</f>
        <v>68,3760</v>
      </c>
      <c r="M13" s="5" t="s">
        <v>1075</v>
      </c>
    </row>
    <row r="15" spans="1:13" ht="15">
      <c r="A15" s="41" t="s">
        <v>391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8" t="s">
        <v>1077</v>
      </c>
      <c r="B16" s="8" t="s">
        <v>1078</v>
      </c>
      <c r="C16" s="8" t="s">
        <v>1079</v>
      </c>
      <c r="D16" s="8" t="str">
        <f>"1,1221"</f>
        <v>1,1221</v>
      </c>
      <c r="E16" s="8" t="s">
        <v>34</v>
      </c>
      <c r="F16" s="8" t="s">
        <v>35</v>
      </c>
      <c r="G16" s="9" t="s">
        <v>567</v>
      </c>
      <c r="H16" s="9" t="s">
        <v>235</v>
      </c>
      <c r="I16" s="9" t="s">
        <v>20</v>
      </c>
      <c r="J16" s="10" t="s">
        <v>200</v>
      </c>
      <c r="K16" s="8" t="str">
        <f>"80,0"</f>
        <v>80,0</v>
      </c>
      <c r="L16" s="9" t="str">
        <f>"89,7680"</f>
        <v>89,7680</v>
      </c>
      <c r="M16" s="8" t="s">
        <v>1080</v>
      </c>
    </row>
    <row r="17" spans="1:13">
      <c r="A17" s="14" t="s">
        <v>1082</v>
      </c>
      <c r="B17" s="14" t="s">
        <v>1083</v>
      </c>
      <c r="C17" s="14" t="s">
        <v>1084</v>
      </c>
      <c r="D17" s="14" t="str">
        <f>"1,1416"</f>
        <v>1,1416</v>
      </c>
      <c r="E17" s="14" t="s">
        <v>34</v>
      </c>
      <c r="F17" s="14" t="s">
        <v>35</v>
      </c>
      <c r="G17" s="16" t="s">
        <v>795</v>
      </c>
      <c r="H17" s="16" t="s">
        <v>24</v>
      </c>
      <c r="I17" s="15" t="s">
        <v>25</v>
      </c>
      <c r="J17" s="15"/>
      <c r="K17" s="14" t="str">
        <f>"70,0"</f>
        <v>70,0</v>
      </c>
      <c r="L17" s="16" t="str">
        <f>"79,9120"</f>
        <v>79,9120</v>
      </c>
      <c r="M17" s="14" t="s">
        <v>1085</v>
      </c>
    </row>
    <row r="18" spans="1:13">
      <c r="A18" s="14" t="s">
        <v>1087</v>
      </c>
      <c r="B18" s="14" t="s">
        <v>1088</v>
      </c>
      <c r="C18" s="14" t="s">
        <v>1089</v>
      </c>
      <c r="D18" s="14" t="str">
        <f>"1,1355"</f>
        <v>1,1355</v>
      </c>
      <c r="E18" s="14" t="s">
        <v>18</v>
      </c>
      <c r="F18" s="14" t="s">
        <v>1024</v>
      </c>
      <c r="G18" s="16" t="s">
        <v>359</v>
      </c>
      <c r="H18" s="16" t="s">
        <v>378</v>
      </c>
      <c r="I18" s="16" t="s">
        <v>180</v>
      </c>
      <c r="J18" s="15"/>
      <c r="K18" s="14" t="str">
        <f>"67,5"</f>
        <v>67,5</v>
      </c>
      <c r="L18" s="16" t="str">
        <f>"76,6462"</f>
        <v>76,6462</v>
      </c>
      <c r="M18" s="14" t="s">
        <v>1090</v>
      </c>
    </row>
    <row r="19" spans="1:13">
      <c r="A19" s="14" t="s">
        <v>1092</v>
      </c>
      <c r="B19" s="14" t="s">
        <v>1093</v>
      </c>
      <c r="C19" s="14" t="s">
        <v>1094</v>
      </c>
      <c r="D19" s="14" t="str">
        <f>"1,1281"</f>
        <v>1,1281</v>
      </c>
      <c r="E19" s="14" t="s">
        <v>18</v>
      </c>
      <c r="F19" s="14" t="s">
        <v>1024</v>
      </c>
      <c r="G19" s="16" t="s">
        <v>385</v>
      </c>
      <c r="H19" s="16" t="s">
        <v>360</v>
      </c>
      <c r="I19" s="16" t="s">
        <v>23</v>
      </c>
      <c r="J19" s="15"/>
      <c r="K19" s="14" t="str">
        <f>"62,5"</f>
        <v>62,5</v>
      </c>
      <c r="L19" s="16" t="str">
        <f>"70,5063"</f>
        <v>70,5063</v>
      </c>
      <c r="M19" s="14" t="s">
        <v>1090</v>
      </c>
    </row>
    <row r="20" spans="1:13">
      <c r="A20" s="11" t="s">
        <v>1096</v>
      </c>
      <c r="B20" s="11" t="s">
        <v>1097</v>
      </c>
      <c r="C20" s="11" t="s">
        <v>1098</v>
      </c>
      <c r="D20" s="11" t="str">
        <f>"1,1340"</f>
        <v>1,1340</v>
      </c>
      <c r="E20" s="11" t="s">
        <v>34</v>
      </c>
      <c r="F20" s="11" t="s">
        <v>35</v>
      </c>
      <c r="G20" s="12" t="s">
        <v>358</v>
      </c>
      <c r="H20" s="13" t="s">
        <v>385</v>
      </c>
      <c r="I20" s="13" t="s">
        <v>385</v>
      </c>
      <c r="J20" s="13"/>
      <c r="K20" s="11" t="str">
        <f>"50,0"</f>
        <v>50,0</v>
      </c>
      <c r="L20" s="12" t="str">
        <f>"58,4577"</f>
        <v>58,4577</v>
      </c>
      <c r="M20" s="11" t="s">
        <v>1099</v>
      </c>
    </row>
    <row r="22" spans="1:13" ht="15">
      <c r="A22" s="41" t="s">
        <v>13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3">
      <c r="A23" s="8" t="s">
        <v>1101</v>
      </c>
      <c r="B23" s="8" t="s">
        <v>1102</v>
      </c>
      <c r="C23" s="8" t="s">
        <v>1103</v>
      </c>
      <c r="D23" s="8" t="str">
        <f>"1,0491"</f>
        <v>1,0491</v>
      </c>
      <c r="E23" s="8" t="s">
        <v>34</v>
      </c>
      <c r="F23" s="8" t="s">
        <v>35</v>
      </c>
      <c r="G23" s="9" t="s">
        <v>23</v>
      </c>
      <c r="H23" s="9" t="s">
        <v>795</v>
      </c>
      <c r="I23" s="10" t="s">
        <v>180</v>
      </c>
      <c r="J23" s="10"/>
      <c r="K23" s="8" t="str">
        <f>"65,0"</f>
        <v>65,0</v>
      </c>
      <c r="L23" s="9" t="str">
        <f>"68,1915"</f>
        <v>68,1915</v>
      </c>
      <c r="M23" s="8" t="s">
        <v>1104</v>
      </c>
    </row>
    <row r="24" spans="1:13">
      <c r="A24" s="14" t="s">
        <v>1106</v>
      </c>
      <c r="B24" s="14" t="s">
        <v>1107</v>
      </c>
      <c r="C24" s="14" t="s">
        <v>1108</v>
      </c>
      <c r="D24" s="14" t="str">
        <f>"1,0374"</f>
        <v>1,0374</v>
      </c>
      <c r="E24" s="14" t="s">
        <v>18</v>
      </c>
      <c r="F24" s="14" t="s">
        <v>1109</v>
      </c>
      <c r="G24" s="16" t="s">
        <v>366</v>
      </c>
      <c r="H24" s="16" t="s">
        <v>246</v>
      </c>
      <c r="I24" s="15" t="s">
        <v>53</v>
      </c>
      <c r="J24" s="15"/>
      <c r="K24" s="14" t="str">
        <f>"92,5"</f>
        <v>92,5</v>
      </c>
      <c r="L24" s="16" t="str">
        <f>"95,9595"</f>
        <v>95,9595</v>
      </c>
      <c r="M24" s="14" t="s">
        <v>1110</v>
      </c>
    </row>
    <row r="25" spans="1:13">
      <c r="A25" s="14" t="s">
        <v>1112</v>
      </c>
      <c r="B25" s="14" t="s">
        <v>1113</v>
      </c>
      <c r="C25" s="14" t="s">
        <v>1114</v>
      </c>
      <c r="D25" s="14" t="str">
        <f>"1,0206"</f>
        <v>1,0206</v>
      </c>
      <c r="E25" s="14" t="s">
        <v>34</v>
      </c>
      <c r="F25" s="14" t="s">
        <v>35</v>
      </c>
      <c r="G25" s="16" t="s">
        <v>235</v>
      </c>
      <c r="H25" s="16" t="s">
        <v>200</v>
      </c>
      <c r="I25" s="16" t="s">
        <v>366</v>
      </c>
      <c r="J25" s="15"/>
      <c r="K25" s="14" t="str">
        <f>"87,5"</f>
        <v>87,5</v>
      </c>
      <c r="L25" s="16" t="str">
        <f>"89,3025"</f>
        <v>89,3025</v>
      </c>
      <c r="M25" s="14"/>
    </row>
    <row r="26" spans="1:13">
      <c r="A26" s="14" t="s">
        <v>1116</v>
      </c>
      <c r="B26" s="14" t="s">
        <v>1117</v>
      </c>
      <c r="C26" s="14" t="s">
        <v>1118</v>
      </c>
      <c r="D26" s="14" t="str">
        <f>"1,0283"</f>
        <v>1,0283</v>
      </c>
      <c r="E26" s="14" t="s">
        <v>18</v>
      </c>
      <c r="F26" s="14" t="s">
        <v>384</v>
      </c>
      <c r="G26" s="16" t="s">
        <v>359</v>
      </c>
      <c r="H26" s="15" t="s">
        <v>378</v>
      </c>
      <c r="I26" s="15" t="s">
        <v>378</v>
      </c>
      <c r="J26" s="15"/>
      <c r="K26" s="14" t="str">
        <f>"55,0"</f>
        <v>55,0</v>
      </c>
      <c r="L26" s="16" t="str">
        <f>"56,5565"</f>
        <v>56,5565</v>
      </c>
      <c r="M26" s="14" t="s">
        <v>386</v>
      </c>
    </row>
    <row r="27" spans="1:13">
      <c r="A27" s="14" t="s">
        <v>1120</v>
      </c>
      <c r="B27" s="14" t="s">
        <v>1121</v>
      </c>
      <c r="C27" s="14" t="s">
        <v>1122</v>
      </c>
      <c r="D27" s="14" t="str">
        <f>"1,0261"</f>
        <v>1,0261</v>
      </c>
      <c r="E27" s="14" t="s">
        <v>34</v>
      </c>
      <c r="F27" s="14" t="s">
        <v>35</v>
      </c>
      <c r="G27" s="16" t="s">
        <v>20</v>
      </c>
      <c r="H27" s="15" t="s">
        <v>51</v>
      </c>
      <c r="I27" s="15" t="s">
        <v>51</v>
      </c>
      <c r="J27" s="15"/>
      <c r="K27" s="14" t="str">
        <f>"80,0"</f>
        <v>80,0</v>
      </c>
      <c r="L27" s="16" t="str">
        <f>"84,6327"</f>
        <v>84,6327</v>
      </c>
      <c r="M27" s="14" t="s">
        <v>1123</v>
      </c>
    </row>
    <row r="28" spans="1:13">
      <c r="A28" s="14" t="s">
        <v>1125</v>
      </c>
      <c r="B28" s="14" t="s">
        <v>1126</v>
      </c>
      <c r="C28" s="14" t="s">
        <v>233</v>
      </c>
      <c r="D28" s="14" t="str">
        <f>"1,0444"</f>
        <v>1,0444</v>
      </c>
      <c r="E28" s="14" t="s">
        <v>34</v>
      </c>
      <c r="F28" s="14" t="s">
        <v>35</v>
      </c>
      <c r="G28" s="16" t="s">
        <v>795</v>
      </c>
      <c r="H28" s="16" t="s">
        <v>24</v>
      </c>
      <c r="I28" s="15" t="s">
        <v>567</v>
      </c>
      <c r="J28" s="15"/>
      <c r="K28" s="14" t="str">
        <f>"70,0"</f>
        <v>70,0</v>
      </c>
      <c r="L28" s="16" t="str">
        <f>"75,3743"</f>
        <v>75,3743</v>
      </c>
      <c r="M28" s="14" t="s">
        <v>1127</v>
      </c>
    </row>
    <row r="29" spans="1:13">
      <c r="A29" s="11" t="s">
        <v>1129</v>
      </c>
      <c r="B29" s="11" t="s">
        <v>1130</v>
      </c>
      <c r="C29" s="11" t="s">
        <v>1131</v>
      </c>
      <c r="D29" s="11" t="str">
        <f>"1,0228"</f>
        <v>1,0228</v>
      </c>
      <c r="E29" s="11" t="s">
        <v>18</v>
      </c>
      <c r="F29" s="11" t="s">
        <v>384</v>
      </c>
      <c r="G29" s="13" t="s">
        <v>226</v>
      </c>
      <c r="H29" s="12" t="s">
        <v>226</v>
      </c>
      <c r="I29" s="13" t="s">
        <v>227</v>
      </c>
      <c r="J29" s="13"/>
      <c r="K29" s="11" t="str">
        <f>"45,0"</f>
        <v>45,0</v>
      </c>
      <c r="L29" s="12" t="str">
        <f>"48,0051"</f>
        <v>48,0051</v>
      </c>
      <c r="M29" s="11" t="s">
        <v>386</v>
      </c>
    </row>
    <row r="31" spans="1:13" ht="15">
      <c r="A31" s="41" t="s">
        <v>237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3">
      <c r="A32" s="5" t="s">
        <v>1133</v>
      </c>
      <c r="B32" s="5" t="s">
        <v>1134</v>
      </c>
      <c r="C32" s="5" t="s">
        <v>1135</v>
      </c>
      <c r="D32" s="5" t="str">
        <f>"0,9547"</f>
        <v>0,9547</v>
      </c>
      <c r="E32" s="5" t="s">
        <v>34</v>
      </c>
      <c r="F32" s="5" t="s">
        <v>35</v>
      </c>
      <c r="G32" s="7" t="s">
        <v>359</v>
      </c>
      <c r="H32" s="7" t="s">
        <v>360</v>
      </c>
      <c r="I32" s="7" t="s">
        <v>378</v>
      </c>
      <c r="J32" s="6"/>
      <c r="K32" s="5" t="str">
        <f>"60,0"</f>
        <v>60,0</v>
      </c>
      <c r="L32" s="7" t="str">
        <f>"57,2820"</f>
        <v>57,2820</v>
      </c>
      <c r="M32" s="5" t="s">
        <v>1104</v>
      </c>
    </row>
    <row r="34" spans="1:13" ht="15">
      <c r="A34" s="41" t="s">
        <v>342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3">
      <c r="A35" s="8" t="s">
        <v>1137</v>
      </c>
      <c r="B35" s="8" t="s">
        <v>1138</v>
      </c>
      <c r="C35" s="8" t="s">
        <v>1139</v>
      </c>
      <c r="D35" s="8" t="str">
        <f>"0,9893"</f>
        <v>0,9893</v>
      </c>
      <c r="E35" s="8" t="s">
        <v>18</v>
      </c>
      <c r="F35" s="8" t="s">
        <v>127</v>
      </c>
      <c r="G35" s="9" t="s">
        <v>24</v>
      </c>
      <c r="H35" s="9" t="s">
        <v>25</v>
      </c>
      <c r="I35" s="10" t="s">
        <v>20</v>
      </c>
      <c r="J35" s="10"/>
      <c r="K35" s="8" t="str">
        <f>"75,0"</f>
        <v>75,0</v>
      </c>
      <c r="L35" s="9" t="str">
        <f>"74,1975"</f>
        <v>74,1975</v>
      </c>
      <c r="M35" s="8" t="s">
        <v>701</v>
      </c>
    </row>
    <row r="36" spans="1:13">
      <c r="A36" s="14" t="s">
        <v>1141</v>
      </c>
      <c r="B36" s="14" t="s">
        <v>1142</v>
      </c>
      <c r="C36" s="14" t="s">
        <v>1143</v>
      </c>
      <c r="D36" s="14" t="str">
        <f>"0,9300"</f>
        <v>0,9300</v>
      </c>
      <c r="E36" s="14" t="s">
        <v>34</v>
      </c>
      <c r="F36" s="14" t="s">
        <v>35</v>
      </c>
      <c r="G36" s="16" t="s">
        <v>359</v>
      </c>
      <c r="H36" s="15" t="s">
        <v>360</v>
      </c>
      <c r="I36" s="16" t="s">
        <v>360</v>
      </c>
      <c r="J36" s="15"/>
      <c r="K36" s="14" t="str">
        <f>"57,5"</f>
        <v>57,5</v>
      </c>
      <c r="L36" s="16" t="str">
        <f>"53,4750"</f>
        <v>53,4750</v>
      </c>
      <c r="M36" s="14"/>
    </row>
    <row r="37" spans="1:13">
      <c r="A37" s="11" t="s">
        <v>1144</v>
      </c>
      <c r="B37" s="11" t="s">
        <v>1145</v>
      </c>
      <c r="C37" s="11" t="s">
        <v>1146</v>
      </c>
      <c r="D37" s="11" t="str">
        <f>"0,9995"</f>
        <v>0,9995</v>
      </c>
      <c r="E37" s="11" t="s">
        <v>34</v>
      </c>
      <c r="F37" s="11" t="s">
        <v>35</v>
      </c>
      <c r="G37" s="12" t="s">
        <v>52</v>
      </c>
      <c r="H37" s="13" t="s">
        <v>53</v>
      </c>
      <c r="I37" s="12" t="s">
        <v>53</v>
      </c>
      <c r="J37" s="13"/>
      <c r="K37" s="11" t="str">
        <f>"95,0"</f>
        <v>95,0</v>
      </c>
      <c r="L37" s="12" t="str">
        <f>"94,9525"</f>
        <v>94,9525</v>
      </c>
      <c r="M37" s="11" t="s">
        <v>1147</v>
      </c>
    </row>
    <row r="39" spans="1:13" ht="15">
      <c r="A39" s="41" t="s">
        <v>391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3">
      <c r="A40" s="8" t="s">
        <v>1149</v>
      </c>
      <c r="B40" s="8" t="s">
        <v>1150</v>
      </c>
      <c r="C40" s="8" t="s">
        <v>1151</v>
      </c>
      <c r="D40" s="8" t="str">
        <f>"0,8802"</f>
        <v>0,8802</v>
      </c>
      <c r="E40" s="8" t="s">
        <v>34</v>
      </c>
      <c r="F40" s="8" t="s">
        <v>35</v>
      </c>
      <c r="G40" s="9" t="s">
        <v>227</v>
      </c>
      <c r="H40" s="10" t="s">
        <v>359</v>
      </c>
      <c r="I40" s="9" t="s">
        <v>378</v>
      </c>
      <c r="J40" s="10"/>
      <c r="K40" s="8" t="str">
        <f>"60,0"</f>
        <v>60,0</v>
      </c>
      <c r="L40" s="9" t="str">
        <f>"52,8120"</f>
        <v>52,8120</v>
      </c>
      <c r="M40" s="8" t="s">
        <v>1152</v>
      </c>
    </row>
    <row r="41" spans="1:13">
      <c r="A41" s="11" t="s">
        <v>1154</v>
      </c>
      <c r="B41" s="11" t="s">
        <v>1155</v>
      </c>
      <c r="C41" s="11" t="s">
        <v>572</v>
      </c>
      <c r="D41" s="11" t="str">
        <f>"0,8555"</f>
        <v>0,8555</v>
      </c>
      <c r="E41" s="11" t="s">
        <v>34</v>
      </c>
      <c r="F41" s="11" t="s">
        <v>35</v>
      </c>
      <c r="G41" s="12" t="s">
        <v>378</v>
      </c>
      <c r="H41" s="13" t="s">
        <v>795</v>
      </c>
      <c r="I41" s="13" t="s">
        <v>795</v>
      </c>
      <c r="J41" s="13"/>
      <c r="K41" s="11" t="str">
        <f>"60,0"</f>
        <v>60,0</v>
      </c>
      <c r="L41" s="12" t="str">
        <f>"51,3300"</f>
        <v>51,3300</v>
      </c>
      <c r="M41" s="11"/>
    </row>
    <row r="43" spans="1:13" ht="15">
      <c r="A43" s="41" t="s">
        <v>13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3">
      <c r="A44" s="8" t="s">
        <v>1157</v>
      </c>
      <c r="B44" s="8" t="s">
        <v>1158</v>
      </c>
      <c r="C44" s="8" t="s">
        <v>813</v>
      </c>
      <c r="D44" s="8" t="str">
        <f>"0,7862"</f>
        <v>0,7862</v>
      </c>
      <c r="E44" s="8" t="s">
        <v>18</v>
      </c>
      <c r="F44" s="8" t="s">
        <v>384</v>
      </c>
      <c r="G44" s="9" t="s">
        <v>200</v>
      </c>
      <c r="H44" s="9" t="s">
        <v>366</v>
      </c>
      <c r="I44" s="9" t="s">
        <v>52</v>
      </c>
      <c r="J44" s="10"/>
      <c r="K44" s="8" t="str">
        <f>"90,0"</f>
        <v>90,0</v>
      </c>
      <c r="L44" s="9" t="str">
        <f>"70,7580"</f>
        <v>70,7580</v>
      </c>
      <c r="M44" s="8" t="s">
        <v>386</v>
      </c>
    </row>
    <row r="45" spans="1:13">
      <c r="A45" s="14" t="s">
        <v>1160</v>
      </c>
      <c r="B45" s="14" t="s">
        <v>1161</v>
      </c>
      <c r="C45" s="14" t="s">
        <v>1162</v>
      </c>
      <c r="D45" s="14" t="str">
        <f>"0,8281"</f>
        <v>0,8281</v>
      </c>
      <c r="E45" s="14" t="s">
        <v>34</v>
      </c>
      <c r="F45" s="14" t="s">
        <v>35</v>
      </c>
      <c r="G45" s="16" t="s">
        <v>200</v>
      </c>
      <c r="H45" s="15" t="s">
        <v>366</v>
      </c>
      <c r="I45" s="15" t="s">
        <v>366</v>
      </c>
      <c r="J45" s="15"/>
      <c r="K45" s="14" t="str">
        <f>"82,5"</f>
        <v>82,5</v>
      </c>
      <c r="L45" s="16" t="str">
        <f>"68,3183"</f>
        <v>68,3183</v>
      </c>
      <c r="M45" s="14" t="s">
        <v>1099</v>
      </c>
    </row>
    <row r="46" spans="1:13">
      <c r="A46" s="14" t="s">
        <v>1164</v>
      </c>
      <c r="B46" s="14" t="s">
        <v>1165</v>
      </c>
      <c r="C46" s="14" t="s">
        <v>813</v>
      </c>
      <c r="D46" s="14" t="str">
        <f>"0,7862"</f>
        <v>0,7862</v>
      </c>
      <c r="E46" s="14" t="s">
        <v>18</v>
      </c>
      <c r="F46" s="14" t="s">
        <v>480</v>
      </c>
      <c r="G46" s="16" t="s">
        <v>192</v>
      </c>
      <c r="H46" s="16" t="s">
        <v>22</v>
      </c>
      <c r="I46" s="16" t="s">
        <v>234</v>
      </c>
      <c r="J46" s="15"/>
      <c r="K46" s="14" t="str">
        <f>"120,0"</f>
        <v>120,0</v>
      </c>
      <c r="L46" s="16" t="str">
        <f>"94,3440"</f>
        <v>94,3440</v>
      </c>
      <c r="M46" s="14" t="s">
        <v>1166</v>
      </c>
    </row>
    <row r="47" spans="1:13">
      <c r="A47" s="11" t="s">
        <v>1167</v>
      </c>
      <c r="B47" s="11" t="s">
        <v>1168</v>
      </c>
      <c r="C47" s="11" t="s">
        <v>1169</v>
      </c>
      <c r="D47" s="11" t="str">
        <f>"0,7872"</f>
        <v>0,7872</v>
      </c>
      <c r="E47" s="11" t="s">
        <v>34</v>
      </c>
      <c r="F47" s="11" t="s">
        <v>34</v>
      </c>
      <c r="G47" s="13" t="s">
        <v>26</v>
      </c>
      <c r="H47" s="13" t="s">
        <v>26</v>
      </c>
      <c r="I47" s="13" t="s">
        <v>26</v>
      </c>
      <c r="J47" s="13"/>
      <c r="K47" s="11" t="str">
        <f>"0.00"</f>
        <v>0.00</v>
      </c>
      <c r="L47" s="12" t="str">
        <f>"0,0000"</f>
        <v>0,0000</v>
      </c>
      <c r="M47" s="11" t="s">
        <v>1170</v>
      </c>
    </row>
    <row r="49" spans="1:13" ht="15">
      <c r="A49" s="41" t="s">
        <v>237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3">
      <c r="A50" s="8" t="s">
        <v>1172</v>
      </c>
      <c r="B50" s="8" t="s">
        <v>1173</v>
      </c>
      <c r="C50" s="8" t="s">
        <v>1174</v>
      </c>
      <c r="D50" s="8" t="str">
        <f>"0,7200"</f>
        <v>0,7200</v>
      </c>
      <c r="E50" s="8" t="s">
        <v>18</v>
      </c>
      <c r="F50" s="8" t="s">
        <v>915</v>
      </c>
      <c r="G50" s="9" t="s">
        <v>192</v>
      </c>
      <c r="H50" s="10" t="s">
        <v>22</v>
      </c>
      <c r="I50" s="9" t="s">
        <v>22</v>
      </c>
      <c r="J50" s="10"/>
      <c r="K50" s="8" t="str">
        <f>"115,0"</f>
        <v>115,0</v>
      </c>
      <c r="L50" s="9" t="str">
        <f>"82,8000"</f>
        <v>82,8000</v>
      </c>
      <c r="M50" s="8" t="s">
        <v>1175</v>
      </c>
    </row>
    <row r="51" spans="1:13">
      <c r="A51" s="14" t="s">
        <v>1177</v>
      </c>
      <c r="B51" s="14" t="s">
        <v>1178</v>
      </c>
      <c r="C51" s="14" t="s">
        <v>1179</v>
      </c>
      <c r="D51" s="14" t="str">
        <f>"0,7193"</f>
        <v>0,7193</v>
      </c>
      <c r="E51" s="14" t="s">
        <v>34</v>
      </c>
      <c r="F51" s="14" t="s">
        <v>35</v>
      </c>
      <c r="G51" s="16" t="s">
        <v>26</v>
      </c>
      <c r="H51" s="15" t="s">
        <v>252</v>
      </c>
      <c r="I51" s="15" t="s">
        <v>252</v>
      </c>
      <c r="J51" s="15"/>
      <c r="K51" s="14" t="str">
        <f>"105,0"</f>
        <v>105,0</v>
      </c>
      <c r="L51" s="16" t="str">
        <f>"75,5265"</f>
        <v>75,5265</v>
      </c>
      <c r="M51" s="14" t="s">
        <v>1180</v>
      </c>
    </row>
    <row r="52" spans="1:13">
      <c r="A52" s="14" t="s">
        <v>1182</v>
      </c>
      <c r="B52" s="14" t="s">
        <v>1183</v>
      </c>
      <c r="C52" s="14" t="s">
        <v>1184</v>
      </c>
      <c r="D52" s="14" t="str">
        <f>"0,7398"</f>
        <v>0,7398</v>
      </c>
      <c r="E52" s="14" t="s">
        <v>18</v>
      </c>
      <c r="F52" s="14" t="s">
        <v>874</v>
      </c>
      <c r="G52" s="16" t="s">
        <v>567</v>
      </c>
      <c r="H52" s="16" t="s">
        <v>235</v>
      </c>
      <c r="I52" s="16" t="s">
        <v>200</v>
      </c>
      <c r="J52" s="15"/>
      <c r="K52" s="14" t="str">
        <f>"82,5"</f>
        <v>82,5</v>
      </c>
      <c r="L52" s="16" t="str">
        <f>"61,0335"</f>
        <v>61,0335</v>
      </c>
      <c r="M52" s="14" t="s">
        <v>1185</v>
      </c>
    </row>
    <row r="53" spans="1:13">
      <c r="A53" s="14" t="s">
        <v>1187</v>
      </c>
      <c r="B53" s="14" t="s">
        <v>1188</v>
      </c>
      <c r="C53" s="14" t="s">
        <v>1189</v>
      </c>
      <c r="D53" s="14" t="str">
        <f>"0,7152"</f>
        <v>0,7152</v>
      </c>
      <c r="E53" s="14" t="s">
        <v>18</v>
      </c>
      <c r="F53" s="14" t="s">
        <v>874</v>
      </c>
      <c r="G53" s="16" t="s">
        <v>186</v>
      </c>
      <c r="H53" s="15" t="s">
        <v>579</v>
      </c>
      <c r="I53" s="15" t="s">
        <v>579</v>
      </c>
      <c r="J53" s="15"/>
      <c r="K53" s="14" t="str">
        <f>"125,0"</f>
        <v>125,0</v>
      </c>
      <c r="L53" s="16" t="str">
        <f>"89,4000"</f>
        <v>89,4000</v>
      </c>
      <c r="M53" s="14" t="s">
        <v>1190</v>
      </c>
    </row>
    <row r="54" spans="1:13">
      <c r="A54" s="14" t="s">
        <v>1192</v>
      </c>
      <c r="B54" s="14" t="s">
        <v>1193</v>
      </c>
      <c r="C54" s="14" t="s">
        <v>1194</v>
      </c>
      <c r="D54" s="14" t="str">
        <f>"0,7360"</f>
        <v>0,7360</v>
      </c>
      <c r="E54" s="14" t="s">
        <v>34</v>
      </c>
      <c r="F54" s="14" t="s">
        <v>35</v>
      </c>
      <c r="G54" s="16" t="s">
        <v>236</v>
      </c>
      <c r="H54" s="16" t="s">
        <v>49</v>
      </c>
      <c r="I54" s="15" t="s">
        <v>424</v>
      </c>
      <c r="J54" s="15"/>
      <c r="K54" s="14" t="str">
        <f>"140,0"</f>
        <v>140,0</v>
      </c>
      <c r="L54" s="16" t="str">
        <f>"103,0400"</f>
        <v>103,0400</v>
      </c>
      <c r="M54" s="14"/>
    </row>
    <row r="55" spans="1:13">
      <c r="A55" s="14" t="s">
        <v>1195</v>
      </c>
      <c r="B55" s="14" t="s">
        <v>1196</v>
      </c>
      <c r="C55" s="14" t="s">
        <v>1174</v>
      </c>
      <c r="D55" s="14" t="str">
        <f>"0,7200"</f>
        <v>0,7200</v>
      </c>
      <c r="E55" s="14" t="s">
        <v>34</v>
      </c>
      <c r="F55" s="14" t="s">
        <v>35</v>
      </c>
      <c r="G55" s="16" t="s">
        <v>192</v>
      </c>
      <c r="H55" s="16" t="s">
        <v>234</v>
      </c>
      <c r="I55" s="16" t="s">
        <v>186</v>
      </c>
      <c r="J55" s="15"/>
      <c r="K55" s="14" t="str">
        <f>"125,0"</f>
        <v>125,0</v>
      </c>
      <c r="L55" s="16" t="str">
        <f>"90,0000"</f>
        <v>90,0000</v>
      </c>
      <c r="M55" s="14"/>
    </row>
    <row r="56" spans="1:13">
      <c r="A56" s="14" t="s">
        <v>1197</v>
      </c>
      <c r="B56" s="14" t="s">
        <v>1198</v>
      </c>
      <c r="C56" s="14" t="s">
        <v>1199</v>
      </c>
      <c r="D56" s="14" t="str">
        <f>"0,7179"</f>
        <v>0,7179</v>
      </c>
      <c r="E56" s="14" t="s">
        <v>34</v>
      </c>
      <c r="F56" s="14" t="s">
        <v>35</v>
      </c>
      <c r="G56" s="16" t="s">
        <v>192</v>
      </c>
      <c r="H56" s="16" t="s">
        <v>234</v>
      </c>
      <c r="I56" s="15" t="s">
        <v>579</v>
      </c>
      <c r="J56" s="15"/>
      <c r="K56" s="14" t="str">
        <f>"120,0"</f>
        <v>120,0</v>
      </c>
      <c r="L56" s="16" t="str">
        <f>"86,1480"</f>
        <v>86,1480</v>
      </c>
      <c r="M56" s="14"/>
    </row>
    <row r="57" spans="1:13">
      <c r="A57" s="14" t="s">
        <v>1200</v>
      </c>
      <c r="B57" s="14" t="s">
        <v>1201</v>
      </c>
      <c r="C57" s="14" t="s">
        <v>1202</v>
      </c>
      <c r="D57" s="14" t="str">
        <f>"0,7146"</f>
        <v>0,7146</v>
      </c>
      <c r="E57" s="14" t="s">
        <v>34</v>
      </c>
      <c r="F57" s="14" t="s">
        <v>35</v>
      </c>
      <c r="G57" s="16" t="s">
        <v>234</v>
      </c>
      <c r="H57" s="15" t="s">
        <v>579</v>
      </c>
      <c r="I57" s="15" t="s">
        <v>579</v>
      </c>
      <c r="J57" s="15"/>
      <c r="K57" s="14" t="str">
        <f>"120,0"</f>
        <v>120,0</v>
      </c>
      <c r="L57" s="16" t="str">
        <f>"85,7520"</f>
        <v>85,7520</v>
      </c>
      <c r="M57" s="14"/>
    </row>
    <row r="58" spans="1:13">
      <c r="A58" s="14" t="s">
        <v>1203</v>
      </c>
      <c r="B58" s="14" t="s">
        <v>1204</v>
      </c>
      <c r="C58" s="14" t="s">
        <v>1205</v>
      </c>
      <c r="D58" s="14" t="str">
        <f>"0,7264"</f>
        <v>0,7264</v>
      </c>
      <c r="E58" s="14" t="s">
        <v>34</v>
      </c>
      <c r="F58" s="14" t="s">
        <v>34</v>
      </c>
      <c r="G58" s="16" t="s">
        <v>21</v>
      </c>
      <c r="H58" s="16" t="s">
        <v>26</v>
      </c>
      <c r="I58" s="15" t="s">
        <v>192</v>
      </c>
      <c r="J58" s="15"/>
      <c r="K58" s="14" t="str">
        <f>"105,0"</f>
        <v>105,0</v>
      </c>
      <c r="L58" s="16" t="str">
        <f>"76,2720"</f>
        <v>76,2720</v>
      </c>
      <c r="M58" s="14" t="s">
        <v>386</v>
      </c>
    </row>
    <row r="59" spans="1:13">
      <c r="A59" s="14" t="s">
        <v>1206</v>
      </c>
      <c r="B59" s="14" t="s">
        <v>1207</v>
      </c>
      <c r="C59" s="14" t="s">
        <v>1208</v>
      </c>
      <c r="D59" s="14" t="str">
        <f>"0,7126"</f>
        <v>0,7126</v>
      </c>
      <c r="E59" s="14" t="s">
        <v>34</v>
      </c>
      <c r="F59" s="14" t="s">
        <v>35</v>
      </c>
      <c r="G59" s="15" t="s">
        <v>26</v>
      </c>
      <c r="H59" s="15" t="s">
        <v>26</v>
      </c>
      <c r="I59" s="15" t="s">
        <v>26</v>
      </c>
      <c r="J59" s="15"/>
      <c r="K59" s="14" t="str">
        <f>"0.00"</f>
        <v>0.00</v>
      </c>
      <c r="L59" s="16" t="str">
        <f>"0,0000"</f>
        <v>0,0000</v>
      </c>
      <c r="M59" s="14"/>
    </row>
    <row r="60" spans="1:13">
      <c r="A60" s="14" t="s">
        <v>1210</v>
      </c>
      <c r="B60" s="14" t="s">
        <v>1211</v>
      </c>
      <c r="C60" s="14" t="s">
        <v>1212</v>
      </c>
      <c r="D60" s="14" t="str">
        <f>"0,7293"</f>
        <v>0,7293</v>
      </c>
      <c r="E60" s="14" t="s">
        <v>34</v>
      </c>
      <c r="F60" s="14" t="s">
        <v>35</v>
      </c>
      <c r="G60" s="16" t="s">
        <v>234</v>
      </c>
      <c r="H60" s="16" t="s">
        <v>186</v>
      </c>
      <c r="I60" s="16" t="s">
        <v>27</v>
      </c>
      <c r="J60" s="15"/>
      <c r="K60" s="14" t="str">
        <f>"130,0"</f>
        <v>130,0</v>
      </c>
      <c r="L60" s="16" t="str">
        <f>"102,5833"</f>
        <v>102,5833</v>
      </c>
      <c r="M60" s="14"/>
    </row>
    <row r="61" spans="1:13">
      <c r="A61" s="11" t="s">
        <v>1214</v>
      </c>
      <c r="B61" s="11" t="s">
        <v>1215</v>
      </c>
      <c r="C61" s="11" t="s">
        <v>403</v>
      </c>
      <c r="D61" s="11" t="str">
        <f>"0,7207"</f>
        <v>0,7207</v>
      </c>
      <c r="E61" s="11" t="s">
        <v>18</v>
      </c>
      <c r="F61" s="11" t="s">
        <v>480</v>
      </c>
      <c r="G61" s="12" t="s">
        <v>20</v>
      </c>
      <c r="H61" s="13" t="s">
        <v>200</v>
      </c>
      <c r="I61" s="13" t="s">
        <v>200</v>
      </c>
      <c r="J61" s="13"/>
      <c r="K61" s="11" t="str">
        <f>"80,0"</f>
        <v>80,0</v>
      </c>
      <c r="L61" s="12" t="str">
        <f>"101,2439"</f>
        <v>101,2439</v>
      </c>
      <c r="M61" s="11" t="s">
        <v>1216</v>
      </c>
    </row>
    <row r="63" spans="1:13" ht="15">
      <c r="A63" s="41" t="s">
        <v>29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spans="1:13">
      <c r="A64" s="8" t="s">
        <v>1218</v>
      </c>
      <c r="B64" s="8" t="s">
        <v>1219</v>
      </c>
      <c r="C64" s="8" t="s">
        <v>434</v>
      </c>
      <c r="D64" s="8" t="str">
        <f>"0,6754"</f>
        <v>0,6754</v>
      </c>
      <c r="E64" s="8" t="s">
        <v>34</v>
      </c>
      <c r="F64" s="8" t="s">
        <v>35</v>
      </c>
      <c r="G64" s="10" t="s">
        <v>20</v>
      </c>
      <c r="H64" s="9" t="s">
        <v>51</v>
      </c>
      <c r="I64" s="9" t="s">
        <v>52</v>
      </c>
      <c r="J64" s="10"/>
      <c r="K64" s="8" t="str">
        <f>"90,0"</f>
        <v>90,0</v>
      </c>
      <c r="L64" s="9" t="str">
        <f>"60,7860"</f>
        <v>60,7860</v>
      </c>
      <c r="M64" s="8" t="s">
        <v>1220</v>
      </c>
    </row>
    <row r="65" spans="1:13">
      <c r="A65" s="14" t="s">
        <v>1222</v>
      </c>
      <c r="B65" s="14" t="s">
        <v>1223</v>
      </c>
      <c r="C65" s="14" t="s">
        <v>245</v>
      </c>
      <c r="D65" s="14" t="str">
        <f>"0,6709"</f>
        <v>0,6709</v>
      </c>
      <c r="E65" s="14" t="s">
        <v>641</v>
      </c>
      <c r="F65" s="14" t="s">
        <v>642</v>
      </c>
      <c r="G65" s="16" t="s">
        <v>49</v>
      </c>
      <c r="H65" s="15" t="s">
        <v>425</v>
      </c>
      <c r="I65" s="16" t="s">
        <v>425</v>
      </c>
      <c r="J65" s="15"/>
      <c r="K65" s="14" t="str">
        <f>"147,5"</f>
        <v>147,5</v>
      </c>
      <c r="L65" s="16" t="str">
        <f>"98,9577"</f>
        <v>98,9577</v>
      </c>
      <c r="M65" s="14" t="s">
        <v>606</v>
      </c>
    </row>
    <row r="66" spans="1:13">
      <c r="A66" s="14" t="s">
        <v>1225</v>
      </c>
      <c r="B66" s="14" t="s">
        <v>1226</v>
      </c>
      <c r="C66" s="14" t="s">
        <v>417</v>
      </c>
      <c r="D66" s="14" t="str">
        <f>"0,6769"</f>
        <v>0,6769</v>
      </c>
      <c r="E66" s="14" t="s">
        <v>34</v>
      </c>
      <c r="F66" s="14" t="s">
        <v>35</v>
      </c>
      <c r="G66" s="16" t="s">
        <v>50</v>
      </c>
      <c r="H66" s="16" t="s">
        <v>54</v>
      </c>
      <c r="I66" s="16" t="s">
        <v>55</v>
      </c>
      <c r="J66" s="15"/>
      <c r="K66" s="14" t="str">
        <f>"160,0"</f>
        <v>160,0</v>
      </c>
      <c r="L66" s="16" t="str">
        <f>"108,3040"</f>
        <v>108,3040</v>
      </c>
      <c r="M66" s="14"/>
    </row>
    <row r="67" spans="1:13">
      <c r="A67" s="14" t="s">
        <v>1228</v>
      </c>
      <c r="B67" s="14" t="s">
        <v>1229</v>
      </c>
      <c r="C67" s="14" t="s">
        <v>1230</v>
      </c>
      <c r="D67" s="14" t="str">
        <f>"0,6790"</f>
        <v>0,6790</v>
      </c>
      <c r="E67" s="14" t="s">
        <v>18</v>
      </c>
      <c r="F67" s="14" t="s">
        <v>874</v>
      </c>
      <c r="G67" s="16" t="s">
        <v>64</v>
      </c>
      <c r="H67" s="16" t="s">
        <v>469</v>
      </c>
      <c r="I67" s="16" t="s">
        <v>54</v>
      </c>
      <c r="J67" s="15"/>
      <c r="K67" s="14" t="str">
        <f>"155,0"</f>
        <v>155,0</v>
      </c>
      <c r="L67" s="16" t="str">
        <f>"105,2450"</f>
        <v>105,2450</v>
      </c>
      <c r="M67" s="14"/>
    </row>
    <row r="68" spans="1:13">
      <c r="A68" s="14" t="s">
        <v>1232</v>
      </c>
      <c r="B68" s="14" t="s">
        <v>1233</v>
      </c>
      <c r="C68" s="14" t="s">
        <v>434</v>
      </c>
      <c r="D68" s="14" t="str">
        <f>"0,6754"</f>
        <v>0,6754</v>
      </c>
      <c r="E68" s="14" t="s">
        <v>34</v>
      </c>
      <c r="F68" s="14" t="s">
        <v>35</v>
      </c>
      <c r="G68" s="16" t="s">
        <v>425</v>
      </c>
      <c r="H68" s="16" t="s">
        <v>469</v>
      </c>
      <c r="I68" s="15" t="s">
        <v>679</v>
      </c>
      <c r="J68" s="15"/>
      <c r="K68" s="14" t="str">
        <f>"152,5"</f>
        <v>152,5</v>
      </c>
      <c r="L68" s="16" t="str">
        <f>"102,9985"</f>
        <v>102,9985</v>
      </c>
      <c r="M68" s="14" t="s">
        <v>1234</v>
      </c>
    </row>
    <row r="69" spans="1:13">
      <c r="A69" s="14" t="s">
        <v>1236</v>
      </c>
      <c r="B69" s="14" t="s">
        <v>1237</v>
      </c>
      <c r="C69" s="14" t="s">
        <v>1238</v>
      </c>
      <c r="D69" s="14" t="str">
        <f>"0,6893"</f>
        <v>0,6893</v>
      </c>
      <c r="E69" s="14" t="s">
        <v>18</v>
      </c>
      <c r="F69" s="14" t="s">
        <v>480</v>
      </c>
      <c r="G69" s="16" t="s">
        <v>236</v>
      </c>
      <c r="H69" s="15" t="s">
        <v>425</v>
      </c>
      <c r="I69" s="16" t="s">
        <v>425</v>
      </c>
      <c r="J69" s="15"/>
      <c r="K69" s="14" t="str">
        <f>"147,5"</f>
        <v>147,5</v>
      </c>
      <c r="L69" s="16" t="str">
        <f>"101,6718"</f>
        <v>101,6718</v>
      </c>
      <c r="M69" s="14" t="s">
        <v>1239</v>
      </c>
    </row>
    <row r="70" spans="1:13">
      <c r="A70" s="14" t="s">
        <v>1240</v>
      </c>
      <c r="B70" s="14" t="s">
        <v>1241</v>
      </c>
      <c r="C70" s="14" t="s">
        <v>634</v>
      </c>
      <c r="D70" s="14" t="str">
        <f>"0,6699"</f>
        <v>0,6699</v>
      </c>
      <c r="E70" s="14" t="s">
        <v>34</v>
      </c>
      <c r="F70" s="14" t="s">
        <v>35</v>
      </c>
      <c r="G70" s="15" t="s">
        <v>49</v>
      </c>
      <c r="H70" s="16" t="s">
        <v>49</v>
      </c>
      <c r="I70" s="16" t="s">
        <v>425</v>
      </c>
      <c r="J70" s="15"/>
      <c r="K70" s="14" t="str">
        <f>"147,5"</f>
        <v>147,5</v>
      </c>
      <c r="L70" s="16" t="str">
        <f>"98,8103"</f>
        <v>98,8103</v>
      </c>
      <c r="M70" s="14"/>
    </row>
    <row r="71" spans="1:13">
      <c r="A71" s="14" t="s">
        <v>1242</v>
      </c>
      <c r="B71" s="14" t="s">
        <v>1243</v>
      </c>
      <c r="C71" s="14" t="s">
        <v>1244</v>
      </c>
      <c r="D71" s="14" t="str">
        <f>"0,6774"</f>
        <v>0,6774</v>
      </c>
      <c r="E71" s="14" t="s">
        <v>18</v>
      </c>
      <c r="F71" s="14" t="s">
        <v>480</v>
      </c>
      <c r="G71" s="16" t="s">
        <v>22</v>
      </c>
      <c r="H71" s="16" t="s">
        <v>186</v>
      </c>
      <c r="I71" s="15" t="s">
        <v>27</v>
      </c>
      <c r="J71" s="15"/>
      <c r="K71" s="14" t="str">
        <f>"125,0"</f>
        <v>125,0</v>
      </c>
      <c r="L71" s="16" t="str">
        <f>"84,6750"</f>
        <v>84,6750</v>
      </c>
      <c r="M71" s="14" t="s">
        <v>1239</v>
      </c>
    </row>
    <row r="72" spans="1:13">
      <c r="A72" s="14" t="s">
        <v>1245</v>
      </c>
      <c r="B72" s="14" t="s">
        <v>1246</v>
      </c>
      <c r="C72" s="14" t="s">
        <v>1247</v>
      </c>
      <c r="D72" s="14" t="str">
        <f>"0,7061"</f>
        <v>0,7061</v>
      </c>
      <c r="E72" s="14" t="s">
        <v>18</v>
      </c>
      <c r="F72" s="14" t="s">
        <v>1109</v>
      </c>
      <c r="G72" s="16" t="s">
        <v>26</v>
      </c>
      <c r="H72" s="16" t="s">
        <v>252</v>
      </c>
      <c r="I72" s="15" t="s">
        <v>234</v>
      </c>
      <c r="J72" s="15"/>
      <c r="K72" s="14" t="str">
        <f>"112,5"</f>
        <v>112,5</v>
      </c>
      <c r="L72" s="16" t="str">
        <f>"79,4362"</f>
        <v>79,4362</v>
      </c>
      <c r="M72" s="14" t="s">
        <v>1110</v>
      </c>
    </row>
    <row r="73" spans="1:13">
      <c r="A73" s="14" t="s">
        <v>1248</v>
      </c>
      <c r="B73" s="14" t="s">
        <v>1249</v>
      </c>
      <c r="C73" s="14" t="s">
        <v>1250</v>
      </c>
      <c r="D73" s="14" t="str">
        <f>"0,6764"</f>
        <v>0,6764</v>
      </c>
      <c r="E73" s="14" t="s">
        <v>34</v>
      </c>
      <c r="F73" s="14" t="s">
        <v>35</v>
      </c>
      <c r="G73" s="16" t="s">
        <v>234</v>
      </c>
      <c r="H73" s="15" t="s">
        <v>186</v>
      </c>
      <c r="I73" s="16" t="s">
        <v>27</v>
      </c>
      <c r="J73" s="15"/>
      <c r="K73" s="14" t="str">
        <f>"130,0"</f>
        <v>130,0</v>
      </c>
      <c r="L73" s="16" t="str">
        <f>"89,6906"</f>
        <v>89,6906</v>
      </c>
      <c r="M73" s="14"/>
    </row>
    <row r="74" spans="1:13">
      <c r="A74" s="14" t="s">
        <v>1252</v>
      </c>
      <c r="B74" s="14" t="s">
        <v>1253</v>
      </c>
      <c r="C74" s="14" t="s">
        <v>1254</v>
      </c>
      <c r="D74" s="14" t="str">
        <f>"0,6975"</f>
        <v>0,6975</v>
      </c>
      <c r="E74" s="14" t="s">
        <v>103</v>
      </c>
      <c r="F74" s="14" t="s">
        <v>104</v>
      </c>
      <c r="G74" s="16" t="s">
        <v>27</v>
      </c>
      <c r="H74" s="16" t="s">
        <v>236</v>
      </c>
      <c r="I74" s="15" t="s">
        <v>260</v>
      </c>
      <c r="J74" s="15"/>
      <c r="K74" s="14" t="str">
        <f>"135,0"</f>
        <v>135,0</v>
      </c>
      <c r="L74" s="16" t="str">
        <f>"103,2963"</f>
        <v>103,2963</v>
      </c>
      <c r="M74" s="14" t="s">
        <v>1255</v>
      </c>
    </row>
    <row r="75" spans="1:13">
      <c r="A75" s="14" t="s">
        <v>1257</v>
      </c>
      <c r="B75" s="14" t="s">
        <v>1258</v>
      </c>
      <c r="C75" s="14" t="s">
        <v>1259</v>
      </c>
      <c r="D75" s="14" t="str">
        <f>"0,6800"</f>
        <v>0,6800</v>
      </c>
      <c r="E75" s="14" t="s">
        <v>34</v>
      </c>
      <c r="F75" s="14" t="s">
        <v>35</v>
      </c>
      <c r="G75" s="16" t="s">
        <v>27</v>
      </c>
      <c r="H75" s="16" t="s">
        <v>236</v>
      </c>
      <c r="I75" s="15" t="s">
        <v>49</v>
      </c>
      <c r="J75" s="15"/>
      <c r="K75" s="14" t="str">
        <f>"135,0"</f>
        <v>135,0</v>
      </c>
      <c r="L75" s="16" t="str">
        <f>"98,0424"</f>
        <v>98,0424</v>
      </c>
      <c r="M75" s="14" t="s">
        <v>1260</v>
      </c>
    </row>
    <row r="76" spans="1:13">
      <c r="A76" s="14" t="s">
        <v>1262</v>
      </c>
      <c r="B76" s="14" t="s">
        <v>1263</v>
      </c>
      <c r="C76" s="14" t="s">
        <v>1264</v>
      </c>
      <c r="D76" s="14" t="str">
        <f>"0,6849"</f>
        <v>0,6849</v>
      </c>
      <c r="E76" s="14" t="s">
        <v>18</v>
      </c>
      <c r="F76" s="14" t="s">
        <v>1265</v>
      </c>
      <c r="G76" s="16" t="s">
        <v>22</v>
      </c>
      <c r="H76" s="16" t="s">
        <v>234</v>
      </c>
      <c r="I76" s="15" t="s">
        <v>186</v>
      </c>
      <c r="J76" s="15"/>
      <c r="K76" s="14" t="str">
        <f>"120,0"</f>
        <v>120,0</v>
      </c>
      <c r="L76" s="16" t="str">
        <f>"100,6803"</f>
        <v>100,6803</v>
      </c>
      <c r="M76" s="14"/>
    </row>
    <row r="77" spans="1:13">
      <c r="A77" s="14" t="s">
        <v>1266</v>
      </c>
      <c r="B77" s="14" t="s">
        <v>1267</v>
      </c>
      <c r="C77" s="14" t="s">
        <v>1268</v>
      </c>
      <c r="D77" s="14" t="str">
        <f>"0,6779"</f>
        <v>0,6779</v>
      </c>
      <c r="E77" s="14" t="s">
        <v>34</v>
      </c>
      <c r="F77" s="14" t="s">
        <v>35</v>
      </c>
      <c r="G77" s="16" t="s">
        <v>228</v>
      </c>
      <c r="H77" s="16" t="s">
        <v>192</v>
      </c>
      <c r="I77" s="15" t="s">
        <v>22</v>
      </c>
      <c r="J77" s="15"/>
      <c r="K77" s="14" t="str">
        <f>"110,0"</f>
        <v>110,0</v>
      </c>
      <c r="L77" s="16" t="str">
        <f>"92,9130"</f>
        <v>92,9130</v>
      </c>
      <c r="M77" s="14"/>
    </row>
    <row r="78" spans="1:13">
      <c r="A78" s="11" t="s">
        <v>1270</v>
      </c>
      <c r="B78" s="11" t="s">
        <v>1271</v>
      </c>
      <c r="C78" s="11" t="s">
        <v>1272</v>
      </c>
      <c r="D78" s="11" t="str">
        <f>"0,6945"</f>
        <v>0,6945</v>
      </c>
      <c r="E78" s="11" t="s">
        <v>18</v>
      </c>
      <c r="F78" s="11" t="s">
        <v>480</v>
      </c>
      <c r="G78" s="12" t="s">
        <v>51</v>
      </c>
      <c r="H78" s="12" t="s">
        <v>366</v>
      </c>
      <c r="I78" s="13" t="s">
        <v>52</v>
      </c>
      <c r="J78" s="13"/>
      <c r="K78" s="11" t="str">
        <f>"87,5"</f>
        <v>87,5</v>
      </c>
      <c r="L78" s="12" t="str">
        <f>"124,5759"</f>
        <v>124,5759</v>
      </c>
      <c r="M78" s="11"/>
    </row>
    <row r="80" spans="1:13" ht="15">
      <c r="A80" s="41" t="s">
        <v>56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3">
      <c r="A81" s="54" t="s">
        <v>2189</v>
      </c>
      <c r="B81" s="8" t="s">
        <v>1273</v>
      </c>
      <c r="C81" s="8" t="s">
        <v>1274</v>
      </c>
      <c r="D81" s="8" t="str">
        <f>"0,6447"</f>
        <v>0,6447</v>
      </c>
      <c r="E81" s="8" t="s">
        <v>34</v>
      </c>
      <c r="F81" s="8" t="s">
        <v>35</v>
      </c>
      <c r="G81" s="10" t="s">
        <v>106</v>
      </c>
      <c r="H81" s="9" t="s">
        <v>106</v>
      </c>
      <c r="I81" s="10" t="s">
        <v>84</v>
      </c>
      <c r="J81" s="10"/>
      <c r="K81" s="8" t="str">
        <f>"180,0"</f>
        <v>180,0</v>
      </c>
      <c r="L81" s="9" t="str">
        <f>"116,0460"</f>
        <v>116,0460</v>
      </c>
      <c r="M81" s="8" t="s">
        <v>1275</v>
      </c>
    </row>
    <row r="82" spans="1:13">
      <c r="A82" s="33" t="s">
        <v>2190</v>
      </c>
      <c r="B82" s="14" t="s">
        <v>1277</v>
      </c>
      <c r="C82" s="14" t="s">
        <v>1278</v>
      </c>
      <c r="D82" s="14" t="str">
        <f>"0,6503"</f>
        <v>0,6503</v>
      </c>
      <c r="E82" s="14" t="s">
        <v>1065</v>
      </c>
      <c r="F82" s="14" t="s">
        <v>1279</v>
      </c>
      <c r="G82" s="16" t="s">
        <v>93</v>
      </c>
      <c r="H82" s="15" t="s">
        <v>94</v>
      </c>
      <c r="I82" s="15" t="s">
        <v>94</v>
      </c>
      <c r="J82" s="15"/>
      <c r="K82" s="14" t="str">
        <f>"170,0"</f>
        <v>170,0</v>
      </c>
      <c r="L82" s="16" t="str">
        <f>"110,5510"</f>
        <v>110,5510</v>
      </c>
      <c r="M82" s="14"/>
    </row>
    <row r="83" spans="1:13">
      <c r="A83" s="33" t="s">
        <v>2191</v>
      </c>
      <c r="B83" s="14" t="s">
        <v>1281</v>
      </c>
      <c r="C83" s="14" t="s">
        <v>1274</v>
      </c>
      <c r="D83" s="14" t="str">
        <f>"0,6447"</f>
        <v>0,6447</v>
      </c>
      <c r="E83" s="14" t="s">
        <v>34</v>
      </c>
      <c r="F83" s="14" t="s">
        <v>35</v>
      </c>
      <c r="G83" s="16" t="s">
        <v>469</v>
      </c>
      <c r="H83" s="16" t="s">
        <v>55</v>
      </c>
      <c r="I83" s="16" t="s">
        <v>136</v>
      </c>
      <c r="J83" s="15"/>
      <c r="K83" s="14" t="str">
        <f>"165,0"</f>
        <v>165,0</v>
      </c>
      <c r="L83" s="16" t="str">
        <f>"106,3755"</f>
        <v>106,3755</v>
      </c>
      <c r="M83" s="14" t="s">
        <v>361</v>
      </c>
    </row>
    <row r="84" spans="1:13">
      <c r="A84" s="33" t="s">
        <v>2192</v>
      </c>
      <c r="B84" s="14" t="s">
        <v>1283</v>
      </c>
      <c r="C84" s="14" t="s">
        <v>1284</v>
      </c>
      <c r="D84" s="14" t="str">
        <f>"0,6440"</f>
        <v>0,6440</v>
      </c>
      <c r="E84" s="14" t="s">
        <v>18</v>
      </c>
      <c r="F84" s="14" t="s">
        <v>384</v>
      </c>
      <c r="G84" s="16" t="s">
        <v>54</v>
      </c>
      <c r="H84" s="16" t="s">
        <v>1285</v>
      </c>
      <c r="I84" s="15" t="s">
        <v>39</v>
      </c>
      <c r="J84" s="15"/>
      <c r="K84" s="14" t="str">
        <f>"162,5"</f>
        <v>162,5</v>
      </c>
      <c r="L84" s="16" t="str">
        <f>"104,6500"</f>
        <v>104,6500</v>
      </c>
      <c r="M84" s="14"/>
    </row>
    <row r="85" spans="1:13">
      <c r="A85" s="33" t="s">
        <v>2193</v>
      </c>
      <c r="B85" s="14" t="s">
        <v>681</v>
      </c>
      <c r="C85" s="14" t="s">
        <v>1287</v>
      </c>
      <c r="D85" s="14" t="str">
        <f>"0,6413"</f>
        <v>0,6413</v>
      </c>
      <c r="E85" s="14" t="s">
        <v>34</v>
      </c>
      <c r="F85" s="14" t="s">
        <v>35</v>
      </c>
      <c r="G85" s="16" t="s">
        <v>54</v>
      </c>
      <c r="H85" s="16" t="s">
        <v>55</v>
      </c>
      <c r="I85" s="15" t="s">
        <v>136</v>
      </c>
      <c r="J85" s="15"/>
      <c r="K85" s="14" t="str">
        <f>"160,0"</f>
        <v>160,0</v>
      </c>
      <c r="L85" s="16" t="str">
        <f>"102,6080"</f>
        <v>102,6080</v>
      </c>
      <c r="M85" s="14" t="s">
        <v>1234</v>
      </c>
    </row>
    <row r="86" spans="1:13">
      <c r="A86" s="33" t="s">
        <v>2194</v>
      </c>
      <c r="B86" s="14" t="s">
        <v>1289</v>
      </c>
      <c r="C86" s="14" t="s">
        <v>1290</v>
      </c>
      <c r="D86" s="14" t="str">
        <f>"0,6601"</f>
        <v>0,6601</v>
      </c>
      <c r="E86" s="14" t="s">
        <v>73</v>
      </c>
      <c r="F86" s="14" t="s">
        <v>863</v>
      </c>
      <c r="G86" s="15" t="s">
        <v>64</v>
      </c>
      <c r="H86" s="16" t="s">
        <v>54</v>
      </c>
      <c r="I86" s="15" t="s">
        <v>679</v>
      </c>
      <c r="J86" s="15"/>
      <c r="K86" s="14" t="str">
        <f>"155,0"</f>
        <v>155,0</v>
      </c>
      <c r="L86" s="16" t="str">
        <f>"102,3155"</f>
        <v>102,3155</v>
      </c>
      <c r="M86" s="14" t="s">
        <v>1291</v>
      </c>
    </row>
    <row r="87" spans="1:13">
      <c r="A87" s="33" t="s">
        <v>2195</v>
      </c>
      <c r="B87" s="14" t="s">
        <v>1293</v>
      </c>
      <c r="C87" s="14" t="s">
        <v>1294</v>
      </c>
      <c r="D87" s="14" t="str">
        <f>"0,6495"</f>
        <v>0,6495</v>
      </c>
      <c r="E87" s="14" t="s">
        <v>1065</v>
      </c>
      <c r="F87" s="14" t="s">
        <v>1279</v>
      </c>
      <c r="G87" s="16" t="s">
        <v>50</v>
      </c>
      <c r="H87" s="16" t="s">
        <v>54</v>
      </c>
      <c r="I87" s="15" t="s">
        <v>679</v>
      </c>
      <c r="J87" s="15"/>
      <c r="K87" s="14" t="str">
        <f>"155,0"</f>
        <v>155,0</v>
      </c>
      <c r="L87" s="16" t="str">
        <f>"100,6725"</f>
        <v>100,6725</v>
      </c>
      <c r="M87" s="14"/>
    </row>
    <row r="88" spans="1:13">
      <c r="A88" s="33" t="s">
        <v>2196</v>
      </c>
      <c r="B88" s="14" t="s">
        <v>657</v>
      </c>
      <c r="C88" s="14" t="s">
        <v>658</v>
      </c>
      <c r="D88" s="14" t="str">
        <f>"0,6428"</f>
        <v>0,6428</v>
      </c>
      <c r="E88" s="14" t="s">
        <v>34</v>
      </c>
      <c r="F88" s="14" t="s">
        <v>35</v>
      </c>
      <c r="G88" s="16" t="s">
        <v>49</v>
      </c>
      <c r="H88" s="16" t="s">
        <v>54</v>
      </c>
      <c r="I88" s="15" t="s">
        <v>55</v>
      </c>
      <c r="J88" s="15"/>
      <c r="K88" s="14" t="str">
        <f>"155,0"</f>
        <v>155,0</v>
      </c>
      <c r="L88" s="16" t="str">
        <f>"99,6340"</f>
        <v>99,6340</v>
      </c>
      <c r="M88" s="14" t="s">
        <v>659</v>
      </c>
    </row>
    <row r="89" spans="1:13">
      <c r="A89" s="33" t="s">
        <v>2197</v>
      </c>
      <c r="B89" s="14" t="s">
        <v>1295</v>
      </c>
      <c r="C89" s="14" t="s">
        <v>1296</v>
      </c>
      <c r="D89" s="14" t="str">
        <f>"0,6421"</f>
        <v>0,6421</v>
      </c>
      <c r="E89" s="14" t="s">
        <v>34</v>
      </c>
      <c r="F89" s="14" t="s">
        <v>35</v>
      </c>
      <c r="G89" s="16" t="s">
        <v>49</v>
      </c>
      <c r="H89" s="16" t="s">
        <v>50</v>
      </c>
      <c r="I89" s="16" t="s">
        <v>64</v>
      </c>
      <c r="J89" s="15"/>
      <c r="K89" s="14" t="str">
        <f>"150,0"</f>
        <v>150,0</v>
      </c>
      <c r="L89" s="16" t="str">
        <f>"96,3150"</f>
        <v>96,3150</v>
      </c>
      <c r="M89" s="14" t="s">
        <v>1297</v>
      </c>
    </row>
    <row r="90" spans="1:13">
      <c r="A90" s="33" t="s">
        <v>2198</v>
      </c>
      <c r="B90" s="14" t="s">
        <v>1298</v>
      </c>
      <c r="C90" s="14" t="s">
        <v>1299</v>
      </c>
      <c r="D90" s="14" t="str">
        <f>"0,6384"</f>
        <v>0,6384</v>
      </c>
      <c r="E90" s="14" t="s">
        <v>34</v>
      </c>
      <c r="F90" s="14" t="s">
        <v>35</v>
      </c>
      <c r="G90" s="16" t="s">
        <v>49</v>
      </c>
      <c r="H90" s="16" t="s">
        <v>424</v>
      </c>
      <c r="I90" s="15" t="s">
        <v>50</v>
      </c>
      <c r="J90" s="15"/>
      <c r="K90" s="14" t="str">
        <f>"142,5"</f>
        <v>142,5</v>
      </c>
      <c r="L90" s="16" t="str">
        <f>"90,9720"</f>
        <v>90,9720</v>
      </c>
      <c r="M90" s="14"/>
    </row>
    <row r="91" spans="1:13">
      <c r="A91" s="33" t="s">
        <v>2199</v>
      </c>
      <c r="B91" s="14" t="s">
        <v>1300</v>
      </c>
      <c r="C91" s="14" t="s">
        <v>1301</v>
      </c>
      <c r="D91" s="14" t="str">
        <f>"0,6459"</f>
        <v>0,6459</v>
      </c>
      <c r="E91" s="14" t="s">
        <v>34</v>
      </c>
      <c r="F91" s="14" t="s">
        <v>35</v>
      </c>
      <c r="G91" s="16" t="s">
        <v>611</v>
      </c>
      <c r="H91" s="16" t="s">
        <v>236</v>
      </c>
      <c r="I91" s="16" t="s">
        <v>260</v>
      </c>
      <c r="J91" s="15"/>
      <c r="K91" s="14" t="str">
        <f>"137,5"</f>
        <v>137,5</v>
      </c>
      <c r="L91" s="16" t="str">
        <f>"88,8113"</f>
        <v>88,8113</v>
      </c>
      <c r="M91" s="14" t="s">
        <v>1104</v>
      </c>
    </row>
    <row r="92" spans="1:13">
      <c r="A92" s="33" t="s">
        <v>2200</v>
      </c>
      <c r="B92" s="14" t="s">
        <v>1302</v>
      </c>
      <c r="C92" s="14" t="s">
        <v>1303</v>
      </c>
      <c r="D92" s="14" t="str">
        <f>"0,6406"</f>
        <v>0,6406</v>
      </c>
      <c r="E92" s="14" t="s">
        <v>34</v>
      </c>
      <c r="F92" s="14" t="s">
        <v>35</v>
      </c>
      <c r="G92" s="15" t="s">
        <v>236</v>
      </c>
      <c r="H92" s="16" t="s">
        <v>236</v>
      </c>
      <c r="I92" s="15" t="s">
        <v>54</v>
      </c>
      <c r="J92" s="15"/>
      <c r="K92" s="14" t="str">
        <f>"135,0"</f>
        <v>135,0</v>
      </c>
      <c r="L92" s="16" t="str">
        <f>"86,4810"</f>
        <v>86,4810</v>
      </c>
      <c r="M92" s="14"/>
    </row>
    <row r="93" spans="1:13">
      <c r="A93" s="33" t="s">
        <v>2201</v>
      </c>
      <c r="B93" s="14" t="s">
        <v>1304</v>
      </c>
      <c r="C93" s="14" t="s">
        <v>60</v>
      </c>
      <c r="D93" s="14" t="str">
        <f>"0,6388"</f>
        <v>0,6388</v>
      </c>
      <c r="E93" s="14" t="s">
        <v>34</v>
      </c>
      <c r="F93" s="14" t="s">
        <v>35</v>
      </c>
      <c r="G93" s="16" t="s">
        <v>579</v>
      </c>
      <c r="H93" s="15" t="s">
        <v>236</v>
      </c>
      <c r="I93" s="15" t="s">
        <v>236</v>
      </c>
      <c r="J93" s="15"/>
      <c r="K93" s="14" t="str">
        <f>"127,5"</f>
        <v>127,5</v>
      </c>
      <c r="L93" s="16" t="str">
        <f>"81,4470"</f>
        <v>81,4470</v>
      </c>
      <c r="M93" s="14" t="s">
        <v>1305</v>
      </c>
    </row>
    <row r="94" spans="1:13">
      <c r="A94" s="33" t="s">
        <v>2202</v>
      </c>
      <c r="B94" s="14" t="s">
        <v>1306</v>
      </c>
      <c r="C94" s="14" t="s">
        <v>1307</v>
      </c>
      <c r="D94" s="14" t="str">
        <f>"0,6680"</f>
        <v>0,6680</v>
      </c>
      <c r="E94" s="14" t="s">
        <v>18</v>
      </c>
      <c r="F94" s="14" t="s">
        <v>1308</v>
      </c>
      <c r="G94" s="16" t="s">
        <v>21</v>
      </c>
      <c r="H94" s="16" t="s">
        <v>192</v>
      </c>
      <c r="I94" s="15" t="s">
        <v>22</v>
      </c>
      <c r="J94" s="15"/>
      <c r="K94" s="14" t="str">
        <f>"110,0"</f>
        <v>110,0</v>
      </c>
      <c r="L94" s="16" t="str">
        <f>"73,4800"</f>
        <v>73,4800</v>
      </c>
      <c r="M94" s="14"/>
    </row>
    <row r="95" spans="1:13">
      <c r="A95" s="33" t="s">
        <v>2203</v>
      </c>
      <c r="B95" s="14" t="s">
        <v>1309</v>
      </c>
      <c r="C95" s="14" t="s">
        <v>862</v>
      </c>
      <c r="D95" s="14" t="str">
        <f>"0,6432"</f>
        <v>0,6432</v>
      </c>
      <c r="E95" s="14" t="s">
        <v>34</v>
      </c>
      <c r="F95" s="14" t="s">
        <v>35</v>
      </c>
      <c r="G95" s="16" t="s">
        <v>53</v>
      </c>
      <c r="H95" s="16" t="s">
        <v>192</v>
      </c>
      <c r="I95" s="15" t="s">
        <v>234</v>
      </c>
      <c r="J95" s="15"/>
      <c r="K95" s="14" t="str">
        <f>"110,0"</f>
        <v>110,0</v>
      </c>
      <c r="L95" s="16" t="str">
        <f>"70,7520"</f>
        <v>70,7520</v>
      </c>
      <c r="M95" s="14" t="s">
        <v>1310</v>
      </c>
    </row>
    <row r="96" spans="1:13">
      <c r="A96" s="14" t="s">
        <v>1311</v>
      </c>
      <c r="B96" s="14" t="s">
        <v>1312</v>
      </c>
      <c r="C96" s="14" t="s">
        <v>1313</v>
      </c>
      <c r="D96" s="14" t="str">
        <f>"0,6463"</f>
        <v>0,6463</v>
      </c>
      <c r="E96" s="14" t="s">
        <v>18</v>
      </c>
      <c r="F96" s="14" t="s">
        <v>1308</v>
      </c>
      <c r="G96" s="15" t="s">
        <v>186</v>
      </c>
      <c r="H96" s="15" t="s">
        <v>186</v>
      </c>
      <c r="I96" s="15" t="s">
        <v>186</v>
      </c>
      <c r="J96" s="15"/>
      <c r="K96" s="14" t="str">
        <f>"0.00"</f>
        <v>0.00</v>
      </c>
      <c r="L96" s="16" t="str">
        <f>"0,0000"</f>
        <v>0,0000</v>
      </c>
      <c r="M96" s="14" t="s">
        <v>1314</v>
      </c>
    </row>
    <row r="97" spans="1:13">
      <c r="A97" s="14" t="s">
        <v>1315</v>
      </c>
      <c r="B97" s="14" t="s">
        <v>1316</v>
      </c>
      <c r="C97" s="14" t="s">
        <v>1317</v>
      </c>
      <c r="D97" s="14" t="str">
        <f>"0,6417"</f>
        <v>0,6417</v>
      </c>
      <c r="E97" s="14" t="s">
        <v>18</v>
      </c>
      <c r="F97" s="14" t="s">
        <v>480</v>
      </c>
      <c r="G97" s="15" t="s">
        <v>50</v>
      </c>
      <c r="H97" s="15" t="s">
        <v>50</v>
      </c>
      <c r="I97" s="15"/>
      <c r="J97" s="15"/>
      <c r="K97" s="14" t="str">
        <f>"0.00"</f>
        <v>0.00</v>
      </c>
      <c r="L97" s="16" t="str">
        <f>"0,0000"</f>
        <v>0,0000</v>
      </c>
      <c r="M97" s="14"/>
    </row>
    <row r="98" spans="1:13">
      <c r="A98" s="14" t="s">
        <v>1318</v>
      </c>
      <c r="B98" s="14" t="s">
        <v>1319</v>
      </c>
      <c r="C98" s="14" t="s">
        <v>1274</v>
      </c>
      <c r="D98" s="14" t="str">
        <f>"0,6447"</f>
        <v>0,6447</v>
      </c>
      <c r="E98" s="14" t="s">
        <v>34</v>
      </c>
      <c r="F98" s="14" t="s">
        <v>35</v>
      </c>
      <c r="G98" s="16" t="s">
        <v>469</v>
      </c>
      <c r="H98" s="16" t="s">
        <v>55</v>
      </c>
      <c r="I98" s="16" t="s">
        <v>136</v>
      </c>
      <c r="J98" s="15"/>
      <c r="K98" s="14" t="str">
        <f>"165,0"</f>
        <v>165,0</v>
      </c>
      <c r="L98" s="16" t="str">
        <f>"107,4393"</f>
        <v>107,4393</v>
      </c>
      <c r="M98" s="14" t="s">
        <v>361</v>
      </c>
    </row>
    <row r="99" spans="1:13">
      <c r="A99" s="14" t="s">
        <v>1321</v>
      </c>
      <c r="B99" s="14" t="s">
        <v>1322</v>
      </c>
      <c r="C99" s="14" t="s">
        <v>81</v>
      </c>
      <c r="D99" s="14" t="str">
        <f>"0,6436"</f>
        <v>0,6436</v>
      </c>
      <c r="E99" s="14" t="s">
        <v>103</v>
      </c>
      <c r="F99" s="14" t="s">
        <v>104</v>
      </c>
      <c r="G99" s="15" t="s">
        <v>55</v>
      </c>
      <c r="H99" s="16" t="s">
        <v>55</v>
      </c>
      <c r="I99" s="15" t="s">
        <v>1285</v>
      </c>
      <c r="J99" s="15"/>
      <c r="K99" s="14" t="str">
        <f>"160,0"</f>
        <v>160,0</v>
      </c>
      <c r="L99" s="16" t="str">
        <f>"105,0355"</f>
        <v>105,0355</v>
      </c>
      <c r="M99" s="14"/>
    </row>
    <row r="100" spans="1:13">
      <c r="A100" s="14" t="s">
        <v>1323</v>
      </c>
      <c r="B100" s="14" t="s">
        <v>1324</v>
      </c>
      <c r="C100" s="14" t="s">
        <v>1301</v>
      </c>
      <c r="D100" s="14" t="str">
        <f>"0,6459"</f>
        <v>0,6459</v>
      </c>
      <c r="E100" s="14" t="s">
        <v>34</v>
      </c>
      <c r="F100" s="14" t="s">
        <v>35</v>
      </c>
      <c r="G100" s="16" t="s">
        <v>49</v>
      </c>
      <c r="H100" s="15" t="s">
        <v>64</v>
      </c>
      <c r="I100" s="15" t="s">
        <v>64</v>
      </c>
      <c r="J100" s="15"/>
      <c r="K100" s="14" t="str">
        <f>"140,0"</f>
        <v>140,0</v>
      </c>
      <c r="L100" s="16" t="str">
        <f>"90,4260"</f>
        <v>90,4260</v>
      </c>
      <c r="M100" s="14"/>
    </row>
    <row r="101" spans="1:13">
      <c r="A101" s="14" t="s">
        <v>1326</v>
      </c>
      <c r="B101" s="14" t="s">
        <v>1327</v>
      </c>
      <c r="C101" s="14" t="s">
        <v>1328</v>
      </c>
      <c r="D101" s="14" t="str">
        <f>"0,6424"</f>
        <v>0,6424</v>
      </c>
      <c r="E101" s="14" t="s">
        <v>34</v>
      </c>
      <c r="F101" s="14" t="s">
        <v>35</v>
      </c>
      <c r="G101" s="15" t="s">
        <v>424</v>
      </c>
      <c r="H101" s="16" t="s">
        <v>424</v>
      </c>
      <c r="I101" s="16" t="s">
        <v>469</v>
      </c>
      <c r="J101" s="15"/>
      <c r="K101" s="14" t="str">
        <f>"152,5"</f>
        <v>152,5</v>
      </c>
      <c r="L101" s="16" t="str">
        <f>"107,4687"</f>
        <v>107,4687</v>
      </c>
      <c r="M101" s="14" t="s">
        <v>1329</v>
      </c>
    </row>
    <row r="102" spans="1:13">
      <c r="A102" s="14" t="s">
        <v>1331</v>
      </c>
      <c r="B102" s="14" t="s">
        <v>1332</v>
      </c>
      <c r="C102" s="14" t="s">
        <v>1317</v>
      </c>
      <c r="D102" s="14" t="str">
        <f>"0,6417"</f>
        <v>0,6417</v>
      </c>
      <c r="E102" s="14" t="s">
        <v>34</v>
      </c>
      <c r="F102" s="14" t="s">
        <v>35</v>
      </c>
      <c r="G102" s="16" t="s">
        <v>64</v>
      </c>
      <c r="H102" s="16" t="s">
        <v>54</v>
      </c>
      <c r="I102" s="16" t="s">
        <v>55</v>
      </c>
      <c r="J102" s="15"/>
      <c r="K102" s="14" t="str">
        <f>"160,0"</f>
        <v>160,0</v>
      </c>
      <c r="L102" s="16" t="str">
        <f>"117,7648"</f>
        <v>117,7648</v>
      </c>
      <c r="M102" s="14"/>
    </row>
    <row r="103" spans="1:13">
      <c r="A103" s="11" t="s">
        <v>1334</v>
      </c>
      <c r="B103" s="11" t="s">
        <v>1335</v>
      </c>
      <c r="C103" s="11" t="s">
        <v>1317</v>
      </c>
      <c r="D103" s="11" t="str">
        <f>"0,6417"</f>
        <v>0,6417</v>
      </c>
      <c r="E103" s="11" t="s">
        <v>18</v>
      </c>
      <c r="F103" s="11" t="s">
        <v>48</v>
      </c>
      <c r="G103" s="12" t="s">
        <v>50</v>
      </c>
      <c r="H103" s="12" t="s">
        <v>64</v>
      </c>
      <c r="I103" s="12" t="s">
        <v>54</v>
      </c>
      <c r="J103" s="13"/>
      <c r="K103" s="11" t="str">
        <f>"155,0"</f>
        <v>155,0</v>
      </c>
      <c r="L103" s="12" t="str">
        <f>"130,7945"</f>
        <v>130,7945</v>
      </c>
      <c r="M103" s="11"/>
    </row>
    <row r="105" spans="1:13" ht="15">
      <c r="A105" s="41" t="s">
        <v>86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</row>
    <row r="106" spans="1:13">
      <c r="A106" s="8" t="s">
        <v>1337</v>
      </c>
      <c r="B106" s="8" t="s">
        <v>1338</v>
      </c>
      <c r="C106" s="8" t="s">
        <v>1339</v>
      </c>
      <c r="D106" s="8" t="str">
        <f>"0,6172"</f>
        <v>0,6172</v>
      </c>
      <c r="E106" s="8" t="s">
        <v>18</v>
      </c>
      <c r="F106" s="8" t="s">
        <v>1340</v>
      </c>
      <c r="G106" s="9" t="s">
        <v>55</v>
      </c>
      <c r="H106" s="9" t="s">
        <v>136</v>
      </c>
      <c r="I106" s="9" t="s">
        <v>93</v>
      </c>
      <c r="J106" s="10"/>
      <c r="K106" s="8" t="str">
        <f>"170,0"</f>
        <v>170,0</v>
      </c>
      <c r="L106" s="9" t="str">
        <f>"104,9240"</f>
        <v>104,9240</v>
      </c>
      <c r="M106" s="8"/>
    </row>
    <row r="107" spans="1:13">
      <c r="A107" s="14" t="s">
        <v>1342</v>
      </c>
      <c r="B107" s="14" t="s">
        <v>1343</v>
      </c>
      <c r="C107" s="14" t="s">
        <v>1339</v>
      </c>
      <c r="D107" s="14" t="str">
        <f>"0,6172"</f>
        <v>0,6172</v>
      </c>
      <c r="E107" s="14" t="s">
        <v>34</v>
      </c>
      <c r="F107" s="14" t="s">
        <v>35</v>
      </c>
      <c r="G107" s="16" t="s">
        <v>54</v>
      </c>
      <c r="H107" s="15" t="s">
        <v>136</v>
      </c>
      <c r="I107" s="16" t="s">
        <v>136</v>
      </c>
      <c r="J107" s="15"/>
      <c r="K107" s="14" t="str">
        <f>"165,0"</f>
        <v>165,0</v>
      </c>
      <c r="L107" s="16" t="str">
        <f>"101,8380"</f>
        <v>101,8380</v>
      </c>
      <c r="M107" s="14" t="s">
        <v>1344</v>
      </c>
    </row>
    <row r="108" spans="1:13">
      <c r="A108" s="14" t="s">
        <v>1346</v>
      </c>
      <c r="B108" s="14" t="s">
        <v>1347</v>
      </c>
      <c r="C108" s="14" t="s">
        <v>873</v>
      </c>
      <c r="D108" s="14" t="str">
        <f>"0,6116"</f>
        <v>0,6116</v>
      </c>
      <c r="E108" s="14" t="s">
        <v>18</v>
      </c>
      <c r="F108" s="14" t="s">
        <v>1348</v>
      </c>
      <c r="G108" s="16" t="s">
        <v>55</v>
      </c>
      <c r="H108" s="15" t="s">
        <v>136</v>
      </c>
      <c r="I108" s="16" t="s">
        <v>136</v>
      </c>
      <c r="J108" s="15"/>
      <c r="K108" s="14" t="str">
        <f>"165,0"</f>
        <v>165,0</v>
      </c>
      <c r="L108" s="16" t="str">
        <f>"100,9140"</f>
        <v>100,9140</v>
      </c>
      <c r="M108" s="14" t="s">
        <v>1349</v>
      </c>
    </row>
    <row r="109" spans="1:13">
      <c r="A109" s="14" t="s">
        <v>1351</v>
      </c>
      <c r="B109" s="14" t="s">
        <v>1352</v>
      </c>
      <c r="C109" s="14" t="s">
        <v>1353</v>
      </c>
      <c r="D109" s="14" t="str">
        <f>"0,6093"</f>
        <v>0,6093</v>
      </c>
      <c r="E109" s="14" t="s">
        <v>34</v>
      </c>
      <c r="F109" s="14" t="s">
        <v>35</v>
      </c>
      <c r="G109" s="16" t="s">
        <v>55</v>
      </c>
      <c r="H109" s="16" t="s">
        <v>136</v>
      </c>
      <c r="I109" s="15" t="s">
        <v>39</v>
      </c>
      <c r="J109" s="15"/>
      <c r="K109" s="14" t="str">
        <f>"165,0"</f>
        <v>165,0</v>
      </c>
      <c r="L109" s="16" t="str">
        <f>"100,5345"</f>
        <v>100,5345</v>
      </c>
      <c r="M109" s="14"/>
    </row>
    <row r="110" spans="1:13">
      <c r="A110" s="14" t="s">
        <v>1354</v>
      </c>
      <c r="B110" s="14" t="s">
        <v>1355</v>
      </c>
      <c r="C110" s="14" t="s">
        <v>1356</v>
      </c>
      <c r="D110" s="14" t="str">
        <f>"0,6260"</f>
        <v>0,6260</v>
      </c>
      <c r="E110" s="14" t="s">
        <v>34</v>
      </c>
      <c r="F110" s="14" t="s">
        <v>35</v>
      </c>
      <c r="G110" s="16" t="s">
        <v>50</v>
      </c>
      <c r="H110" s="16" t="s">
        <v>54</v>
      </c>
      <c r="I110" s="15" t="s">
        <v>136</v>
      </c>
      <c r="J110" s="15"/>
      <c r="K110" s="14" t="str">
        <f>"155,0"</f>
        <v>155,0</v>
      </c>
      <c r="L110" s="16" t="str">
        <f>"97,0300"</f>
        <v>97,0300</v>
      </c>
      <c r="M110" s="14" t="s">
        <v>1357</v>
      </c>
    </row>
    <row r="111" spans="1:13">
      <c r="A111" s="14" t="s">
        <v>1358</v>
      </c>
      <c r="B111" s="14" t="s">
        <v>1359</v>
      </c>
      <c r="C111" s="14" t="s">
        <v>1360</v>
      </c>
      <c r="D111" s="14" t="str">
        <f>"0,6101"</f>
        <v>0,6101</v>
      </c>
      <c r="E111" s="14" t="s">
        <v>18</v>
      </c>
      <c r="F111" s="14" t="s">
        <v>1308</v>
      </c>
      <c r="G111" s="15" t="s">
        <v>64</v>
      </c>
      <c r="H111" s="16" t="s">
        <v>64</v>
      </c>
      <c r="I111" s="15" t="s">
        <v>54</v>
      </c>
      <c r="J111" s="15"/>
      <c r="K111" s="14" t="str">
        <f>"150,0"</f>
        <v>150,0</v>
      </c>
      <c r="L111" s="16" t="str">
        <f>"91,5150"</f>
        <v>91,5150</v>
      </c>
      <c r="M111" s="14"/>
    </row>
    <row r="112" spans="1:13">
      <c r="A112" s="14" t="s">
        <v>1361</v>
      </c>
      <c r="B112" s="14" t="s">
        <v>1362</v>
      </c>
      <c r="C112" s="14" t="s">
        <v>892</v>
      </c>
      <c r="D112" s="14" t="str">
        <f>"0,6129"</f>
        <v>0,6129</v>
      </c>
      <c r="E112" s="14" t="s">
        <v>18</v>
      </c>
      <c r="F112" s="14" t="s">
        <v>1363</v>
      </c>
      <c r="G112" s="16" t="s">
        <v>424</v>
      </c>
      <c r="H112" s="15" t="s">
        <v>425</v>
      </c>
      <c r="I112" s="16" t="s">
        <v>425</v>
      </c>
      <c r="J112" s="15"/>
      <c r="K112" s="14" t="str">
        <f>"147,5"</f>
        <v>147,5</v>
      </c>
      <c r="L112" s="16" t="str">
        <f>"90,4028"</f>
        <v>90,4028</v>
      </c>
      <c r="M112" s="14" t="s">
        <v>1364</v>
      </c>
    </row>
    <row r="113" spans="1:13">
      <c r="A113" s="14" t="s">
        <v>1365</v>
      </c>
      <c r="B113" s="14" t="s">
        <v>1366</v>
      </c>
      <c r="C113" s="14" t="s">
        <v>1016</v>
      </c>
      <c r="D113" s="14" t="str">
        <f>"0,6139"</f>
        <v>0,6139</v>
      </c>
      <c r="E113" s="14" t="s">
        <v>18</v>
      </c>
      <c r="F113" s="14" t="s">
        <v>686</v>
      </c>
      <c r="G113" s="15" t="s">
        <v>425</v>
      </c>
      <c r="H113" s="15" t="s">
        <v>425</v>
      </c>
      <c r="I113" s="15" t="s">
        <v>425</v>
      </c>
      <c r="J113" s="15"/>
      <c r="K113" s="14" t="str">
        <f>"0.00"</f>
        <v>0.00</v>
      </c>
      <c r="L113" s="16" t="str">
        <f>"0,0000"</f>
        <v>0,0000</v>
      </c>
      <c r="M113" s="14"/>
    </row>
    <row r="114" spans="1:13">
      <c r="A114" s="14" t="s">
        <v>1367</v>
      </c>
      <c r="B114" s="14" t="s">
        <v>1368</v>
      </c>
      <c r="C114" s="14" t="s">
        <v>1353</v>
      </c>
      <c r="D114" s="14" t="str">
        <f>"0,6093"</f>
        <v>0,6093</v>
      </c>
      <c r="E114" s="14" t="s">
        <v>34</v>
      </c>
      <c r="F114" s="14" t="s">
        <v>35</v>
      </c>
      <c r="G114" s="16" t="s">
        <v>49</v>
      </c>
      <c r="H114" s="16" t="s">
        <v>64</v>
      </c>
      <c r="I114" s="15" t="s">
        <v>679</v>
      </c>
      <c r="J114" s="15"/>
      <c r="K114" s="14" t="str">
        <f>"150,0"</f>
        <v>150,0</v>
      </c>
      <c r="L114" s="16" t="str">
        <f>"92,3090"</f>
        <v>92,3090</v>
      </c>
      <c r="M114" s="14"/>
    </row>
    <row r="115" spans="1:13">
      <c r="A115" s="14" t="s">
        <v>1369</v>
      </c>
      <c r="B115" s="14" t="s">
        <v>1370</v>
      </c>
      <c r="C115" s="14" t="s">
        <v>467</v>
      </c>
      <c r="D115" s="14" t="str">
        <f>"0,6123"</f>
        <v>0,6123</v>
      </c>
      <c r="E115" s="14" t="s">
        <v>34</v>
      </c>
      <c r="F115" s="14" t="s">
        <v>35</v>
      </c>
      <c r="G115" s="16" t="s">
        <v>234</v>
      </c>
      <c r="H115" s="16" t="s">
        <v>186</v>
      </c>
      <c r="I115" s="16" t="s">
        <v>27</v>
      </c>
      <c r="J115" s="15"/>
      <c r="K115" s="14" t="str">
        <f>"130,0"</f>
        <v>130,0</v>
      </c>
      <c r="L115" s="16" t="str">
        <f>"81,1910"</f>
        <v>81,1910</v>
      </c>
      <c r="M115" s="14" t="s">
        <v>1371</v>
      </c>
    </row>
    <row r="116" spans="1:13">
      <c r="A116" s="14" t="s">
        <v>1372</v>
      </c>
      <c r="B116" s="14" t="s">
        <v>1373</v>
      </c>
      <c r="C116" s="14" t="s">
        <v>1374</v>
      </c>
      <c r="D116" s="14" t="str">
        <f>"0,6131"</f>
        <v>0,6131</v>
      </c>
      <c r="E116" s="14" t="s">
        <v>18</v>
      </c>
      <c r="F116" s="14" t="s">
        <v>686</v>
      </c>
      <c r="G116" s="16" t="s">
        <v>22</v>
      </c>
      <c r="H116" s="16" t="s">
        <v>578</v>
      </c>
      <c r="I116" s="16" t="s">
        <v>186</v>
      </c>
      <c r="J116" s="15"/>
      <c r="K116" s="14" t="str">
        <f>"125,0"</f>
        <v>125,0</v>
      </c>
      <c r="L116" s="16" t="str">
        <f>"79,0133"</f>
        <v>79,0133</v>
      </c>
      <c r="M116" s="14" t="s">
        <v>1375</v>
      </c>
    </row>
    <row r="117" spans="1:13">
      <c r="A117" s="14" t="s">
        <v>1377</v>
      </c>
      <c r="B117" s="14" t="s">
        <v>1378</v>
      </c>
      <c r="C117" s="14" t="s">
        <v>1360</v>
      </c>
      <c r="D117" s="14" t="str">
        <f>"0,6101"</f>
        <v>0,6101</v>
      </c>
      <c r="E117" s="14" t="s">
        <v>18</v>
      </c>
      <c r="F117" s="14" t="s">
        <v>874</v>
      </c>
      <c r="G117" s="16" t="s">
        <v>64</v>
      </c>
      <c r="H117" s="16" t="s">
        <v>54</v>
      </c>
      <c r="I117" s="15" t="s">
        <v>679</v>
      </c>
      <c r="J117" s="15"/>
      <c r="K117" s="14" t="str">
        <f>"155,0"</f>
        <v>155,0</v>
      </c>
      <c r="L117" s="16" t="str">
        <f>"99,7666"</f>
        <v>99,7666</v>
      </c>
      <c r="M117" s="14" t="s">
        <v>1190</v>
      </c>
    </row>
    <row r="118" spans="1:13">
      <c r="A118" s="14" t="s">
        <v>1380</v>
      </c>
      <c r="B118" s="14" t="s">
        <v>1381</v>
      </c>
      <c r="C118" s="14" t="s">
        <v>277</v>
      </c>
      <c r="D118" s="14" t="str">
        <f>"0,6111"</f>
        <v>0,6111</v>
      </c>
      <c r="E118" s="14" t="s">
        <v>18</v>
      </c>
      <c r="F118" s="14" t="s">
        <v>384</v>
      </c>
      <c r="G118" s="16" t="s">
        <v>50</v>
      </c>
      <c r="H118" s="16" t="s">
        <v>64</v>
      </c>
      <c r="I118" s="15" t="s">
        <v>55</v>
      </c>
      <c r="J118" s="15"/>
      <c r="K118" s="14" t="str">
        <f>"150,0"</f>
        <v>150,0</v>
      </c>
      <c r="L118" s="16" t="str">
        <f>"99,1815"</f>
        <v>99,1815</v>
      </c>
      <c r="M118" s="14" t="s">
        <v>229</v>
      </c>
    </row>
    <row r="119" spans="1:13">
      <c r="A119" s="11" t="s">
        <v>1383</v>
      </c>
      <c r="B119" s="11" t="s">
        <v>1384</v>
      </c>
      <c r="C119" s="11" t="s">
        <v>1023</v>
      </c>
      <c r="D119" s="11" t="str">
        <f>"0,6086"</f>
        <v>0,6086</v>
      </c>
      <c r="E119" s="11" t="s">
        <v>34</v>
      </c>
      <c r="F119" s="11" t="s">
        <v>35</v>
      </c>
      <c r="G119" s="12" t="s">
        <v>236</v>
      </c>
      <c r="H119" s="12" t="s">
        <v>424</v>
      </c>
      <c r="I119" s="12" t="s">
        <v>64</v>
      </c>
      <c r="J119" s="13"/>
      <c r="K119" s="11" t="str">
        <f>"150,0"</f>
        <v>150,0</v>
      </c>
      <c r="L119" s="12" t="str">
        <f>"96,3110"</f>
        <v>96,3110</v>
      </c>
      <c r="M119" s="11" t="s">
        <v>1075</v>
      </c>
    </row>
    <row r="121" spans="1:13" ht="15">
      <c r="A121" s="41" t="s">
        <v>122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3">
      <c r="A122" s="8" t="s">
        <v>1386</v>
      </c>
      <c r="B122" s="8" t="s">
        <v>1387</v>
      </c>
      <c r="C122" s="8" t="s">
        <v>1388</v>
      </c>
      <c r="D122" s="8" t="str">
        <f>"0,5945"</f>
        <v>0,5945</v>
      </c>
      <c r="E122" s="8" t="s">
        <v>1389</v>
      </c>
      <c r="F122" s="8" t="s">
        <v>1390</v>
      </c>
      <c r="G122" s="9" t="s">
        <v>106</v>
      </c>
      <c r="H122" s="10" t="s">
        <v>82</v>
      </c>
      <c r="I122" s="9" t="s">
        <v>316</v>
      </c>
      <c r="J122" s="10"/>
      <c r="K122" s="8" t="str">
        <f>"192,5"</f>
        <v>192,5</v>
      </c>
      <c r="L122" s="9" t="str">
        <f>"114,4413"</f>
        <v>114,4413</v>
      </c>
      <c r="M122" s="8" t="s">
        <v>1234</v>
      </c>
    </row>
    <row r="123" spans="1:13">
      <c r="A123" s="14" t="s">
        <v>1392</v>
      </c>
      <c r="B123" s="14" t="s">
        <v>1393</v>
      </c>
      <c r="C123" s="14" t="s">
        <v>1394</v>
      </c>
      <c r="D123" s="14" t="str">
        <f>"0,5932"</f>
        <v>0,5932</v>
      </c>
      <c r="E123" s="14" t="s">
        <v>18</v>
      </c>
      <c r="F123" s="14" t="s">
        <v>1395</v>
      </c>
      <c r="G123" s="16" t="s">
        <v>93</v>
      </c>
      <c r="H123" s="16" t="s">
        <v>106</v>
      </c>
      <c r="I123" s="16" t="s">
        <v>82</v>
      </c>
      <c r="J123" s="15"/>
      <c r="K123" s="14" t="str">
        <f>"190,0"</f>
        <v>190,0</v>
      </c>
      <c r="L123" s="16" t="str">
        <f>"112,7080"</f>
        <v>112,7080</v>
      </c>
      <c r="M123" s="14"/>
    </row>
    <row r="124" spans="1:13">
      <c r="A124" s="14" t="s">
        <v>1397</v>
      </c>
      <c r="B124" s="14" t="s">
        <v>1398</v>
      </c>
      <c r="C124" s="14" t="s">
        <v>1399</v>
      </c>
      <c r="D124" s="14" t="str">
        <f>"0,5964"</f>
        <v>0,5964</v>
      </c>
      <c r="E124" s="14" t="s">
        <v>18</v>
      </c>
      <c r="F124" s="14" t="s">
        <v>474</v>
      </c>
      <c r="G124" s="16" t="s">
        <v>106</v>
      </c>
      <c r="H124" s="15" t="s">
        <v>84</v>
      </c>
      <c r="I124" s="15"/>
      <c r="J124" s="15"/>
      <c r="K124" s="14" t="str">
        <f>"180,0"</f>
        <v>180,0</v>
      </c>
      <c r="L124" s="16" t="str">
        <f>"107,3520"</f>
        <v>107,3520</v>
      </c>
      <c r="M124" s="14" t="s">
        <v>476</v>
      </c>
    </row>
    <row r="125" spans="1:13">
      <c r="A125" s="14" t="s">
        <v>1401</v>
      </c>
      <c r="B125" s="14" t="s">
        <v>1402</v>
      </c>
      <c r="C125" s="14" t="s">
        <v>1403</v>
      </c>
      <c r="D125" s="14" t="str">
        <f>"0,5990"</f>
        <v>0,5990</v>
      </c>
      <c r="E125" s="14" t="s">
        <v>34</v>
      </c>
      <c r="F125" s="14" t="s">
        <v>35</v>
      </c>
      <c r="G125" s="16" t="s">
        <v>55</v>
      </c>
      <c r="H125" s="16" t="s">
        <v>93</v>
      </c>
      <c r="I125" s="15" t="s">
        <v>106</v>
      </c>
      <c r="J125" s="15"/>
      <c r="K125" s="14" t="str">
        <f>"170,0"</f>
        <v>170,0</v>
      </c>
      <c r="L125" s="16" t="str">
        <f>"101,8300"</f>
        <v>101,8300</v>
      </c>
      <c r="M125" s="14" t="s">
        <v>266</v>
      </c>
    </row>
    <row r="126" spans="1:13">
      <c r="A126" s="14" t="s">
        <v>1404</v>
      </c>
      <c r="B126" s="14" t="s">
        <v>1405</v>
      </c>
      <c r="C126" s="14" t="s">
        <v>1406</v>
      </c>
      <c r="D126" s="14" t="str">
        <f>"0,5958"</f>
        <v>0,5958</v>
      </c>
      <c r="E126" s="14" t="s">
        <v>103</v>
      </c>
      <c r="F126" s="14" t="s">
        <v>104</v>
      </c>
      <c r="G126" s="16" t="s">
        <v>54</v>
      </c>
      <c r="H126" s="16" t="s">
        <v>55</v>
      </c>
      <c r="I126" s="16" t="s">
        <v>1285</v>
      </c>
      <c r="J126" s="15"/>
      <c r="K126" s="14" t="str">
        <f>"162,5"</f>
        <v>162,5</v>
      </c>
      <c r="L126" s="16" t="str">
        <f>"96,8175"</f>
        <v>96,8175</v>
      </c>
      <c r="M126" s="14" t="s">
        <v>1407</v>
      </c>
    </row>
    <row r="127" spans="1:13">
      <c r="A127" s="14" t="s">
        <v>1408</v>
      </c>
      <c r="B127" s="14" t="s">
        <v>1409</v>
      </c>
      <c r="C127" s="14" t="s">
        <v>700</v>
      </c>
      <c r="D127" s="14" t="str">
        <f>"0,5952"</f>
        <v>0,5952</v>
      </c>
      <c r="E127" s="14" t="s">
        <v>18</v>
      </c>
      <c r="F127" s="14" t="s">
        <v>480</v>
      </c>
      <c r="G127" s="16" t="s">
        <v>49</v>
      </c>
      <c r="H127" s="16" t="s">
        <v>64</v>
      </c>
      <c r="I127" s="15" t="s">
        <v>54</v>
      </c>
      <c r="J127" s="15"/>
      <c r="K127" s="14" t="str">
        <f>"150,0"</f>
        <v>150,0</v>
      </c>
      <c r="L127" s="16" t="str">
        <f>"89,2800"</f>
        <v>89,2800</v>
      </c>
      <c r="M127" s="14" t="s">
        <v>1239</v>
      </c>
    </row>
    <row r="128" spans="1:13">
      <c r="A128" s="14" t="s">
        <v>1411</v>
      </c>
      <c r="B128" s="14" t="s">
        <v>1412</v>
      </c>
      <c r="C128" s="14" t="s">
        <v>484</v>
      </c>
      <c r="D128" s="14" t="str">
        <f>"0,5885"</f>
        <v>0,5885</v>
      </c>
      <c r="E128" s="14" t="s">
        <v>34</v>
      </c>
      <c r="F128" s="14" t="s">
        <v>35</v>
      </c>
      <c r="G128" s="16" t="s">
        <v>679</v>
      </c>
      <c r="H128" s="16" t="s">
        <v>1285</v>
      </c>
      <c r="I128" s="16" t="s">
        <v>39</v>
      </c>
      <c r="J128" s="15"/>
      <c r="K128" s="14" t="str">
        <f>"167,5"</f>
        <v>167,5</v>
      </c>
      <c r="L128" s="16" t="str">
        <f>"100,5452"</f>
        <v>100,5452</v>
      </c>
      <c r="M128" s="14" t="s">
        <v>1413</v>
      </c>
    </row>
    <row r="129" spans="1:13">
      <c r="A129" s="14" t="s">
        <v>1415</v>
      </c>
      <c r="B129" s="14" t="s">
        <v>1416</v>
      </c>
      <c r="C129" s="14" t="s">
        <v>902</v>
      </c>
      <c r="D129" s="14" t="str">
        <f>"0,5900"</f>
        <v>0,5900</v>
      </c>
      <c r="E129" s="14" t="s">
        <v>34</v>
      </c>
      <c r="F129" s="14" t="s">
        <v>35</v>
      </c>
      <c r="G129" s="16" t="s">
        <v>679</v>
      </c>
      <c r="H129" s="16" t="s">
        <v>1285</v>
      </c>
      <c r="I129" s="16" t="s">
        <v>136</v>
      </c>
      <c r="J129" s="15"/>
      <c r="K129" s="14" t="str">
        <f>"165,0"</f>
        <v>165,0</v>
      </c>
      <c r="L129" s="16" t="str">
        <f>"97,3500"</f>
        <v>97,3500</v>
      </c>
      <c r="M129" s="14" t="s">
        <v>1417</v>
      </c>
    </row>
    <row r="130" spans="1:13">
      <c r="A130" s="14" t="s">
        <v>1419</v>
      </c>
      <c r="B130" s="14" t="s">
        <v>1420</v>
      </c>
      <c r="C130" s="14" t="s">
        <v>1421</v>
      </c>
      <c r="D130" s="14" t="str">
        <f>"0,5895"</f>
        <v>0,5895</v>
      </c>
      <c r="E130" s="14" t="s">
        <v>34</v>
      </c>
      <c r="F130" s="14" t="s">
        <v>35</v>
      </c>
      <c r="G130" s="16" t="s">
        <v>469</v>
      </c>
      <c r="H130" s="16" t="s">
        <v>679</v>
      </c>
      <c r="I130" s="15" t="s">
        <v>1285</v>
      </c>
      <c r="J130" s="15"/>
      <c r="K130" s="14" t="str">
        <f>"157,5"</f>
        <v>157,5</v>
      </c>
      <c r="L130" s="16" t="str">
        <f>"95,7245"</f>
        <v>95,7245</v>
      </c>
      <c r="M130" s="14" t="s">
        <v>1422</v>
      </c>
    </row>
    <row r="131" spans="1:13">
      <c r="A131" s="14" t="s">
        <v>1423</v>
      </c>
      <c r="B131" s="14" t="s">
        <v>1424</v>
      </c>
      <c r="C131" s="14" t="s">
        <v>706</v>
      </c>
      <c r="D131" s="14" t="str">
        <f>"0,6053"</f>
        <v>0,6053</v>
      </c>
      <c r="E131" s="14" t="s">
        <v>34</v>
      </c>
      <c r="F131" s="14" t="s">
        <v>35</v>
      </c>
      <c r="G131" s="15" t="s">
        <v>93</v>
      </c>
      <c r="H131" s="15" t="s">
        <v>93</v>
      </c>
      <c r="I131" s="15" t="s">
        <v>93</v>
      </c>
      <c r="J131" s="15"/>
      <c r="K131" s="14" t="str">
        <f>"0.00"</f>
        <v>0.00</v>
      </c>
      <c r="L131" s="16" t="str">
        <f>"0,0000"</f>
        <v>0,0000</v>
      </c>
      <c r="M131" s="14" t="s">
        <v>1425</v>
      </c>
    </row>
    <row r="132" spans="1:13">
      <c r="A132" s="11" t="s">
        <v>1427</v>
      </c>
      <c r="B132" s="11" t="s">
        <v>1428</v>
      </c>
      <c r="C132" s="11" t="s">
        <v>1030</v>
      </c>
      <c r="D132" s="11" t="str">
        <f>"0,5905"</f>
        <v>0,5905</v>
      </c>
      <c r="E132" s="11" t="s">
        <v>34</v>
      </c>
      <c r="F132" s="11" t="s">
        <v>35</v>
      </c>
      <c r="G132" s="12" t="s">
        <v>137</v>
      </c>
      <c r="H132" s="13" t="s">
        <v>95</v>
      </c>
      <c r="I132" s="12" t="s">
        <v>95</v>
      </c>
      <c r="J132" s="12" t="s">
        <v>84</v>
      </c>
      <c r="K132" s="11" t="str">
        <f>"182,5"</f>
        <v>182,5</v>
      </c>
      <c r="L132" s="12" t="str">
        <f>"119,9438"</f>
        <v>119,9438</v>
      </c>
      <c r="M132" s="11" t="s">
        <v>1429</v>
      </c>
    </row>
    <row r="134" spans="1:13" ht="15">
      <c r="A134" s="41" t="s">
        <v>153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</row>
    <row r="135" spans="1:13">
      <c r="A135" s="8" t="s">
        <v>1431</v>
      </c>
      <c r="B135" s="8" t="s">
        <v>1432</v>
      </c>
      <c r="C135" s="8" t="s">
        <v>1433</v>
      </c>
      <c r="D135" s="8" t="str">
        <f>"0,5722"</f>
        <v>0,5722</v>
      </c>
      <c r="E135" s="8" t="s">
        <v>34</v>
      </c>
      <c r="F135" s="8" t="s">
        <v>35</v>
      </c>
      <c r="G135" s="10" t="s">
        <v>93</v>
      </c>
      <c r="H135" s="9" t="s">
        <v>93</v>
      </c>
      <c r="I135" s="10" t="s">
        <v>106</v>
      </c>
      <c r="J135" s="10" t="s">
        <v>106</v>
      </c>
      <c r="K135" s="8" t="str">
        <f>"170,0"</f>
        <v>170,0</v>
      </c>
      <c r="L135" s="9" t="str">
        <f>"97,2740"</f>
        <v>97,2740</v>
      </c>
      <c r="M135" s="8"/>
    </row>
    <row r="136" spans="1:13">
      <c r="A136" s="14" t="s">
        <v>1435</v>
      </c>
      <c r="B136" s="14" t="s">
        <v>1436</v>
      </c>
      <c r="C136" s="14" t="s">
        <v>1437</v>
      </c>
      <c r="D136" s="14" t="str">
        <f>"0,5748"</f>
        <v>0,5748</v>
      </c>
      <c r="E136" s="14" t="s">
        <v>34</v>
      </c>
      <c r="F136" s="14" t="s">
        <v>35</v>
      </c>
      <c r="G136" s="16" t="s">
        <v>106</v>
      </c>
      <c r="H136" s="16" t="s">
        <v>82</v>
      </c>
      <c r="I136" s="15" t="s">
        <v>159</v>
      </c>
      <c r="J136" s="15"/>
      <c r="K136" s="14" t="str">
        <f>"190,0"</f>
        <v>190,0</v>
      </c>
      <c r="L136" s="16" t="str">
        <f>"109,2120"</f>
        <v>109,2120</v>
      </c>
      <c r="M136" s="14" t="s">
        <v>1438</v>
      </c>
    </row>
    <row r="137" spans="1:13">
      <c r="A137" s="14" t="s">
        <v>1440</v>
      </c>
      <c r="B137" s="14" t="s">
        <v>1441</v>
      </c>
      <c r="C137" s="14" t="s">
        <v>1442</v>
      </c>
      <c r="D137" s="14" t="str">
        <f>"0,5707"</f>
        <v>0,5707</v>
      </c>
      <c r="E137" s="14" t="s">
        <v>34</v>
      </c>
      <c r="F137" s="14" t="s">
        <v>35</v>
      </c>
      <c r="G137" s="16" t="s">
        <v>40</v>
      </c>
      <c r="H137" s="16" t="s">
        <v>95</v>
      </c>
      <c r="I137" s="15" t="s">
        <v>84</v>
      </c>
      <c r="J137" s="15"/>
      <c r="K137" s="14" t="str">
        <f>"182,5"</f>
        <v>182,5</v>
      </c>
      <c r="L137" s="16" t="str">
        <f>"104,1527"</f>
        <v>104,1527</v>
      </c>
      <c r="M137" s="14" t="s">
        <v>386</v>
      </c>
    </row>
    <row r="138" spans="1:13">
      <c r="A138" s="14" t="s">
        <v>1444</v>
      </c>
      <c r="B138" s="14" t="s">
        <v>1445</v>
      </c>
      <c r="C138" s="14" t="s">
        <v>489</v>
      </c>
      <c r="D138" s="14" t="str">
        <f>"0,5726"</f>
        <v>0,5726</v>
      </c>
      <c r="E138" s="14" t="s">
        <v>18</v>
      </c>
      <c r="F138" s="14" t="s">
        <v>1340</v>
      </c>
      <c r="G138" s="16" t="s">
        <v>40</v>
      </c>
      <c r="H138" s="15" t="s">
        <v>106</v>
      </c>
      <c r="I138" s="16" t="s">
        <v>106</v>
      </c>
      <c r="J138" s="15"/>
      <c r="K138" s="14" t="str">
        <f>"180,0"</f>
        <v>180,0</v>
      </c>
      <c r="L138" s="16" t="str">
        <f>"103,0680"</f>
        <v>103,0680</v>
      </c>
      <c r="M138" s="14"/>
    </row>
    <row r="139" spans="1:13">
      <c r="A139" s="14" t="s">
        <v>1446</v>
      </c>
      <c r="B139" s="14" t="s">
        <v>1447</v>
      </c>
      <c r="C139" s="14" t="s">
        <v>1448</v>
      </c>
      <c r="D139" s="14" t="str">
        <f>"0,5700"</f>
        <v>0,5700</v>
      </c>
      <c r="E139" s="14" t="s">
        <v>34</v>
      </c>
      <c r="F139" s="14" t="s">
        <v>35</v>
      </c>
      <c r="G139" s="16" t="s">
        <v>137</v>
      </c>
      <c r="H139" s="15" t="s">
        <v>106</v>
      </c>
      <c r="I139" s="15" t="s">
        <v>106</v>
      </c>
      <c r="J139" s="15"/>
      <c r="K139" s="14" t="str">
        <f>"175,0"</f>
        <v>175,0</v>
      </c>
      <c r="L139" s="16" t="str">
        <f>"99,7500"</f>
        <v>99,7500</v>
      </c>
      <c r="M139" s="14"/>
    </row>
    <row r="140" spans="1:13">
      <c r="A140" s="14" t="s">
        <v>1449</v>
      </c>
      <c r="B140" s="14" t="s">
        <v>1450</v>
      </c>
      <c r="C140" s="14" t="s">
        <v>1451</v>
      </c>
      <c r="D140" s="14" t="str">
        <f>"0,5699"</f>
        <v>0,5699</v>
      </c>
      <c r="E140" s="14" t="s">
        <v>18</v>
      </c>
      <c r="F140" s="14" t="s">
        <v>915</v>
      </c>
      <c r="G140" s="16" t="s">
        <v>1285</v>
      </c>
      <c r="H140" s="16" t="s">
        <v>93</v>
      </c>
      <c r="I140" s="15" t="s">
        <v>106</v>
      </c>
      <c r="J140" s="15"/>
      <c r="K140" s="14" t="str">
        <f>"170,0"</f>
        <v>170,0</v>
      </c>
      <c r="L140" s="16" t="str">
        <f>"96,8830"</f>
        <v>96,8830</v>
      </c>
      <c r="M140" s="14"/>
    </row>
    <row r="141" spans="1:13">
      <c r="A141" s="14" t="s">
        <v>1452</v>
      </c>
      <c r="B141" s="14" t="s">
        <v>1453</v>
      </c>
      <c r="C141" s="14" t="s">
        <v>1454</v>
      </c>
      <c r="D141" s="14" t="str">
        <f>"0,5733"</f>
        <v>0,5733</v>
      </c>
      <c r="E141" s="14" t="s">
        <v>34</v>
      </c>
      <c r="F141" s="14" t="s">
        <v>35</v>
      </c>
      <c r="G141" s="16" t="s">
        <v>64</v>
      </c>
      <c r="H141" s="16" t="s">
        <v>54</v>
      </c>
      <c r="I141" s="15" t="s">
        <v>55</v>
      </c>
      <c r="J141" s="15"/>
      <c r="K141" s="14" t="str">
        <f>"155,0"</f>
        <v>155,0</v>
      </c>
      <c r="L141" s="16" t="str">
        <f>"88,8615"</f>
        <v>88,8615</v>
      </c>
      <c r="M141" s="14"/>
    </row>
    <row r="142" spans="1:13">
      <c r="A142" s="14" t="s">
        <v>1456</v>
      </c>
      <c r="B142" s="14" t="s">
        <v>1457</v>
      </c>
      <c r="C142" s="14" t="s">
        <v>1458</v>
      </c>
      <c r="D142" s="14" t="str">
        <f>"0,5803"</f>
        <v>0,5803</v>
      </c>
      <c r="E142" s="14" t="s">
        <v>103</v>
      </c>
      <c r="F142" s="14" t="s">
        <v>104</v>
      </c>
      <c r="G142" s="16" t="s">
        <v>40</v>
      </c>
      <c r="H142" s="15" t="s">
        <v>137</v>
      </c>
      <c r="I142" s="15" t="s">
        <v>137</v>
      </c>
      <c r="J142" s="15"/>
      <c r="K142" s="14" t="str">
        <f>"172,5"</f>
        <v>172,5</v>
      </c>
      <c r="L142" s="16" t="str">
        <f>"102,1038"</f>
        <v>102,1038</v>
      </c>
      <c r="M142" s="14" t="s">
        <v>1459</v>
      </c>
    </row>
    <row r="143" spans="1:13">
      <c r="A143" s="14" t="s">
        <v>1461</v>
      </c>
      <c r="B143" s="14" t="s">
        <v>1462</v>
      </c>
      <c r="C143" s="14" t="s">
        <v>1463</v>
      </c>
      <c r="D143" s="14" t="str">
        <f>"0,5869"</f>
        <v>0,5869</v>
      </c>
      <c r="E143" s="14" t="s">
        <v>18</v>
      </c>
      <c r="F143" s="14" t="s">
        <v>127</v>
      </c>
      <c r="G143" s="15" t="s">
        <v>112</v>
      </c>
      <c r="H143" s="16" t="s">
        <v>112</v>
      </c>
      <c r="I143" s="16" t="s">
        <v>83</v>
      </c>
      <c r="J143" s="15"/>
      <c r="K143" s="14" t="str">
        <f>"210,0"</f>
        <v>210,0</v>
      </c>
      <c r="L143" s="16" t="str">
        <f>"141,3666"</f>
        <v>141,3666</v>
      </c>
      <c r="M143" s="14"/>
    </row>
    <row r="144" spans="1:13">
      <c r="A144" s="14" t="s">
        <v>1465</v>
      </c>
      <c r="B144" s="14" t="s">
        <v>1466</v>
      </c>
      <c r="C144" s="14" t="s">
        <v>1467</v>
      </c>
      <c r="D144" s="14" t="str">
        <f>"0,5716"</f>
        <v>0,5716</v>
      </c>
      <c r="E144" s="14" t="s">
        <v>34</v>
      </c>
      <c r="F144" s="14" t="s">
        <v>35</v>
      </c>
      <c r="G144" s="16" t="s">
        <v>93</v>
      </c>
      <c r="H144" s="15" t="s">
        <v>137</v>
      </c>
      <c r="I144" s="15" t="s">
        <v>137</v>
      </c>
      <c r="J144" s="15"/>
      <c r="K144" s="14" t="str">
        <f>"170,0"</f>
        <v>170,0</v>
      </c>
      <c r="L144" s="16" t="str">
        <f>"116,9951"</f>
        <v>116,9951</v>
      </c>
      <c r="M144" s="14"/>
    </row>
    <row r="145" spans="1:13">
      <c r="A145" s="11" t="s">
        <v>1469</v>
      </c>
      <c r="B145" s="11" t="s">
        <v>1470</v>
      </c>
      <c r="C145" s="11" t="s">
        <v>1471</v>
      </c>
      <c r="D145" s="11" t="str">
        <f>"0,5808"</f>
        <v>0,5808</v>
      </c>
      <c r="E145" s="11" t="s">
        <v>34</v>
      </c>
      <c r="F145" s="11" t="s">
        <v>35</v>
      </c>
      <c r="G145" s="12" t="s">
        <v>21</v>
      </c>
      <c r="H145" s="12" t="s">
        <v>26</v>
      </c>
      <c r="I145" s="12" t="s">
        <v>357</v>
      </c>
      <c r="J145" s="13"/>
      <c r="K145" s="11" t="str">
        <f>"107,5"</f>
        <v>107,5</v>
      </c>
      <c r="L145" s="12" t="str">
        <f>"107,2650"</f>
        <v>107,2650</v>
      </c>
      <c r="M145" s="11"/>
    </row>
    <row r="147" spans="1:13" ht="15">
      <c r="A147" s="41" t="s">
        <v>160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</row>
    <row r="148" spans="1:13">
      <c r="A148" s="8" t="s">
        <v>1473</v>
      </c>
      <c r="B148" s="8" t="s">
        <v>1474</v>
      </c>
      <c r="C148" s="8" t="s">
        <v>1475</v>
      </c>
      <c r="D148" s="8" t="str">
        <f>"0,5588"</f>
        <v>0,5588</v>
      </c>
      <c r="E148" s="8" t="s">
        <v>34</v>
      </c>
      <c r="F148" s="8" t="s">
        <v>35</v>
      </c>
      <c r="G148" s="9" t="s">
        <v>137</v>
      </c>
      <c r="H148" s="9" t="s">
        <v>95</v>
      </c>
      <c r="I148" s="10" t="s">
        <v>84</v>
      </c>
      <c r="J148" s="10"/>
      <c r="K148" s="8" t="str">
        <f>"182,5"</f>
        <v>182,5</v>
      </c>
      <c r="L148" s="9" t="str">
        <f>"101,9810"</f>
        <v>101,9810</v>
      </c>
      <c r="M148" s="8"/>
    </row>
    <row r="149" spans="1:13">
      <c r="A149" s="14" t="s">
        <v>1477</v>
      </c>
      <c r="B149" s="14" t="s">
        <v>1478</v>
      </c>
      <c r="C149" s="14" t="s">
        <v>1479</v>
      </c>
      <c r="D149" s="14" t="str">
        <f>"0,5597"</f>
        <v>0,5597</v>
      </c>
      <c r="E149" s="14" t="s">
        <v>34</v>
      </c>
      <c r="F149" s="14" t="s">
        <v>35</v>
      </c>
      <c r="G149" s="16" t="s">
        <v>106</v>
      </c>
      <c r="H149" s="16" t="s">
        <v>436</v>
      </c>
      <c r="I149" s="16" t="s">
        <v>316</v>
      </c>
      <c r="J149" s="15"/>
      <c r="K149" s="14" t="str">
        <f>"192,5"</f>
        <v>192,5</v>
      </c>
      <c r="L149" s="16" t="str">
        <f>"127,5668"</f>
        <v>127,5668</v>
      </c>
      <c r="M149" s="14"/>
    </row>
    <row r="150" spans="1:13">
      <c r="A150" s="11" t="s">
        <v>1473</v>
      </c>
      <c r="B150" s="11" t="s">
        <v>1480</v>
      </c>
      <c r="C150" s="11" t="s">
        <v>1475</v>
      </c>
      <c r="D150" s="11" t="str">
        <f>"0,5588"</f>
        <v>0,5588</v>
      </c>
      <c r="E150" s="11" t="s">
        <v>34</v>
      </c>
      <c r="F150" s="11" t="s">
        <v>35</v>
      </c>
      <c r="G150" s="12" t="s">
        <v>137</v>
      </c>
      <c r="H150" s="12" t="s">
        <v>95</v>
      </c>
      <c r="I150" s="13" t="s">
        <v>84</v>
      </c>
      <c r="J150" s="13"/>
      <c r="K150" s="11" t="str">
        <f>"182,5"</f>
        <v>182,5</v>
      </c>
      <c r="L150" s="12" t="str">
        <f>"129,3119"</f>
        <v>129,3119</v>
      </c>
      <c r="M150" s="11"/>
    </row>
    <row r="152" spans="1:13" ht="15">
      <c r="E152" s="17" t="s">
        <v>166</v>
      </c>
    </row>
    <row r="153" spans="1:13" ht="15">
      <c r="E153" s="17" t="s">
        <v>167</v>
      </c>
    </row>
    <row r="154" spans="1:13" ht="15">
      <c r="E154" s="17" t="s">
        <v>168</v>
      </c>
    </row>
    <row r="155" spans="1:13" ht="15">
      <c r="E155" s="17" t="s">
        <v>169</v>
      </c>
    </row>
    <row r="156" spans="1:13" ht="15">
      <c r="E156" s="17" t="s">
        <v>169</v>
      </c>
    </row>
    <row r="157" spans="1:13" ht="15">
      <c r="E157" s="17" t="s">
        <v>170</v>
      </c>
    </row>
    <row r="158" spans="1:13" ht="15">
      <c r="E158" s="17"/>
    </row>
    <row r="160" spans="1:13" ht="18">
      <c r="A160" s="18" t="s">
        <v>171</v>
      </c>
      <c r="B160" s="18"/>
    </row>
    <row r="161" spans="1:5" ht="15">
      <c r="A161" s="19" t="s">
        <v>172</v>
      </c>
      <c r="B161" s="19"/>
    </row>
    <row r="162" spans="1:5" ht="14.25">
      <c r="A162" s="21"/>
      <c r="B162" s="22" t="s">
        <v>499</v>
      </c>
    </row>
    <row r="163" spans="1:5" ht="15">
      <c r="A163" s="23" t="s">
        <v>174</v>
      </c>
      <c r="B163" s="23" t="s">
        <v>175</v>
      </c>
      <c r="C163" s="23" t="s">
        <v>176</v>
      </c>
      <c r="D163" s="23" t="s">
        <v>177</v>
      </c>
      <c r="E163" s="23" t="s">
        <v>178</v>
      </c>
    </row>
    <row r="164" spans="1:5">
      <c r="A164" s="20" t="s">
        <v>1132</v>
      </c>
      <c r="B164" s="4" t="s">
        <v>500</v>
      </c>
      <c r="C164" s="4" t="s">
        <v>25</v>
      </c>
      <c r="D164" s="4" t="s">
        <v>378</v>
      </c>
      <c r="E164" s="24" t="s">
        <v>1481</v>
      </c>
    </row>
    <row r="166" spans="1:5" ht="14.25">
      <c r="A166" s="21"/>
      <c r="B166" s="22" t="s">
        <v>287</v>
      </c>
    </row>
    <row r="167" spans="1:5" ht="15">
      <c r="A167" s="23" t="s">
        <v>174</v>
      </c>
      <c r="B167" s="23" t="s">
        <v>175</v>
      </c>
      <c r="C167" s="23" t="s">
        <v>176</v>
      </c>
      <c r="D167" s="23" t="s">
        <v>177</v>
      </c>
      <c r="E167" s="23" t="s">
        <v>178</v>
      </c>
    </row>
    <row r="168" spans="1:5">
      <c r="A168" s="20" t="s">
        <v>1100</v>
      </c>
      <c r="B168" s="4" t="s">
        <v>185</v>
      </c>
      <c r="C168" s="4" t="s">
        <v>180</v>
      </c>
      <c r="D168" s="4" t="s">
        <v>795</v>
      </c>
      <c r="E168" s="24" t="s">
        <v>1482</v>
      </c>
    </row>
    <row r="170" spans="1:5" ht="14.25">
      <c r="A170" s="21"/>
      <c r="B170" s="22" t="s">
        <v>191</v>
      </c>
    </row>
    <row r="171" spans="1:5" ht="15">
      <c r="A171" s="23" t="s">
        <v>174</v>
      </c>
      <c r="B171" s="23" t="s">
        <v>175</v>
      </c>
      <c r="C171" s="23" t="s">
        <v>176</v>
      </c>
      <c r="D171" s="23" t="s">
        <v>177</v>
      </c>
      <c r="E171" s="23" t="s">
        <v>178</v>
      </c>
    </row>
    <row r="172" spans="1:5">
      <c r="A172" s="20" t="s">
        <v>1105</v>
      </c>
      <c r="B172" s="4" t="s">
        <v>191</v>
      </c>
      <c r="C172" s="4" t="s">
        <v>180</v>
      </c>
      <c r="D172" s="4" t="s">
        <v>246</v>
      </c>
      <c r="E172" s="24" t="s">
        <v>1483</v>
      </c>
    </row>
    <row r="173" spans="1:5">
      <c r="A173" s="20" t="s">
        <v>1076</v>
      </c>
      <c r="B173" s="4" t="s">
        <v>191</v>
      </c>
      <c r="C173" s="4" t="s">
        <v>378</v>
      </c>
      <c r="D173" s="4" t="s">
        <v>20</v>
      </c>
      <c r="E173" s="24" t="s">
        <v>1484</v>
      </c>
    </row>
    <row r="174" spans="1:5">
      <c r="A174" s="20" t="s">
        <v>1111</v>
      </c>
      <c r="B174" s="4" t="s">
        <v>191</v>
      </c>
      <c r="C174" s="4" t="s">
        <v>180</v>
      </c>
      <c r="D174" s="4" t="s">
        <v>366</v>
      </c>
      <c r="E174" s="24" t="s">
        <v>1485</v>
      </c>
    </row>
    <row r="175" spans="1:5">
      <c r="A175" s="20" t="s">
        <v>1081</v>
      </c>
      <c r="B175" s="4" t="s">
        <v>191</v>
      </c>
      <c r="C175" s="4" t="s">
        <v>378</v>
      </c>
      <c r="D175" s="4" t="s">
        <v>24</v>
      </c>
      <c r="E175" s="24" t="s">
        <v>1486</v>
      </c>
    </row>
    <row r="176" spans="1:5">
      <c r="A176" s="20" t="s">
        <v>1061</v>
      </c>
      <c r="B176" s="4" t="s">
        <v>191</v>
      </c>
      <c r="C176" s="4" t="s">
        <v>718</v>
      </c>
      <c r="D176" s="4" t="s">
        <v>360</v>
      </c>
      <c r="E176" s="24" t="s">
        <v>1487</v>
      </c>
    </row>
    <row r="177" spans="1:5">
      <c r="A177" s="20" t="s">
        <v>1086</v>
      </c>
      <c r="B177" s="4" t="s">
        <v>191</v>
      </c>
      <c r="C177" s="4" t="s">
        <v>378</v>
      </c>
      <c r="D177" s="4" t="s">
        <v>180</v>
      </c>
      <c r="E177" s="24" t="s">
        <v>1488</v>
      </c>
    </row>
    <row r="178" spans="1:5">
      <c r="A178" s="20" t="s">
        <v>1091</v>
      </c>
      <c r="B178" s="4" t="s">
        <v>191</v>
      </c>
      <c r="C178" s="4" t="s">
        <v>378</v>
      </c>
      <c r="D178" s="4" t="s">
        <v>23</v>
      </c>
      <c r="E178" s="24" t="s">
        <v>1489</v>
      </c>
    </row>
    <row r="179" spans="1:5">
      <c r="A179" s="20" t="s">
        <v>1115</v>
      </c>
      <c r="B179" s="4" t="s">
        <v>191</v>
      </c>
      <c r="C179" s="4" t="s">
        <v>180</v>
      </c>
      <c r="D179" s="4" t="s">
        <v>359</v>
      </c>
      <c r="E179" s="24" t="s">
        <v>1490</v>
      </c>
    </row>
    <row r="180" spans="1:5">
      <c r="A180" s="20" t="s">
        <v>1053</v>
      </c>
      <c r="B180" s="4" t="s">
        <v>191</v>
      </c>
      <c r="C180" s="4" t="s">
        <v>1491</v>
      </c>
      <c r="D180" s="4" t="s">
        <v>1059</v>
      </c>
      <c r="E180" s="24" t="s">
        <v>1492</v>
      </c>
    </row>
    <row r="182" spans="1:5" ht="14.25">
      <c r="A182" s="21"/>
      <c r="B182" s="22" t="s">
        <v>173</v>
      </c>
    </row>
    <row r="183" spans="1:5" ht="15">
      <c r="A183" s="23" t="s">
        <v>174</v>
      </c>
      <c r="B183" s="23" t="s">
        <v>175</v>
      </c>
      <c r="C183" s="23" t="s">
        <v>176</v>
      </c>
      <c r="D183" s="23" t="s">
        <v>177</v>
      </c>
      <c r="E183" s="23" t="s">
        <v>178</v>
      </c>
    </row>
    <row r="184" spans="1:5">
      <c r="A184" s="20" t="s">
        <v>1119</v>
      </c>
      <c r="B184" s="4" t="s">
        <v>217</v>
      </c>
      <c r="C184" s="4" t="s">
        <v>180</v>
      </c>
      <c r="D184" s="4" t="s">
        <v>20</v>
      </c>
      <c r="E184" s="24" t="s">
        <v>1493</v>
      </c>
    </row>
    <row r="185" spans="1:5">
      <c r="A185" s="20" t="s">
        <v>1124</v>
      </c>
      <c r="B185" s="4" t="s">
        <v>217</v>
      </c>
      <c r="C185" s="4" t="s">
        <v>180</v>
      </c>
      <c r="D185" s="4" t="s">
        <v>24</v>
      </c>
      <c r="E185" s="24" t="s">
        <v>1494</v>
      </c>
    </row>
    <row r="186" spans="1:5">
      <c r="A186" s="20" t="s">
        <v>1071</v>
      </c>
      <c r="B186" s="4" t="s">
        <v>179</v>
      </c>
      <c r="C186" s="4" t="s">
        <v>288</v>
      </c>
      <c r="D186" s="4" t="s">
        <v>358</v>
      </c>
      <c r="E186" s="24" t="s">
        <v>1495</v>
      </c>
    </row>
    <row r="187" spans="1:5">
      <c r="A187" s="20" t="s">
        <v>1095</v>
      </c>
      <c r="B187" s="4" t="s">
        <v>217</v>
      </c>
      <c r="C187" s="4" t="s">
        <v>378</v>
      </c>
      <c r="D187" s="4" t="s">
        <v>358</v>
      </c>
      <c r="E187" s="24" t="s">
        <v>1496</v>
      </c>
    </row>
    <row r="188" spans="1:5">
      <c r="A188" s="20" t="s">
        <v>1128</v>
      </c>
      <c r="B188" s="4" t="s">
        <v>217</v>
      </c>
      <c r="C188" s="4" t="s">
        <v>180</v>
      </c>
      <c r="D188" s="4" t="s">
        <v>226</v>
      </c>
      <c r="E188" s="24" t="s">
        <v>1497</v>
      </c>
    </row>
    <row r="191" spans="1:5" ht="15">
      <c r="A191" s="19" t="s">
        <v>183</v>
      </c>
      <c r="B191" s="19"/>
    </row>
    <row r="192" spans="1:5" ht="14.25">
      <c r="A192" s="21"/>
      <c r="B192" s="22" t="s">
        <v>511</v>
      </c>
    </row>
    <row r="193" spans="1:5" ht="15">
      <c r="A193" s="23" t="s">
        <v>174</v>
      </c>
      <c r="B193" s="23" t="s">
        <v>175</v>
      </c>
      <c r="C193" s="23" t="s">
        <v>176</v>
      </c>
      <c r="D193" s="23" t="s">
        <v>177</v>
      </c>
      <c r="E193" s="23" t="s">
        <v>178</v>
      </c>
    </row>
    <row r="194" spans="1:5">
      <c r="A194" s="20" t="s">
        <v>1171</v>
      </c>
      <c r="B194" s="4" t="s">
        <v>500</v>
      </c>
      <c r="C194" s="4" t="s">
        <v>25</v>
      </c>
      <c r="D194" s="4" t="s">
        <v>22</v>
      </c>
      <c r="E194" s="24" t="s">
        <v>1498</v>
      </c>
    </row>
    <row r="195" spans="1:5">
      <c r="A195" s="20" t="s">
        <v>1176</v>
      </c>
      <c r="B195" s="4" t="s">
        <v>500</v>
      </c>
      <c r="C195" s="4" t="s">
        <v>25</v>
      </c>
      <c r="D195" s="4" t="s">
        <v>26</v>
      </c>
      <c r="E195" s="24" t="s">
        <v>1499</v>
      </c>
    </row>
    <row r="196" spans="1:5">
      <c r="A196" s="20" t="s">
        <v>1136</v>
      </c>
      <c r="B196" s="4" t="s">
        <v>500</v>
      </c>
      <c r="C196" s="4" t="s">
        <v>501</v>
      </c>
      <c r="D196" s="4" t="s">
        <v>25</v>
      </c>
      <c r="E196" s="24" t="s">
        <v>1500</v>
      </c>
    </row>
    <row r="197" spans="1:5">
      <c r="A197" s="20" t="s">
        <v>1156</v>
      </c>
      <c r="B197" s="4" t="s">
        <v>500</v>
      </c>
      <c r="C197" s="4" t="s">
        <v>180</v>
      </c>
      <c r="D197" s="4" t="s">
        <v>52</v>
      </c>
      <c r="E197" s="24" t="s">
        <v>1501</v>
      </c>
    </row>
    <row r="198" spans="1:5">
      <c r="A198" s="20" t="s">
        <v>1159</v>
      </c>
      <c r="B198" s="4" t="s">
        <v>500</v>
      </c>
      <c r="C198" s="4" t="s">
        <v>180</v>
      </c>
      <c r="D198" s="4" t="s">
        <v>200</v>
      </c>
      <c r="E198" s="24" t="s">
        <v>1502</v>
      </c>
    </row>
    <row r="199" spans="1:5">
      <c r="A199" s="20" t="s">
        <v>1181</v>
      </c>
      <c r="B199" s="4" t="s">
        <v>500</v>
      </c>
      <c r="C199" s="4" t="s">
        <v>25</v>
      </c>
      <c r="D199" s="4" t="s">
        <v>200</v>
      </c>
      <c r="E199" s="24" t="s">
        <v>1503</v>
      </c>
    </row>
    <row r="200" spans="1:5">
      <c r="A200" s="20" t="s">
        <v>1217</v>
      </c>
      <c r="B200" s="4" t="s">
        <v>500</v>
      </c>
      <c r="C200" s="4" t="s">
        <v>200</v>
      </c>
      <c r="D200" s="4" t="s">
        <v>52</v>
      </c>
      <c r="E200" s="24" t="s">
        <v>1504</v>
      </c>
    </row>
    <row r="201" spans="1:5">
      <c r="A201" s="20" t="s">
        <v>1140</v>
      </c>
      <c r="B201" s="4" t="s">
        <v>500</v>
      </c>
      <c r="C201" s="4" t="s">
        <v>501</v>
      </c>
      <c r="D201" s="4" t="s">
        <v>360</v>
      </c>
      <c r="E201" s="24" t="s">
        <v>1505</v>
      </c>
    </row>
    <row r="202" spans="1:5">
      <c r="A202" s="20" t="s">
        <v>1148</v>
      </c>
      <c r="B202" s="4" t="s">
        <v>500</v>
      </c>
      <c r="C202" s="4" t="s">
        <v>378</v>
      </c>
      <c r="D202" s="4" t="s">
        <v>378</v>
      </c>
      <c r="E202" s="24" t="s">
        <v>1506</v>
      </c>
    </row>
    <row r="203" spans="1:5">
      <c r="A203" s="20" t="s">
        <v>1153</v>
      </c>
      <c r="B203" s="4" t="s">
        <v>500</v>
      </c>
      <c r="C203" s="4" t="s">
        <v>378</v>
      </c>
      <c r="D203" s="4" t="s">
        <v>378</v>
      </c>
      <c r="E203" s="24" t="s">
        <v>1507</v>
      </c>
    </row>
    <row r="205" spans="1:5" ht="14.25">
      <c r="A205" s="21"/>
      <c r="B205" s="22" t="s">
        <v>184</v>
      </c>
    </row>
    <row r="206" spans="1:5" ht="15">
      <c r="A206" s="23" t="s">
        <v>174</v>
      </c>
      <c r="B206" s="23" t="s">
        <v>175</v>
      </c>
      <c r="C206" s="23" t="s">
        <v>176</v>
      </c>
      <c r="D206" s="23" t="s">
        <v>177</v>
      </c>
      <c r="E206" s="23" t="s">
        <v>178</v>
      </c>
    </row>
    <row r="207" spans="1:5">
      <c r="A207" s="20" t="s">
        <v>1221</v>
      </c>
      <c r="B207" s="4" t="s">
        <v>185</v>
      </c>
      <c r="C207" s="4" t="s">
        <v>200</v>
      </c>
      <c r="D207" s="4" t="s">
        <v>425</v>
      </c>
      <c r="E207" s="24" t="s">
        <v>1508</v>
      </c>
    </row>
    <row r="208" spans="1:5">
      <c r="A208" s="20" t="s">
        <v>1430</v>
      </c>
      <c r="B208" s="4" t="s">
        <v>185</v>
      </c>
      <c r="C208" s="4" t="s">
        <v>186</v>
      </c>
      <c r="D208" s="4" t="s">
        <v>93</v>
      </c>
      <c r="E208" s="24" t="s">
        <v>1509</v>
      </c>
    </row>
    <row r="209" spans="1:5">
      <c r="A209" s="20" t="s">
        <v>1163</v>
      </c>
      <c r="B209" s="4" t="s">
        <v>185</v>
      </c>
      <c r="C209" s="4" t="s">
        <v>180</v>
      </c>
      <c r="D209" s="4" t="s">
        <v>234</v>
      </c>
      <c r="E209" s="24" t="s">
        <v>1510</v>
      </c>
    </row>
    <row r="210" spans="1:5">
      <c r="A210" s="20" t="s">
        <v>1186</v>
      </c>
      <c r="B210" s="4" t="s">
        <v>185</v>
      </c>
      <c r="C210" s="4" t="s">
        <v>25</v>
      </c>
      <c r="D210" s="4" t="s">
        <v>186</v>
      </c>
      <c r="E210" s="24" t="s">
        <v>1511</v>
      </c>
    </row>
    <row r="212" spans="1:5" ht="14.25">
      <c r="A212" s="21"/>
      <c r="B212" s="22" t="s">
        <v>191</v>
      </c>
    </row>
    <row r="213" spans="1:5" ht="15">
      <c r="A213" s="23" t="s">
        <v>174</v>
      </c>
      <c r="B213" s="23" t="s">
        <v>175</v>
      </c>
      <c r="C213" s="23" t="s">
        <v>176</v>
      </c>
      <c r="D213" s="23" t="s">
        <v>177</v>
      </c>
      <c r="E213" s="23" t="s">
        <v>178</v>
      </c>
    </row>
    <row r="214" spans="1:5">
      <c r="A214" s="20" t="s">
        <v>1385</v>
      </c>
      <c r="B214" s="4" t="s">
        <v>191</v>
      </c>
      <c r="C214" s="4" t="s">
        <v>192</v>
      </c>
      <c r="D214" s="4" t="s">
        <v>316</v>
      </c>
      <c r="E214" s="24" t="s">
        <v>1512</v>
      </c>
    </row>
    <row r="215" spans="1:5">
      <c r="A215" s="20" t="s">
        <v>1391</v>
      </c>
      <c r="B215" s="4" t="s">
        <v>191</v>
      </c>
      <c r="C215" s="4" t="s">
        <v>192</v>
      </c>
      <c r="D215" s="4" t="s">
        <v>82</v>
      </c>
      <c r="E215" s="24" t="s">
        <v>1513</v>
      </c>
    </row>
    <row r="216" spans="1:5">
      <c r="A216" s="20" t="s">
        <v>1276</v>
      </c>
      <c r="B216" s="4" t="s">
        <v>191</v>
      </c>
      <c r="C216" s="4" t="s">
        <v>52</v>
      </c>
      <c r="D216" s="4" t="s">
        <v>93</v>
      </c>
      <c r="E216" s="24" t="s">
        <v>1514</v>
      </c>
    </row>
    <row r="217" spans="1:5">
      <c r="A217" s="20" t="s">
        <v>1434</v>
      </c>
      <c r="B217" s="4" t="s">
        <v>191</v>
      </c>
      <c r="C217" s="4" t="s">
        <v>186</v>
      </c>
      <c r="D217" s="4" t="s">
        <v>82</v>
      </c>
      <c r="E217" s="24" t="s">
        <v>1515</v>
      </c>
    </row>
    <row r="218" spans="1:5">
      <c r="A218" s="20" t="s">
        <v>1224</v>
      </c>
      <c r="B218" s="4" t="s">
        <v>191</v>
      </c>
      <c r="C218" s="4" t="s">
        <v>200</v>
      </c>
      <c r="D218" s="4" t="s">
        <v>55</v>
      </c>
      <c r="E218" s="24" t="s">
        <v>1516</v>
      </c>
    </row>
    <row r="219" spans="1:5">
      <c r="A219" s="20" t="s">
        <v>1396</v>
      </c>
      <c r="B219" s="4" t="s">
        <v>191</v>
      </c>
      <c r="C219" s="4" t="s">
        <v>192</v>
      </c>
      <c r="D219" s="4" t="s">
        <v>106</v>
      </c>
      <c r="E219" s="24" t="s">
        <v>1517</v>
      </c>
    </row>
    <row r="220" spans="1:5">
      <c r="A220" s="20" t="s">
        <v>1280</v>
      </c>
      <c r="B220" s="4" t="s">
        <v>191</v>
      </c>
      <c r="C220" s="4" t="s">
        <v>52</v>
      </c>
      <c r="D220" s="4" t="s">
        <v>136</v>
      </c>
      <c r="E220" s="24" t="s">
        <v>1518</v>
      </c>
    </row>
    <row r="221" spans="1:5">
      <c r="A221" s="20" t="s">
        <v>1227</v>
      </c>
      <c r="B221" s="4" t="s">
        <v>191</v>
      </c>
      <c r="C221" s="4" t="s">
        <v>200</v>
      </c>
      <c r="D221" s="4" t="s">
        <v>54</v>
      </c>
      <c r="E221" s="24" t="s">
        <v>1519</v>
      </c>
    </row>
    <row r="222" spans="1:5">
      <c r="A222" s="20" t="s">
        <v>1336</v>
      </c>
      <c r="B222" s="4" t="s">
        <v>191</v>
      </c>
      <c r="C222" s="4" t="s">
        <v>21</v>
      </c>
      <c r="D222" s="4" t="s">
        <v>93</v>
      </c>
      <c r="E222" s="24" t="s">
        <v>1520</v>
      </c>
    </row>
    <row r="223" spans="1:5">
      <c r="A223" s="20" t="s">
        <v>1282</v>
      </c>
      <c r="B223" s="4" t="s">
        <v>191</v>
      </c>
      <c r="C223" s="4" t="s">
        <v>52</v>
      </c>
      <c r="D223" s="4" t="s">
        <v>1285</v>
      </c>
      <c r="E223" s="24" t="s">
        <v>1521</v>
      </c>
    </row>
    <row r="224" spans="1:5">
      <c r="A224" s="20" t="s">
        <v>1439</v>
      </c>
      <c r="B224" s="4" t="s">
        <v>191</v>
      </c>
      <c r="C224" s="4" t="s">
        <v>186</v>
      </c>
      <c r="D224" s="4" t="s">
        <v>95</v>
      </c>
      <c r="E224" s="24" t="s">
        <v>1522</v>
      </c>
    </row>
    <row r="225" spans="1:5">
      <c r="A225" s="20" t="s">
        <v>1443</v>
      </c>
      <c r="B225" s="4" t="s">
        <v>191</v>
      </c>
      <c r="C225" s="4" t="s">
        <v>186</v>
      </c>
      <c r="D225" s="4" t="s">
        <v>106</v>
      </c>
      <c r="E225" s="24" t="s">
        <v>1523</v>
      </c>
    </row>
    <row r="226" spans="1:5">
      <c r="A226" s="20" t="s">
        <v>1191</v>
      </c>
      <c r="B226" s="4" t="s">
        <v>191</v>
      </c>
      <c r="C226" s="4" t="s">
        <v>25</v>
      </c>
      <c r="D226" s="4" t="s">
        <v>49</v>
      </c>
      <c r="E226" s="24" t="s">
        <v>1524</v>
      </c>
    </row>
    <row r="227" spans="1:5">
      <c r="A227" s="20" t="s">
        <v>1231</v>
      </c>
      <c r="B227" s="4" t="s">
        <v>191</v>
      </c>
      <c r="C227" s="4" t="s">
        <v>200</v>
      </c>
      <c r="D227" s="4" t="s">
        <v>469</v>
      </c>
      <c r="E227" s="24" t="s">
        <v>1525</v>
      </c>
    </row>
    <row r="228" spans="1:5">
      <c r="A228" s="20" t="s">
        <v>1286</v>
      </c>
      <c r="B228" s="4" t="s">
        <v>191</v>
      </c>
      <c r="C228" s="4" t="s">
        <v>52</v>
      </c>
      <c r="D228" s="4" t="s">
        <v>55</v>
      </c>
      <c r="E228" s="24" t="s">
        <v>1526</v>
      </c>
    </row>
    <row r="229" spans="1:5">
      <c r="A229" s="20" t="s">
        <v>1288</v>
      </c>
      <c r="B229" s="4" t="s">
        <v>191</v>
      </c>
      <c r="C229" s="4" t="s">
        <v>52</v>
      </c>
      <c r="D229" s="4" t="s">
        <v>54</v>
      </c>
      <c r="E229" s="24" t="s">
        <v>1527</v>
      </c>
    </row>
    <row r="230" spans="1:5">
      <c r="A230" s="20" t="s">
        <v>1472</v>
      </c>
      <c r="B230" s="4" t="s">
        <v>191</v>
      </c>
      <c r="C230" s="4" t="s">
        <v>49</v>
      </c>
      <c r="D230" s="4" t="s">
        <v>95</v>
      </c>
      <c r="E230" s="24" t="s">
        <v>1528</v>
      </c>
    </row>
    <row r="231" spans="1:5">
      <c r="A231" s="20" t="s">
        <v>1341</v>
      </c>
      <c r="B231" s="4" t="s">
        <v>191</v>
      </c>
      <c r="C231" s="4" t="s">
        <v>21</v>
      </c>
      <c r="D231" s="4" t="s">
        <v>136</v>
      </c>
      <c r="E231" s="24" t="s">
        <v>1529</v>
      </c>
    </row>
    <row r="232" spans="1:5">
      <c r="A232" s="20" t="s">
        <v>1400</v>
      </c>
      <c r="B232" s="4" t="s">
        <v>191</v>
      </c>
      <c r="C232" s="4" t="s">
        <v>192</v>
      </c>
      <c r="D232" s="4" t="s">
        <v>93</v>
      </c>
      <c r="E232" s="24" t="s">
        <v>1530</v>
      </c>
    </row>
    <row r="233" spans="1:5">
      <c r="A233" s="20" t="s">
        <v>1235</v>
      </c>
      <c r="B233" s="4" t="s">
        <v>191</v>
      </c>
      <c r="C233" s="4" t="s">
        <v>200</v>
      </c>
      <c r="D233" s="4" t="s">
        <v>425</v>
      </c>
      <c r="E233" s="24" t="s">
        <v>1531</v>
      </c>
    </row>
    <row r="234" spans="1:5">
      <c r="A234" s="20" t="s">
        <v>1345</v>
      </c>
      <c r="B234" s="4" t="s">
        <v>191</v>
      </c>
      <c r="C234" s="4" t="s">
        <v>21</v>
      </c>
      <c r="D234" s="4" t="s">
        <v>136</v>
      </c>
      <c r="E234" s="24" t="s">
        <v>1532</v>
      </c>
    </row>
    <row r="235" spans="1:5">
      <c r="A235" s="20" t="s">
        <v>1292</v>
      </c>
      <c r="B235" s="4" t="s">
        <v>191</v>
      </c>
      <c r="C235" s="4" t="s">
        <v>52</v>
      </c>
      <c r="D235" s="4" t="s">
        <v>54</v>
      </c>
      <c r="E235" s="24" t="s">
        <v>1533</v>
      </c>
    </row>
    <row r="236" spans="1:5">
      <c r="A236" s="20" t="s">
        <v>1350</v>
      </c>
      <c r="B236" s="4" t="s">
        <v>191</v>
      </c>
      <c r="C236" s="4" t="s">
        <v>21</v>
      </c>
      <c r="D236" s="4" t="s">
        <v>136</v>
      </c>
      <c r="E236" s="24" t="s">
        <v>1534</v>
      </c>
    </row>
    <row r="238" spans="1:5" ht="14.25">
      <c r="A238" s="21"/>
      <c r="B238" s="22" t="s">
        <v>173</v>
      </c>
    </row>
    <row r="239" spans="1:5" ht="15">
      <c r="A239" s="23" t="s">
        <v>174</v>
      </c>
      <c r="B239" s="23" t="s">
        <v>175</v>
      </c>
      <c r="C239" s="23" t="s">
        <v>176</v>
      </c>
      <c r="D239" s="23" t="s">
        <v>177</v>
      </c>
      <c r="E239" s="23" t="s">
        <v>178</v>
      </c>
    </row>
    <row r="240" spans="1:5">
      <c r="A240" s="20" t="s">
        <v>1460</v>
      </c>
      <c r="B240" s="4" t="s">
        <v>308</v>
      </c>
      <c r="C240" s="4" t="s">
        <v>186</v>
      </c>
      <c r="D240" s="4" t="s">
        <v>83</v>
      </c>
      <c r="E240" s="24" t="s">
        <v>1535</v>
      </c>
    </row>
    <row r="241" spans="1:5">
      <c r="A241" s="20" t="s">
        <v>1333</v>
      </c>
      <c r="B241" s="4" t="s">
        <v>991</v>
      </c>
      <c r="C241" s="4" t="s">
        <v>52</v>
      </c>
      <c r="D241" s="4" t="s">
        <v>54</v>
      </c>
      <c r="E241" s="24" t="s">
        <v>1536</v>
      </c>
    </row>
    <row r="242" spans="1:5">
      <c r="A242" s="20" t="s">
        <v>1472</v>
      </c>
      <c r="B242" s="4" t="s">
        <v>991</v>
      </c>
      <c r="C242" s="4" t="s">
        <v>49</v>
      </c>
      <c r="D242" s="4" t="s">
        <v>95</v>
      </c>
      <c r="E242" s="24" t="s">
        <v>1537</v>
      </c>
    </row>
    <row r="243" spans="1:5">
      <c r="A243" s="20" t="s">
        <v>1476</v>
      </c>
      <c r="B243" s="4" t="s">
        <v>308</v>
      </c>
      <c r="C243" s="4" t="s">
        <v>49</v>
      </c>
      <c r="D243" s="4" t="s">
        <v>316</v>
      </c>
      <c r="E243" s="24" t="s">
        <v>1538</v>
      </c>
    </row>
    <row r="244" spans="1:5">
      <c r="A244" s="20" t="s">
        <v>1269</v>
      </c>
      <c r="B244" s="4" t="s">
        <v>1539</v>
      </c>
      <c r="C244" s="4" t="s">
        <v>200</v>
      </c>
      <c r="D244" s="4" t="s">
        <v>366</v>
      </c>
      <c r="E244" s="24" t="s">
        <v>1540</v>
      </c>
    </row>
    <row r="245" spans="1:5">
      <c r="A245" s="20" t="s">
        <v>1426</v>
      </c>
      <c r="B245" s="4" t="s">
        <v>179</v>
      </c>
      <c r="C245" s="4" t="s">
        <v>192</v>
      </c>
      <c r="D245" s="4" t="s">
        <v>95</v>
      </c>
      <c r="E245" s="24" t="s">
        <v>1541</v>
      </c>
    </row>
    <row r="246" spans="1:5">
      <c r="A246" s="20" t="s">
        <v>1330</v>
      </c>
      <c r="B246" s="4" t="s">
        <v>308</v>
      </c>
      <c r="C246" s="4" t="s">
        <v>52</v>
      </c>
      <c r="D246" s="4" t="s">
        <v>55</v>
      </c>
      <c r="E246" s="24" t="s">
        <v>1542</v>
      </c>
    </row>
    <row r="247" spans="1:5">
      <c r="A247" s="20" t="s">
        <v>1464</v>
      </c>
      <c r="B247" s="4" t="s">
        <v>308</v>
      </c>
      <c r="C247" s="4" t="s">
        <v>186</v>
      </c>
      <c r="D247" s="4" t="s">
        <v>93</v>
      </c>
      <c r="E247" s="24" t="s">
        <v>1543</v>
      </c>
    </row>
    <row r="248" spans="1:5">
      <c r="A248" s="20" t="s">
        <v>1325</v>
      </c>
      <c r="B248" s="4" t="s">
        <v>179</v>
      </c>
      <c r="C248" s="4" t="s">
        <v>52</v>
      </c>
      <c r="D248" s="4" t="s">
        <v>469</v>
      </c>
      <c r="E248" s="24" t="s">
        <v>1544</v>
      </c>
    </row>
    <row r="249" spans="1:5">
      <c r="A249" s="20" t="s">
        <v>1280</v>
      </c>
      <c r="B249" s="4" t="s">
        <v>217</v>
      </c>
      <c r="C249" s="4" t="s">
        <v>52</v>
      </c>
      <c r="D249" s="4" t="s">
        <v>136</v>
      </c>
      <c r="E249" s="24" t="s">
        <v>1545</v>
      </c>
    </row>
    <row r="250" spans="1:5">
      <c r="A250" s="20" t="s">
        <v>1468</v>
      </c>
      <c r="B250" s="4" t="s">
        <v>1546</v>
      </c>
      <c r="C250" s="4" t="s">
        <v>186</v>
      </c>
      <c r="D250" s="4" t="s">
        <v>357</v>
      </c>
      <c r="E250" s="24" t="s">
        <v>1547</v>
      </c>
    </row>
    <row r="251" spans="1:5">
      <c r="A251" s="20" t="s">
        <v>1320</v>
      </c>
      <c r="B251" s="4" t="s">
        <v>217</v>
      </c>
      <c r="C251" s="4" t="s">
        <v>52</v>
      </c>
      <c r="D251" s="4" t="s">
        <v>55</v>
      </c>
      <c r="E251" s="24" t="s">
        <v>1548</v>
      </c>
    </row>
    <row r="252" spans="1:5">
      <c r="A252" s="20" t="s">
        <v>1251</v>
      </c>
      <c r="B252" s="4" t="s">
        <v>179</v>
      </c>
      <c r="C252" s="4" t="s">
        <v>200</v>
      </c>
      <c r="D252" s="4" t="s">
        <v>236</v>
      </c>
      <c r="E252" s="24" t="s">
        <v>1549</v>
      </c>
    </row>
    <row r="253" spans="1:5">
      <c r="A253" s="20" t="s">
        <v>1209</v>
      </c>
      <c r="B253" s="4" t="s">
        <v>179</v>
      </c>
      <c r="C253" s="4" t="s">
        <v>25</v>
      </c>
      <c r="D253" s="4" t="s">
        <v>27</v>
      </c>
      <c r="E253" s="24" t="s">
        <v>1550</v>
      </c>
    </row>
    <row r="254" spans="1:5">
      <c r="A254" s="20" t="s">
        <v>1455</v>
      </c>
      <c r="B254" s="4" t="s">
        <v>217</v>
      </c>
      <c r="C254" s="4" t="s">
        <v>186</v>
      </c>
      <c r="D254" s="4" t="s">
        <v>40</v>
      </c>
      <c r="E254" s="24" t="s">
        <v>1551</v>
      </c>
    </row>
    <row r="255" spans="1:5">
      <c r="A255" s="20" t="s">
        <v>1213</v>
      </c>
      <c r="B255" s="4" t="s">
        <v>1546</v>
      </c>
      <c r="C255" s="4" t="s">
        <v>25</v>
      </c>
      <c r="D255" s="4" t="s">
        <v>20</v>
      </c>
      <c r="E255" s="24" t="s">
        <v>1552</v>
      </c>
    </row>
    <row r="256" spans="1:5">
      <c r="A256" s="20" t="s">
        <v>1261</v>
      </c>
      <c r="B256" s="4" t="s">
        <v>991</v>
      </c>
      <c r="C256" s="4" t="s">
        <v>200</v>
      </c>
      <c r="D256" s="4" t="s">
        <v>234</v>
      </c>
      <c r="E256" s="24" t="s">
        <v>1553</v>
      </c>
    </row>
    <row r="257" spans="1:5">
      <c r="A257" s="20" t="s">
        <v>1410</v>
      </c>
      <c r="B257" s="4" t="s">
        <v>217</v>
      </c>
      <c r="C257" s="4" t="s">
        <v>192</v>
      </c>
      <c r="D257" s="4" t="s">
        <v>39</v>
      </c>
      <c r="E257" s="24" t="s">
        <v>1554</v>
      </c>
    </row>
    <row r="258" spans="1:5">
      <c r="A258" s="20" t="s">
        <v>1376</v>
      </c>
      <c r="B258" s="4" t="s">
        <v>179</v>
      </c>
      <c r="C258" s="4" t="s">
        <v>21</v>
      </c>
      <c r="D258" s="4" t="s">
        <v>54</v>
      </c>
      <c r="E258" s="24" t="s">
        <v>1555</v>
      </c>
    </row>
    <row r="259" spans="1:5">
      <c r="A259" s="20" t="s">
        <v>1379</v>
      </c>
      <c r="B259" s="4" t="s">
        <v>179</v>
      </c>
      <c r="C259" s="4" t="s">
        <v>21</v>
      </c>
      <c r="D259" s="4" t="s">
        <v>64</v>
      </c>
      <c r="E259" s="24" t="s">
        <v>1556</v>
      </c>
    </row>
    <row r="260" spans="1:5">
      <c r="A260" s="20" t="s">
        <v>1256</v>
      </c>
      <c r="B260" s="4" t="s">
        <v>179</v>
      </c>
      <c r="C260" s="4" t="s">
        <v>200</v>
      </c>
      <c r="D260" s="4" t="s">
        <v>236</v>
      </c>
      <c r="E260" s="24" t="s">
        <v>1557</v>
      </c>
    </row>
    <row r="261" spans="1:5">
      <c r="A261" s="20" t="s">
        <v>1414</v>
      </c>
      <c r="B261" s="4" t="s">
        <v>217</v>
      </c>
      <c r="C261" s="4" t="s">
        <v>192</v>
      </c>
      <c r="D261" s="4" t="s">
        <v>136</v>
      </c>
      <c r="E261" s="24" t="s">
        <v>1558</v>
      </c>
    </row>
    <row r="262" spans="1:5">
      <c r="A262" s="20" t="s">
        <v>1382</v>
      </c>
      <c r="B262" s="4" t="s">
        <v>179</v>
      </c>
      <c r="C262" s="4" t="s">
        <v>21</v>
      </c>
      <c r="D262" s="4" t="s">
        <v>64</v>
      </c>
      <c r="E262" s="24" t="s">
        <v>1559</v>
      </c>
    </row>
    <row r="263" spans="1:5">
      <c r="A263" s="20" t="s">
        <v>1418</v>
      </c>
      <c r="B263" s="4" t="s">
        <v>217</v>
      </c>
      <c r="C263" s="4" t="s">
        <v>192</v>
      </c>
      <c r="D263" s="4" t="s">
        <v>679</v>
      </c>
      <c r="E263" s="24" t="s">
        <v>1560</v>
      </c>
    </row>
  </sheetData>
  <mergeCells count="27">
    <mergeCell ref="A147:L147"/>
    <mergeCell ref="A49:L49"/>
    <mergeCell ref="A63:L63"/>
    <mergeCell ref="A80:L80"/>
    <mergeCell ref="A105:L105"/>
    <mergeCell ref="A121:L121"/>
    <mergeCell ref="A134:L134"/>
    <mergeCell ref="A43:L43"/>
    <mergeCell ref="K3:K4"/>
    <mergeCell ref="L3:L4"/>
    <mergeCell ref="M3:M4"/>
    <mergeCell ref="A5:L5"/>
    <mergeCell ref="A8:L8"/>
    <mergeCell ref="A12:L12"/>
    <mergeCell ref="A15:L15"/>
    <mergeCell ref="A22:L22"/>
    <mergeCell ref="A31:L31"/>
    <mergeCell ref="A34:L34"/>
    <mergeCell ref="A39:L39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50"/>
  <sheetViews>
    <sheetView workbookViewId="0">
      <selection activeCell="L25" sqref="L25"/>
    </sheetView>
  </sheetViews>
  <sheetFormatPr defaultRowHeight="12.75"/>
  <cols>
    <col min="1" max="1" width="26" style="4" bestFit="1" customWidth="1"/>
    <col min="2" max="2" width="27.85546875" style="4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5703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5.42578125" style="4" bestFit="1" customWidth="1"/>
    <col min="14" max="16384" width="9.140625" style="3"/>
  </cols>
  <sheetData>
    <row r="1" spans="1:13" s="2" customFormat="1" ht="29.1" customHeight="1">
      <c r="A1" s="42" t="s">
        <v>1925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11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548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5" t="s">
        <v>1562</v>
      </c>
      <c r="B6" s="5" t="s">
        <v>1563</v>
      </c>
      <c r="C6" s="5" t="s">
        <v>1564</v>
      </c>
      <c r="D6" s="5" t="str">
        <f>"1,3490"</f>
        <v>1,3490</v>
      </c>
      <c r="E6" s="5" t="s">
        <v>34</v>
      </c>
      <c r="F6" s="5" t="s">
        <v>35</v>
      </c>
      <c r="G6" s="7" t="s">
        <v>25</v>
      </c>
      <c r="H6" s="6" t="s">
        <v>20</v>
      </c>
      <c r="I6" s="6" t="s">
        <v>20</v>
      </c>
      <c r="J6" s="6"/>
      <c r="K6" s="5" t="str">
        <f>"75,0"</f>
        <v>75,0</v>
      </c>
      <c r="L6" s="7" t="str">
        <f>"101,1750"</f>
        <v>101,1750</v>
      </c>
      <c r="M6" s="5" t="s">
        <v>1565</v>
      </c>
    </row>
    <row r="8" spans="1:13" ht="15">
      <c r="A8" s="41" t="s">
        <v>342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5" t="s">
        <v>1567</v>
      </c>
      <c r="B9" s="5" t="s">
        <v>1568</v>
      </c>
      <c r="C9" s="5" t="s">
        <v>1569</v>
      </c>
      <c r="D9" s="5" t="str">
        <f>"1,1985"</f>
        <v>1,1985</v>
      </c>
      <c r="E9" s="5" t="s">
        <v>34</v>
      </c>
      <c r="F9" s="5" t="s">
        <v>35</v>
      </c>
      <c r="G9" s="6" t="s">
        <v>20</v>
      </c>
      <c r="H9" s="7" t="s">
        <v>20</v>
      </c>
      <c r="I9" s="6" t="s">
        <v>51</v>
      </c>
      <c r="J9" s="6"/>
      <c r="K9" s="5" t="str">
        <f>"80,0"</f>
        <v>80,0</v>
      </c>
      <c r="L9" s="7" t="str">
        <f>"95,8800"</f>
        <v>95,8800</v>
      </c>
      <c r="M9" s="5" t="s">
        <v>1104</v>
      </c>
    </row>
    <row r="11" spans="1:13" ht="15">
      <c r="A11" s="41" t="s">
        <v>13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>
      <c r="A12" s="5" t="s">
        <v>1570</v>
      </c>
      <c r="B12" s="5" t="s">
        <v>773</v>
      </c>
      <c r="C12" s="5" t="s">
        <v>774</v>
      </c>
      <c r="D12" s="5" t="str">
        <f>"1,0638"</f>
        <v>1,0638</v>
      </c>
      <c r="E12" s="5" t="s">
        <v>18</v>
      </c>
      <c r="F12" s="5" t="s">
        <v>422</v>
      </c>
      <c r="G12" s="7" t="s">
        <v>180</v>
      </c>
      <c r="H12" s="7" t="s">
        <v>25</v>
      </c>
      <c r="I12" s="6" t="s">
        <v>235</v>
      </c>
      <c r="J12" s="6"/>
      <c r="K12" s="5" t="str">
        <f>"75,0"</f>
        <v>75,0</v>
      </c>
      <c r="L12" s="7" t="str">
        <f>"79,7850"</f>
        <v>79,7850</v>
      </c>
      <c r="M12" s="5" t="s">
        <v>775</v>
      </c>
    </row>
    <row r="14" spans="1:13" ht="15">
      <c r="A14" s="41" t="s">
        <v>56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3">
      <c r="A15" s="8" t="s">
        <v>1318</v>
      </c>
      <c r="B15" s="8" t="s">
        <v>1281</v>
      </c>
      <c r="C15" s="8" t="s">
        <v>1274</v>
      </c>
      <c r="D15" s="8" t="str">
        <f>"0,6447"</f>
        <v>0,6447</v>
      </c>
      <c r="E15" s="8" t="s">
        <v>34</v>
      </c>
      <c r="F15" s="8" t="s">
        <v>35</v>
      </c>
      <c r="G15" s="9" t="s">
        <v>112</v>
      </c>
      <c r="H15" s="10" t="s">
        <v>423</v>
      </c>
      <c r="I15" s="9" t="s">
        <v>423</v>
      </c>
      <c r="J15" s="10"/>
      <c r="K15" s="8" t="str">
        <f>"212,5"</f>
        <v>212,5</v>
      </c>
      <c r="L15" s="9" t="str">
        <f>"136,9987"</f>
        <v>136,9987</v>
      </c>
      <c r="M15" s="8" t="s">
        <v>361</v>
      </c>
    </row>
    <row r="16" spans="1:13">
      <c r="A16" s="11" t="s">
        <v>1572</v>
      </c>
      <c r="B16" s="11" t="s">
        <v>1573</v>
      </c>
      <c r="C16" s="11" t="s">
        <v>862</v>
      </c>
      <c r="D16" s="11" t="str">
        <f>"0,6432"</f>
        <v>0,6432</v>
      </c>
      <c r="E16" s="11" t="s">
        <v>18</v>
      </c>
      <c r="F16" s="11" t="s">
        <v>422</v>
      </c>
      <c r="G16" s="12" t="s">
        <v>441</v>
      </c>
      <c r="H16" s="13" t="s">
        <v>159</v>
      </c>
      <c r="I16" s="12" t="s">
        <v>159</v>
      </c>
      <c r="J16" s="13"/>
      <c r="K16" s="11" t="str">
        <f>"207,5"</f>
        <v>207,5</v>
      </c>
      <c r="L16" s="12" t="str">
        <f>"133,4640"</f>
        <v>133,4640</v>
      </c>
      <c r="M16" s="11" t="s">
        <v>775</v>
      </c>
    </row>
    <row r="18" spans="1:13" ht="15">
      <c r="A18" s="41" t="s">
        <v>86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>
      <c r="A19" s="5" t="s">
        <v>1575</v>
      </c>
      <c r="B19" s="5" t="s">
        <v>1576</v>
      </c>
      <c r="C19" s="5" t="s">
        <v>1577</v>
      </c>
      <c r="D19" s="5" t="str">
        <f>"0,6150"</f>
        <v>0,6150</v>
      </c>
      <c r="E19" s="5" t="s">
        <v>18</v>
      </c>
      <c r="F19" s="5" t="s">
        <v>780</v>
      </c>
      <c r="G19" s="7" t="s">
        <v>117</v>
      </c>
      <c r="H19" s="7" t="s">
        <v>508</v>
      </c>
      <c r="I19" s="6" t="s">
        <v>636</v>
      </c>
      <c r="J19" s="6"/>
      <c r="K19" s="5" t="str">
        <f>"262,5"</f>
        <v>262,5</v>
      </c>
      <c r="L19" s="7" t="str">
        <f>"161,4375"</f>
        <v>161,4375</v>
      </c>
      <c r="M19" s="5" t="s">
        <v>775</v>
      </c>
    </row>
    <row r="21" spans="1:13" ht="15">
      <c r="A21" s="41" t="s">
        <v>122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3">
      <c r="A22" s="5" t="s">
        <v>1579</v>
      </c>
      <c r="B22" s="5" t="s">
        <v>1580</v>
      </c>
      <c r="C22" s="5" t="s">
        <v>1581</v>
      </c>
      <c r="D22" s="5" t="str">
        <f>"0,6064"</f>
        <v>0,6064</v>
      </c>
      <c r="E22" s="5" t="s">
        <v>18</v>
      </c>
      <c r="F22" s="5" t="s">
        <v>315</v>
      </c>
      <c r="G22" s="7" t="s">
        <v>82</v>
      </c>
      <c r="H22" s="7" t="s">
        <v>112</v>
      </c>
      <c r="I22" s="6" t="s">
        <v>83</v>
      </c>
      <c r="J22" s="6"/>
      <c r="K22" s="5" t="str">
        <f>"200,0"</f>
        <v>200,0</v>
      </c>
      <c r="L22" s="7" t="str">
        <f>"121,2800"</f>
        <v>121,2800</v>
      </c>
      <c r="M22" s="5" t="s">
        <v>1582</v>
      </c>
    </row>
    <row r="24" spans="1:13" ht="15">
      <c r="E24" s="17" t="s">
        <v>166</v>
      </c>
    </row>
    <row r="25" spans="1:13" ht="15">
      <c r="E25" s="17" t="s">
        <v>167</v>
      </c>
    </row>
    <row r="26" spans="1:13" ht="15">
      <c r="E26" s="17" t="s">
        <v>168</v>
      </c>
    </row>
    <row r="27" spans="1:13" ht="15">
      <c r="E27" s="17" t="s">
        <v>169</v>
      </c>
    </row>
    <row r="28" spans="1:13" ht="15">
      <c r="E28" s="17" t="s">
        <v>169</v>
      </c>
    </row>
    <row r="29" spans="1:13" ht="15">
      <c r="E29" s="17" t="s">
        <v>170</v>
      </c>
    </row>
    <row r="30" spans="1:13" ht="15">
      <c r="E30" s="17"/>
    </row>
    <row r="32" spans="1:13" ht="18">
      <c r="A32" s="18" t="s">
        <v>171</v>
      </c>
      <c r="B32" s="18"/>
    </row>
    <row r="33" spans="1:5" ht="15">
      <c r="A33" s="19" t="s">
        <v>172</v>
      </c>
      <c r="B33" s="19"/>
    </row>
    <row r="34" spans="1:5" ht="14.25">
      <c r="A34" s="21"/>
      <c r="B34" s="22" t="s">
        <v>499</v>
      </c>
    </row>
    <row r="35" spans="1:5" ht="15">
      <c r="A35" s="23" t="s">
        <v>174</v>
      </c>
      <c r="B35" s="23" t="s">
        <v>175</v>
      </c>
      <c r="C35" s="23" t="s">
        <v>176</v>
      </c>
      <c r="D35" s="23" t="s">
        <v>177</v>
      </c>
      <c r="E35" s="23" t="s">
        <v>178</v>
      </c>
    </row>
    <row r="36" spans="1:5">
      <c r="A36" s="20" t="s">
        <v>771</v>
      </c>
      <c r="B36" s="4" t="s">
        <v>500</v>
      </c>
      <c r="C36" s="4" t="s">
        <v>180</v>
      </c>
      <c r="D36" s="4" t="s">
        <v>25</v>
      </c>
      <c r="E36" s="24" t="s">
        <v>1583</v>
      </c>
    </row>
    <row r="38" spans="1:5" ht="14.25">
      <c r="A38" s="21"/>
      <c r="B38" s="22" t="s">
        <v>191</v>
      </c>
    </row>
    <row r="39" spans="1:5" ht="15">
      <c r="A39" s="23" t="s">
        <v>174</v>
      </c>
      <c r="B39" s="23" t="s">
        <v>175</v>
      </c>
      <c r="C39" s="23" t="s">
        <v>176</v>
      </c>
      <c r="D39" s="23" t="s">
        <v>177</v>
      </c>
      <c r="E39" s="23" t="s">
        <v>178</v>
      </c>
    </row>
    <row r="40" spans="1:5">
      <c r="A40" s="20" t="s">
        <v>1561</v>
      </c>
      <c r="B40" s="4" t="s">
        <v>191</v>
      </c>
      <c r="C40" s="4" t="s">
        <v>718</v>
      </c>
      <c r="D40" s="4" t="s">
        <v>25</v>
      </c>
      <c r="E40" s="24" t="s">
        <v>1584</v>
      </c>
    </row>
    <row r="41" spans="1:5">
      <c r="A41" s="20" t="s">
        <v>1566</v>
      </c>
      <c r="B41" s="4" t="s">
        <v>191</v>
      </c>
      <c r="C41" s="4" t="s">
        <v>501</v>
      </c>
      <c r="D41" s="4" t="s">
        <v>20</v>
      </c>
      <c r="E41" s="24" t="s">
        <v>1585</v>
      </c>
    </row>
    <row r="44" spans="1:5" ht="15">
      <c r="A44" s="19" t="s">
        <v>183</v>
      </c>
      <c r="B44" s="19"/>
    </row>
    <row r="45" spans="1:5" ht="14.25">
      <c r="A45" s="21"/>
      <c r="B45" s="22" t="s">
        <v>191</v>
      </c>
    </row>
    <row r="46" spans="1:5" ht="15">
      <c r="A46" s="23" t="s">
        <v>174</v>
      </c>
      <c r="B46" s="23" t="s">
        <v>175</v>
      </c>
      <c r="C46" s="23" t="s">
        <v>176</v>
      </c>
      <c r="D46" s="23" t="s">
        <v>177</v>
      </c>
      <c r="E46" s="23" t="s">
        <v>178</v>
      </c>
    </row>
    <row r="47" spans="1:5">
      <c r="A47" s="20" t="s">
        <v>1574</v>
      </c>
      <c r="B47" s="4" t="s">
        <v>191</v>
      </c>
      <c r="C47" s="4" t="s">
        <v>21</v>
      </c>
      <c r="D47" s="4" t="s">
        <v>508</v>
      </c>
      <c r="E47" s="24" t="s">
        <v>1586</v>
      </c>
    </row>
    <row r="48" spans="1:5">
      <c r="A48" s="20" t="s">
        <v>1280</v>
      </c>
      <c r="B48" s="4" t="s">
        <v>191</v>
      </c>
      <c r="C48" s="4" t="s">
        <v>52</v>
      </c>
      <c r="D48" s="4" t="s">
        <v>423</v>
      </c>
      <c r="E48" s="24" t="s">
        <v>1587</v>
      </c>
    </row>
    <row r="49" spans="1:5">
      <c r="A49" s="20" t="s">
        <v>1571</v>
      </c>
      <c r="B49" s="4" t="s">
        <v>191</v>
      </c>
      <c r="C49" s="4" t="s">
        <v>52</v>
      </c>
      <c r="D49" s="4" t="s">
        <v>159</v>
      </c>
      <c r="E49" s="24" t="s">
        <v>1588</v>
      </c>
    </row>
    <row r="50" spans="1:5">
      <c r="A50" s="20" t="s">
        <v>1578</v>
      </c>
      <c r="B50" s="4" t="s">
        <v>191</v>
      </c>
      <c r="C50" s="4" t="s">
        <v>192</v>
      </c>
      <c r="D50" s="4" t="s">
        <v>112</v>
      </c>
      <c r="E50" s="24" t="s">
        <v>1589</v>
      </c>
    </row>
  </sheetData>
  <mergeCells count="17">
    <mergeCell ref="A14:L14"/>
    <mergeCell ref="A18:L18"/>
    <mergeCell ref="A21:L21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191"/>
  <sheetViews>
    <sheetView workbookViewId="0">
      <selection activeCell="E30" sqref="E30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26.85546875" style="4" bestFit="1" customWidth="1"/>
    <col min="14" max="16384" width="9.140625" style="3"/>
  </cols>
  <sheetData>
    <row r="1" spans="1:13" s="2" customFormat="1" ht="29.1" customHeight="1">
      <c r="A1" s="42" t="s">
        <v>1924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12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548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8" t="s">
        <v>550</v>
      </c>
      <c r="B6" s="8" t="s">
        <v>551</v>
      </c>
      <c r="C6" s="8" t="s">
        <v>552</v>
      </c>
      <c r="D6" s="8" t="str">
        <f>"1,3265"</f>
        <v>1,3265</v>
      </c>
      <c r="E6" s="8" t="s">
        <v>34</v>
      </c>
      <c r="F6" s="8" t="s">
        <v>35</v>
      </c>
      <c r="G6" s="9" t="s">
        <v>22</v>
      </c>
      <c r="H6" s="9" t="s">
        <v>186</v>
      </c>
      <c r="I6" s="10"/>
      <c r="J6" s="10"/>
      <c r="K6" s="8" t="str">
        <f>"125,0"</f>
        <v>125,0</v>
      </c>
      <c r="L6" s="9" t="str">
        <f>"165,8125"</f>
        <v>165,8125</v>
      </c>
      <c r="M6" s="8" t="s">
        <v>553</v>
      </c>
    </row>
    <row r="7" spans="1:13">
      <c r="A7" s="11" t="s">
        <v>1652</v>
      </c>
      <c r="B7" s="11" t="s">
        <v>1653</v>
      </c>
      <c r="C7" s="11" t="s">
        <v>1070</v>
      </c>
      <c r="D7" s="11" t="str">
        <f>"1,3244"</f>
        <v>1,3244</v>
      </c>
      <c r="E7" s="11" t="s">
        <v>34</v>
      </c>
      <c r="F7" s="11" t="s">
        <v>35</v>
      </c>
      <c r="G7" s="12" t="s">
        <v>235</v>
      </c>
      <c r="H7" s="12" t="s">
        <v>200</v>
      </c>
      <c r="I7" s="13" t="s">
        <v>51</v>
      </c>
      <c r="J7" s="13"/>
      <c r="K7" s="11" t="str">
        <f>"82,5"</f>
        <v>82,5</v>
      </c>
      <c r="L7" s="12" t="str">
        <f>"109,2630"</f>
        <v>109,2630</v>
      </c>
      <c r="M7" s="11" t="s">
        <v>1654</v>
      </c>
    </row>
    <row r="9" spans="1:13" ht="15">
      <c r="A9" s="41" t="s">
        <v>220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3">
      <c r="A10" s="5" t="s">
        <v>1656</v>
      </c>
      <c r="B10" s="5" t="s">
        <v>1657</v>
      </c>
      <c r="C10" s="5" t="s">
        <v>566</v>
      </c>
      <c r="D10" s="5" t="str">
        <f>"1,2730"</f>
        <v>1,2730</v>
      </c>
      <c r="E10" s="5" t="s">
        <v>34</v>
      </c>
      <c r="F10" s="5" t="s">
        <v>35</v>
      </c>
      <c r="G10" s="7" t="s">
        <v>228</v>
      </c>
      <c r="H10" s="7" t="s">
        <v>247</v>
      </c>
      <c r="I10" s="7" t="s">
        <v>357</v>
      </c>
      <c r="J10" s="6"/>
      <c r="K10" s="5" t="str">
        <f>"107,5"</f>
        <v>107,5</v>
      </c>
      <c r="L10" s="7" t="str">
        <f>"136,8475"</f>
        <v>136,8475</v>
      </c>
      <c r="M10" s="5" t="s">
        <v>1658</v>
      </c>
    </row>
    <row r="12" spans="1:13" ht="15">
      <c r="A12" s="41" t="s">
        <v>342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8" t="s">
        <v>1659</v>
      </c>
      <c r="B13" s="8" t="s">
        <v>351</v>
      </c>
      <c r="C13" s="8" t="s">
        <v>1660</v>
      </c>
      <c r="D13" s="8" t="str">
        <f>"1,1766"</f>
        <v>1,1766</v>
      </c>
      <c r="E13" s="8" t="s">
        <v>34</v>
      </c>
      <c r="F13" s="8" t="s">
        <v>35</v>
      </c>
      <c r="G13" s="9" t="s">
        <v>186</v>
      </c>
      <c r="H13" s="9" t="s">
        <v>611</v>
      </c>
      <c r="I13" s="10" t="s">
        <v>260</v>
      </c>
      <c r="J13" s="10"/>
      <c r="K13" s="8" t="str">
        <f>"132,5"</f>
        <v>132,5</v>
      </c>
      <c r="L13" s="9" t="str">
        <f>"155,8995"</f>
        <v>155,8995</v>
      </c>
      <c r="M13" s="8" t="s">
        <v>273</v>
      </c>
    </row>
    <row r="14" spans="1:13">
      <c r="A14" s="14" t="s">
        <v>1662</v>
      </c>
      <c r="B14" s="14" t="s">
        <v>1663</v>
      </c>
      <c r="C14" s="14" t="s">
        <v>1664</v>
      </c>
      <c r="D14" s="14" t="str">
        <f>"1,1866"</f>
        <v>1,1866</v>
      </c>
      <c r="E14" s="14" t="s">
        <v>34</v>
      </c>
      <c r="F14" s="14" t="s">
        <v>35</v>
      </c>
      <c r="G14" s="16" t="s">
        <v>26</v>
      </c>
      <c r="H14" s="16" t="s">
        <v>357</v>
      </c>
      <c r="I14" s="15" t="s">
        <v>192</v>
      </c>
      <c r="J14" s="15"/>
      <c r="K14" s="14" t="str">
        <f>"107,5"</f>
        <v>107,5</v>
      </c>
      <c r="L14" s="16" t="str">
        <f>"127,5595"</f>
        <v>127,5595</v>
      </c>
      <c r="M14" s="14" t="s">
        <v>791</v>
      </c>
    </row>
    <row r="15" spans="1:13">
      <c r="A15" s="11" t="s">
        <v>1567</v>
      </c>
      <c r="B15" s="11" t="s">
        <v>1568</v>
      </c>
      <c r="C15" s="11" t="s">
        <v>1569</v>
      </c>
      <c r="D15" s="11" t="str">
        <f>"1,1985"</f>
        <v>1,1985</v>
      </c>
      <c r="E15" s="11" t="s">
        <v>34</v>
      </c>
      <c r="F15" s="11" t="s">
        <v>35</v>
      </c>
      <c r="G15" s="12" t="s">
        <v>27</v>
      </c>
      <c r="H15" s="12" t="s">
        <v>260</v>
      </c>
      <c r="I15" s="13" t="s">
        <v>424</v>
      </c>
      <c r="J15" s="13"/>
      <c r="K15" s="11" t="str">
        <f>"137,5"</f>
        <v>137,5</v>
      </c>
      <c r="L15" s="12" t="str">
        <f>"164,7938"</f>
        <v>164,7938</v>
      </c>
      <c r="M15" s="11" t="s">
        <v>1104</v>
      </c>
    </row>
    <row r="17" spans="1:13" ht="15">
      <c r="A17" s="41" t="s">
        <v>391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3">
      <c r="A18" s="8" t="s">
        <v>1666</v>
      </c>
      <c r="B18" s="8" t="s">
        <v>1667</v>
      </c>
      <c r="C18" s="8" t="s">
        <v>572</v>
      </c>
      <c r="D18" s="8" t="str">
        <f>"1,1178"</f>
        <v>1,1178</v>
      </c>
      <c r="E18" s="8" t="s">
        <v>34</v>
      </c>
      <c r="F18" s="8" t="s">
        <v>35</v>
      </c>
      <c r="G18" s="10" t="s">
        <v>186</v>
      </c>
      <c r="H18" s="9" t="s">
        <v>27</v>
      </c>
      <c r="I18" s="10" t="s">
        <v>611</v>
      </c>
      <c r="J18" s="10"/>
      <c r="K18" s="8" t="str">
        <f>"130,0"</f>
        <v>130,0</v>
      </c>
      <c r="L18" s="9" t="str">
        <f>"145,3140"</f>
        <v>145,3140</v>
      </c>
      <c r="M18" s="8" t="s">
        <v>553</v>
      </c>
    </row>
    <row r="19" spans="1:13">
      <c r="A19" s="11" t="s">
        <v>1669</v>
      </c>
      <c r="B19" s="11" t="s">
        <v>1670</v>
      </c>
      <c r="C19" s="11" t="s">
        <v>1671</v>
      </c>
      <c r="D19" s="11" t="str">
        <f>"1,1295"</f>
        <v>1,1295</v>
      </c>
      <c r="E19" s="11" t="s">
        <v>34</v>
      </c>
      <c r="F19" s="11" t="s">
        <v>35</v>
      </c>
      <c r="G19" s="12" t="s">
        <v>52</v>
      </c>
      <c r="H19" s="12" t="s">
        <v>53</v>
      </c>
      <c r="I19" s="12" t="s">
        <v>21</v>
      </c>
      <c r="J19" s="13"/>
      <c r="K19" s="11" t="str">
        <f>"100,0"</f>
        <v>100,0</v>
      </c>
      <c r="L19" s="12" t="str">
        <f>"112,9500"</f>
        <v>112,9500</v>
      </c>
      <c r="M19" s="11" t="s">
        <v>1672</v>
      </c>
    </row>
    <row r="21" spans="1:13" ht="15">
      <c r="A21" s="41" t="s">
        <v>13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3">
      <c r="A22" s="8" t="s">
        <v>1674</v>
      </c>
      <c r="B22" s="8" t="s">
        <v>1675</v>
      </c>
      <c r="C22" s="8" t="s">
        <v>1122</v>
      </c>
      <c r="D22" s="8" t="str">
        <f>"1,0261"</f>
        <v>1,0261</v>
      </c>
      <c r="E22" s="8" t="s">
        <v>1676</v>
      </c>
      <c r="F22" s="8" t="s">
        <v>1677</v>
      </c>
      <c r="G22" s="9" t="s">
        <v>192</v>
      </c>
      <c r="H22" s="9" t="s">
        <v>234</v>
      </c>
      <c r="I22" s="10" t="s">
        <v>260</v>
      </c>
      <c r="J22" s="10"/>
      <c r="K22" s="8" t="str">
        <f>"120,0"</f>
        <v>120,0</v>
      </c>
      <c r="L22" s="9" t="str">
        <f>"123,1320"</f>
        <v>123,1320</v>
      </c>
      <c r="M22" s="8" t="s">
        <v>1678</v>
      </c>
    </row>
    <row r="23" spans="1:13">
      <c r="A23" s="14" t="s">
        <v>1680</v>
      </c>
      <c r="B23" s="14" t="s">
        <v>1681</v>
      </c>
      <c r="C23" s="14" t="s">
        <v>789</v>
      </c>
      <c r="D23" s="14" t="str">
        <f>"1,0455"</f>
        <v>1,0455</v>
      </c>
      <c r="E23" s="14" t="s">
        <v>18</v>
      </c>
      <c r="F23" s="14" t="s">
        <v>468</v>
      </c>
      <c r="G23" s="16" t="s">
        <v>247</v>
      </c>
      <c r="H23" s="16" t="s">
        <v>409</v>
      </c>
      <c r="I23" s="15" t="s">
        <v>578</v>
      </c>
      <c r="J23" s="15"/>
      <c r="K23" s="14" t="str">
        <f>"117,5"</f>
        <v>117,5</v>
      </c>
      <c r="L23" s="16" t="str">
        <f>"122,8463"</f>
        <v>122,8463</v>
      </c>
      <c r="M23" s="14" t="s">
        <v>1682</v>
      </c>
    </row>
    <row r="24" spans="1:13">
      <c r="A24" s="14" t="s">
        <v>1684</v>
      </c>
      <c r="B24" s="14" t="s">
        <v>1685</v>
      </c>
      <c r="C24" s="14" t="s">
        <v>233</v>
      </c>
      <c r="D24" s="14" t="str">
        <f>"1,0444"</f>
        <v>1,0444</v>
      </c>
      <c r="E24" s="14" t="s">
        <v>34</v>
      </c>
      <c r="F24" s="14" t="s">
        <v>35</v>
      </c>
      <c r="G24" s="16" t="s">
        <v>26</v>
      </c>
      <c r="H24" s="16" t="s">
        <v>192</v>
      </c>
      <c r="I24" s="15" t="s">
        <v>22</v>
      </c>
      <c r="J24" s="15"/>
      <c r="K24" s="14" t="str">
        <f>"110,0"</f>
        <v>110,0</v>
      </c>
      <c r="L24" s="16" t="str">
        <f>"114,8840"</f>
        <v>114,8840</v>
      </c>
      <c r="M24" s="14" t="s">
        <v>1371</v>
      </c>
    </row>
    <row r="25" spans="1:13">
      <c r="A25" s="14" t="s">
        <v>1687</v>
      </c>
      <c r="B25" s="14" t="s">
        <v>1688</v>
      </c>
      <c r="C25" s="14" t="s">
        <v>1114</v>
      </c>
      <c r="D25" s="14" t="str">
        <f>"1,0206"</f>
        <v>1,0206</v>
      </c>
      <c r="E25" s="14" t="s">
        <v>18</v>
      </c>
      <c r="F25" s="14" t="s">
        <v>48</v>
      </c>
      <c r="G25" s="16" t="s">
        <v>192</v>
      </c>
      <c r="H25" s="16" t="s">
        <v>234</v>
      </c>
      <c r="I25" s="16" t="s">
        <v>27</v>
      </c>
      <c r="J25" s="15"/>
      <c r="K25" s="14" t="str">
        <f>"130,0"</f>
        <v>130,0</v>
      </c>
      <c r="L25" s="16" t="str">
        <f>"152,1817"</f>
        <v>152,1817</v>
      </c>
      <c r="M25" s="14"/>
    </row>
    <row r="26" spans="1:13">
      <c r="A26" s="11" t="s">
        <v>1690</v>
      </c>
      <c r="B26" s="11" t="s">
        <v>1691</v>
      </c>
      <c r="C26" s="11" t="s">
        <v>17</v>
      </c>
      <c r="D26" s="11" t="str">
        <f>"1,0420"</f>
        <v>1,0420</v>
      </c>
      <c r="E26" s="11" t="s">
        <v>34</v>
      </c>
      <c r="F26" s="11" t="s">
        <v>35</v>
      </c>
      <c r="G26" s="12" t="s">
        <v>186</v>
      </c>
      <c r="H26" s="12" t="s">
        <v>27</v>
      </c>
      <c r="I26" s="12" t="s">
        <v>236</v>
      </c>
      <c r="J26" s="13"/>
      <c r="K26" s="11" t="str">
        <f>"135,0"</f>
        <v>135,0</v>
      </c>
      <c r="L26" s="12" t="str">
        <f>"181,6050"</f>
        <v>181,6050</v>
      </c>
      <c r="M26" s="11" t="s">
        <v>273</v>
      </c>
    </row>
    <row r="28" spans="1:13" ht="15">
      <c r="A28" s="41" t="s">
        <v>237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3">
      <c r="A29" s="8" t="s">
        <v>1693</v>
      </c>
      <c r="B29" s="8" t="s">
        <v>1694</v>
      </c>
      <c r="C29" s="8" t="s">
        <v>605</v>
      </c>
      <c r="D29" s="8" t="str">
        <f>"0,9681"</f>
        <v>0,9681</v>
      </c>
      <c r="E29" s="8" t="s">
        <v>34</v>
      </c>
      <c r="F29" s="8" t="s">
        <v>35</v>
      </c>
      <c r="G29" s="9" t="s">
        <v>20</v>
      </c>
      <c r="H29" s="9" t="s">
        <v>51</v>
      </c>
      <c r="I29" s="9" t="s">
        <v>366</v>
      </c>
      <c r="J29" s="10"/>
      <c r="K29" s="8" t="str">
        <f>"87,5"</f>
        <v>87,5</v>
      </c>
      <c r="L29" s="9" t="str">
        <f>"88,3512"</f>
        <v>88,3512</v>
      </c>
      <c r="M29" s="8" t="s">
        <v>1371</v>
      </c>
    </row>
    <row r="30" spans="1:13">
      <c r="A30" s="11" t="s">
        <v>1695</v>
      </c>
      <c r="B30" s="11" t="s">
        <v>1696</v>
      </c>
      <c r="C30" s="11" t="s">
        <v>1697</v>
      </c>
      <c r="D30" s="11" t="str">
        <f>"0,9725"</f>
        <v>0,9725</v>
      </c>
      <c r="E30" s="11" t="s">
        <v>34</v>
      </c>
      <c r="F30" s="11" t="s">
        <v>35</v>
      </c>
      <c r="G30" s="13" t="s">
        <v>469</v>
      </c>
      <c r="H30" s="13" t="s">
        <v>469</v>
      </c>
      <c r="I30" s="13" t="s">
        <v>469</v>
      </c>
      <c r="J30" s="13"/>
      <c r="K30" s="11" t="str">
        <f>"0.00"</f>
        <v>0.00</v>
      </c>
      <c r="L30" s="12" t="str">
        <f>"0,0000"</f>
        <v>0,0000</v>
      </c>
      <c r="M30" s="11"/>
    </row>
    <row r="32" spans="1:13" ht="15">
      <c r="A32" s="41" t="s">
        <v>29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13">
      <c r="A33" s="5" t="s">
        <v>1699</v>
      </c>
      <c r="B33" s="5" t="s">
        <v>1700</v>
      </c>
      <c r="C33" s="5" t="s">
        <v>1230</v>
      </c>
      <c r="D33" s="5" t="str">
        <f>"0,9106"</f>
        <v>0,9106</v>
      </c>
      <c r="E33" s="5" t="s">
        <v>18</v>
      </c>
      <c r="F33" s="5" t="s">
        <v>384</v>
      </c>
      <c r="G33" s="7" t="s">
        <v>252</v>
      </c>
      <c r="H33" s="6" t="s">
        <v>409</v>
      </c>
      <c r="I33" s="6" t="s">
        <v>409</v>
      </c>
      <c r="J33" s="6"/>
      <c r="K33" s="5" t="str">
        <f>"112,5"</f>
        <v>112,5</v>
      </c>
      <c r="L33" s="7" t="str">
        <f>"102,4425"</f>
        <v>102,4425</v>
      </c>
      <c r="M33" s="5" t="s">
        <v>386</v>
      </c>
    </row>
    <row r="35" spans="1:13" ht="15">
      <c r="A35" s="41" t="s">
        <v>391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3">
      <c r="A36" s="5" t="s">
        <v>1701</v>
      </c>
      <c r="B36" s="5" t="s">
        <v>808</v>
      </c>
      <c r="C36" s="5" t="s">
        <v>809</v>
      </c>
      <c r="D36" s="5" t="str">
        <f>"0,8568"</f>
        <v>0,8568</v>
      </c>
      <c r="E36" s="5" t="s">
        <v>34</v>
      </c>
      <c r="F36" s="5" t="s">
        <v>35</v>
      </c>
      <c r="G36" s="7" t="s">
        <v>152</v>
      </c>
      <c r="H36" s="6" t="s">
        <v>117</v>
      </c>
      <c r="I36" s="6"/>
      <c r="J36" s="6"/>
      <c r="K36" s="5" t="str">
        <f>"235,0"</f>
        <v>235,0</v>
      </c>
      <c r="L36" s="7" t="str">
        <f>"201,3480"</f>
        <v>201,3480</v>
      </c>
      <c r="M36" s="5" t="s">
        <v>1702</v>
      </c>
    </row>
    <row r="38" spans="1:13" ht="15">
      <c r="A38" s="41" t="s">
        <v>13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3">
      <c r="A39" s="8" t="s">
        <v>1704</v>
      </c>
      <c r="B39" s="8" t="s">
        <v>1705</v>
      </c>
      <c r="C39" s="8" t="s">
        <v>1108</v>
      </c>
      <c r="D39" s="8" t="str">
        <f>"0,7852"</f>
        <v>0,7852</v>
      </c>
      <c r="E39" s="8" t="s">
        <v>34</v>
      </c>
      <c r="F39" s="8" t="s">
        <v>35</v>
      </c>
      <c r="G39" s="9" t="s">
        <v>236</v>
      </c>
      <c r="H39" s="9" t="s">
        <v>469</v>
      </c>
      <c r="I39" s="9" t="s">
        <v>55</v>
      </c>
      <c r="J39" s="10"/>
      <c r="K39" s="8" t="str">
        <f>"160,0"</f>
        <v>160,0</v>
      </c>
      <c r="L39" s="9" t="str">
        <f>"125,6320"</f>
        <v>125,6320</v>
      </c>
      <c r="M39" s="8"/>
    </row>
    <row r="40" spans="1:13">
      <c r="A40" s="14" t="s">
        <v>1707</v>
      </c>
      <c r="B40" s="14" t="s">
        <v>1708</v>
      </c>
      <c r="C40" s="14" t="s">
        <v>1709</v>
      </c>
      <c r="D40" s="14" t="str">
        <f>"0,7842"</f>
        <v>0,7842</v>
      </c>
      <c r="E40" s="14" t="s">
        <v>18</v>
      </c>
      <c r="F40" s="14" t="s">
        <v>686</v>
      </c>
      <c r="G40" s="16" t="s">
        <v>83</v>
      </c>
      <c r="H40" s="16" t="s">
        <v>635</v>
      </c>
      <c r="I40" s="15" t="s">
        <v>120</v>
      </c>
      <c r="J40" s="15"/>
      <c r="K40" s="14" t="str">
        <f>"222,5"</f>
        <v>222,5</v>
      </c>
      <c r="L40" s="16" t="str">
        <f>"174,4845"</f>
        <v>174,4845</v>
      </c>
      <c r="M40" s="14" t="s">
        <v>1710</v>
      </c>
    </row>
    <row r="41" spans="1:13">
      <c r="A41" s="11" t="s">
        <v>1712</v>
      </c>
      <c r="B41" s="11" t="s">
        <v>1713</v>
      </c>
      <c r="C41" s="11" t="s">
        <v>1714</v>
      </c>
      <c r="D41" s="11" t="str">
        <f>"0,7881"</f>
        <v>0,7881</v>
      </c>
      <c r="E41" s="11" t="s">
        <v>641</v>
      </c>
      <c r="F41" s="11" t="s">
        <v>642</v>
      </c>
      <c r="G41" s="12" t="s">
        <v>84</v>
      </c>
      <c r="H41" s="13" t="s">
        <v>283</v>
      </c>
      <c r="I41" s="13" t="s">
        <v>283</v>
      </c>
      <c r="J41" s="13"/>
      <c r="K41" s="11" t="str">
        <f>"185,0"</f>
        <v>185,0</v>
      </c>
      <c r="L41" s="12" t="str">
        <f>"145,7985"</f>
        <v>145,7985</v>
      </c>
      <c r="M41" s="11" t="s">
        <v>606</v>
      </c>
    </row>
    <row r="43" spans="1:13" ht="15">
      <c r="A43" s="41" t="s">
        <v>237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3">
      <c r="A44" s="8" t="s">
        <v>1716</v>
      </c>
      <c r="B44" s="8" t="s">
        <v>1717</v>
      </c>
      <c r="C44" s="8" t="s">
        <v>1718</v>
      </c>
      <c r="D44" s="8" t="str">
        <f>"0,7221"</f>
        <v>0,7221</v>
      </c>
      <c r="E44" s="8" t="s">
        <v>34</v>
      </c>
      <c r="F44" s="8" t="s">
        <v>35</v>
      </c>
      <c r="G44" s="9" t="s">
        <v>120</v>
      </c>
      <c r="H44" s="10" t="s">
        <v>117</v>
      </c>
      <c r="I44" s="10" t="s">
        <v>117</v>
      </c>
      <c r="J44" s="10"/>
      <c r="K44" s="8" t="str">
        <f>"225,0"</f>
        <v>225,0</v>
      </c>
      <c r="L44" s="9" t="str">
        <f>"162,4725"</f>
        <v>162,4725</v>
      </c>
      <c r="M44" s="8"/>
    </row>
    <row r="45" spans="1:13">
      <c r="A45" s="14" t="s">
        <v>1719</v>
      </c>
      <c r="B45" s="14" t="s">
        <v>1720</v>
      </c>
      <c r="C45" s="14" t="s">
        <v>1721</v>
      </c>
      <c r="D45" s="14" t="str">
        <f>"0,7278"</f>
        <v>0,7278</v>
      </c>
      <c r="E45" s="14" t="s">
        <v>34</v>
      </c>
      <c r="F45" s="14" t="s">
        <v>35</v>
      </c>
      <c r="G45" s="16" t="s">
        <v>425</v>
      </c>
      <c r="H45" s="16" t="s">
        <v>679</v>
      </c>
      <c r="I45" s="16" t="s">
        <v>39</v>
      </c>
      <c r="J45" s="15"/>
      <c r="K45" s="14" t="str">
        <f>"167,5"</f>
        <v>167,5</v>
      </c>
      <c r="L45" s="16" t="str">
        <f>"121,9065"</f>
        <v>121,9065</v>
      </c>
      <c r="M45" s="14"/>
    </row>
    <row r="46" spans="1:13">
      <c r="A46" s="14" t="s">
        <v>1722</v>
      </c>
      <c r="B46" s="14" t="s">
        <v>1723</v>
      </c>
      <c r="C46" s="14" t="s">
        <v>1718</v>
      </c>
      <c r="D46" s="14" t="str">
        <f>"0,7221"</f>
        <v>0,7221</v>
      </c>
      <c r="E46" s="14" t="s">
        <v>34</v>
      </c>
      <c r="F46" s="14" t="s">
        <v>35</v>
      </c>
      <c r="G46" s="16" t="s">
        <v>64</v>
      </c>
      <c r="H46" s="16" t="s">
        <v>54</v>
      </c>
      <c r="I46" s="15" t="s">
        <v>55</v>
      </c>
      <c r="J46" s="15"/>
      <c r="K46" s="14" t="str">
        <f>"155,0"</f>
        <v>155,0</v>
      </c>
      <c r="L46" s="16" t="str">
        <f>"111,9255"</f>
        <v>111,9255</v>
      </c>
      <c r="M46" s="14" t="s">
        <v>1724</v>
      </c>
    </row>
    <row r="47" spans="1:13">
      <c r="A47" s="11" t="s">
        <v>1214</v>
      </c>
      <c r="B47" s="11" t="s">
        <v>1215</v>
      </c>
      <c r="C47" s="11" t="s">
        <v>403</v>
      </c>
      <c r="D47" s="11" t="str">
        <f>"0,7207"</f>
        <v>0,7207</v>
      </c>
      <c r="E47" s="11" t="s">
        <v>18</v>
      </c>
      <c r="F47" s="11" t="s">
        <v>480</v>
      </c>
      <c r="G47" s="12" t="s">
        <v>49</v>
      </c>
      <c r="H47" s="12" t="s">
        <v>50</v>
      </c>
      <c r="I47" s="12" t="s">
        <v>64</v>
      </c>
      <c r="J47" s="13"/>
      <c r="K47" s="11" t="str">
        <f>"150,0"</f>
        <v>150,0</v>
      </c>
      <c r="L47" s="12" t="str">
        <f>"189,8324"</f>
        <v>189,8324</v>
      </c>
      <c r="M47" s="11" t="s">
        <v>1216</v>
      </c>
    </row>
    <row r="49" spans="1:13" ht="15">
      <c r="A49" s="41" t="s">
        <v>29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3">
      <c r="A50" s="8" t="s">
        <v>1726</v>
      </c>
      <c r="B50" s="8" t="s">
        <v>1727</v>
      </c>
      <c r="C50" s="8" t="s">
        <v>1728</v>
      </c>
      <c r="D50" s="8" t="str">
        <f>"0,7023"</f>
        <v>0,7023</v>
      </c>
      <c r="E50" s="8" t="s">
        <v>1729</v>
      </c>
      <c r="F50" s="8" t="s">
        <v>1730</v>
      </c>
      <c r="G50" s="9" t="s">
        <v>93</v>
      </c>
      <c r="H50" s="9" t="s">
        <v>106</v>
      </c>
      <c r="I50" s="9" t="s">
        <v>436</v>
      </c>
      <c r="J50" s="10"/>
      <c r="K50" s="8" t="str">
        <f>"187,5"</f>
        <v>187,5</v>
      </c>
      <c r="L50" s="9" t="str">
        <f>"131,6813"</f>
        <v>131,6813</v>
      </c>
      <c r="M50" s="8"/>
    </row>
    <row r="51" spans="1:13">
      <c r="A51" s="14" t="s">
        <v>1732</v>
      </c>
      <c r="B51" s="14" t="s">
        <v>1733</v>
      </c>
      <c r="C51" s="14" t="s">
        <v>1734</v>
      </c>
      <c r="D51" s="14" t="str">
        <f>"0,6860"</f>
        <v>0,6860</v>
      </c>
      <c r="E51" s="14" t="s">
        <v>18</v>
      </c>
      <c r="F51" s="14" t="s">
        <v>474</v>
      </c>
      <c r="G51" s="16" t="s">
        <v>82</v>
      </c>
      <c r="H51" s="16" t="s">
        <v>112</v>
      </c>
      <c r="I51" s="15"/>
      <c r="J51" s="15"/>
      <c r="K51" s="14" t="str">
        <f>"200,0"</f>
        <v>200,0</v>
      </c>
      <c r="L51" s="16" t="str">
        <f>"137,2000"</f>
        <v>137,2000</v>
      </c>
      <c r="M51" s="14" t="s">
        <v>476</v>
      </c>
    </row>
    <row r="52" spans="1:13">
      <c r="A52" s="14" t="s">
        <v>1736</v>
      </c>
      <c r="B52" s="14" t="s">
        <v>1737</v>
      </c>
      <c r="C52" s="14" t="s">
        <v>1738</v>
      </c>
      <c r="D52" s="14" t="str">
        <f>"0,7112"</f>
        <v>0,7112</v>
      </c>
      <c r="E52" s="14" t="s">
        <v>641</v>
      </c>
      <c r="F52" s="14" t="s">
        <v>642</v>
      </c>
      <c r="G52" s="16" t="s">
        <v>271</v>
      </c>
      <c r="H52" s="15" t="s">
        <v>67</v>
      </c>
      <c r="I52" s="15" t="s">
        <v>67</v>
      </c>
      <c r="J52" s="15"/>
      <c r="K52" s="14" t="str">
        <f>"282,5"</f>
        <v>282,5</v>
      </c>
      <c r="L52" s="16" t="str">
        <f>"200,9140"</f>
        <v>200,9140</v>
      </c>
      <c r="M52" s="14" t="s">
        <v>643</v>
      </c>
    </row>
    <row r="53" spans="1:13">
      <c r="A53" s="14" t="s">
        <v>1740</v>
      </c>
      <c r="B53" s="14" t="s">
        <v>1741</v>
      </c>
      <c r="C53" s="14" t="s">
        <v>1742</v>
      </c>
      <c r="D53" s="14" t="str">
        <f>"0,6734"</f>
        <v>0,6734</v>
      </c>
      <c r="E53" s="14" t="s">
        <v>1743</v>
      </c>
      <c r="F53" s="14" t="s">
        <v>1744</v>
      </c>
      <c r="G53" s="16" t="s">
        <v>152</v>
      </c>
      <c r="H53" s="16" t="s">
        <v>42</v>
      </c>
      <c r="I53" s="15" t="s">
        <v>92</v>
      </c>
      <c r="J53" s="15"/>
      <c r="K53" s="14" t="str">
        <f>"252,5"</f>
        <v>252,5</v>
      </c>
      <c r="L53" s="16" t="str">
        <f>"170,0335"</f>
        <v>170,0335</v>
      </c>
      <c r="M53" s="14" t="s">
        <v>1745</v>
      </c>
    </row>
    <row r="54" spans="1:13">
      <c r="A54" s="14" t="s">
        <v>432</v>
      </c>
      <c r="B54" s="14" t="s">
        <v>433</v>
      </c>
      <c r="C54" s="14" t="s">
        <v>434</v>
      </c>
      <c r="D54" s="14" t="str">
        <f>"0,6754"</f>
        <v>0,6754</v>
      </c>
      <c r="E54" s="14" t="s">
        <v>18</v>
      </c>
      <c r="F54" s="14" t="s">
        <v>435</v>
      </c>
      <c r="G54" s="16" t="s">
        <v>83</v>
      </c>
      <c r="H54" s="16" t="s">
        <v>120</v>
      </c>
      <c r="I54" s="16" t="s">
        <v>91</v>
      </c>
      <c r="J54" s="15"/>
      <c r="K54" s="14" t="str">
        <f>"240,0"</f>
        <v>240,0</v>
      </c>
      <c r="L54" s="16" t="str">
        <f>"162,0960"</f>
        <v>162,0960</v>
      </c>
      <c r="M54" s="14" t="s">
        <v>437</v>
      </c>
    </row>
    <row r="55" spans="1:13">
      <c r="A55" s="14" t="s">
        <v>1747</v>
      </c>
      <c r="B55" s="14" t="s">
        <v>1748</v>
      </c>
      <c r="C55" s="14" t="s">
        <v>835</v>
      </c>
      <c r="D55" s="14" t="str">
        <f>"0,6739"</f>
        <v>0,6739</v>
      </c>
      <c r="E55" s="14" t="s">
        <v>103</v>
      </c>
      <c r="F55" s="14" t="s">
        <v>104</v>
      </c>
      <c r="G55" s="15" t="s">
        <v>76</v>
      </c>
      <c r="H55" s="16" t="s">
        <v>76</v>
      </c>
      <c r="I55" s="16" t="s">
        <v>120</v>
      </c>
      <c r="J55" s="15"/>
      <c r="K55" s="14" t="str">
        <f>"225,0"</f>
        <v>225,0</v>
      </c>
      <c r="L55" s="16" t="str">
        <f>"151,6275"</f>
        <v>151,6275</v>
      </c>
      <c r="M55" s="14"/>
    </row>
    <row r="56" spans="1:13">
      <c r="A56" s="14" t="s">
        <v>1750</v>
      </c>
      <c r="B56" s="14" t="s">
        <v>1751</v>
      </c>
      <c r="C56" s="14" t="s">
        <v>33</v>
      </c>
      <c r="D56" s="14" t="str">
        <f>"0,6724"</f>
        <v>0,6724</v>
      </c>
      <c r="E56" s="14" t="s">
        <v>34</v>
      </c>
      <c r="F56" s="14" t="s">
        <v>35</v>
      </c>
      <c r="G56" s="16" t="s">
        <v>283</v>
      </c>
      <c r="H56" s="16" t="s">
        <v>85</v>
      </c>
      <c r="I56" s="15" t="s">
        <v>83</v>
      </c>
      <c r="J56" s="15"/>
      <c r="K56" s="14" t="str">
        <f>"205,0"</f>
        <v>205,0</v>
      </c>
      <c r="L56" s="16" t="str">
        <f>"137,8420"</f>
        <v>137,8420</v>
      </c>
      <c r="M56" s="14" t="s">
        <v>1752</v>
      </c>
    </row>
    <row r="57" spans="1:13">
      <c r="A57" s="14" t="s">
        <v>1754</v>
      </c>
      <c r="B57" s="14" t="s">
        <v>1755</v>
      </c>
      <c r="C57" s="14" t="s">
        <v>1742</v>
      </c>
      <c r="D57" s="14" t="str">
        <f>"0,6734"</f>
        <v>0,6734</v>
      </c>
      <c r="E57" s="14" t="s">
        <v>34</v>
      </c>
      <c r="F57" s="14" t="s">
        <v>35</v>
      </c>
      <c r="G57" s="16" t="s">
        <v>82</v>
      </c>
      <c r="H57" s="16" t="s">
        <v>112</v>
      </c>
      <c r="I57" s="15" t="s">
        <v>83</v>
      </c>
      <c r="J57" s="15"/>
      <c r="K57" s="14" t="str">
        <f>"200,0"</f>
        <v>200,0</v>
      </c>
      <c r="L57" s="16" t="str">
        <f>"134,6800"</f>
        <v>134,6800</v>
      </c>
      <c r="M57" s="14" t="s">
        <v>273</v>
      </c>
    </row>
    <row r="58" spans="1:13">
      <c r="A58" s="14" t="s">
        <v>1756</v>
      </c>
      <c r="B58" s="14" t="s">
        <v>1757</v>
      </c>
      <c r="C58" s="14" t="s">
        <v>629</v>
      </c>
      <c r="D58" s="14" t="str">
        <f>"0,6785"</f>
        <v>0,6785</v>
      </c>
      <c r="E58" s="14" t="s">
        <v>34</v>
      </c>
      <c r="F58" s="14" t="s">
        <v>35</v>
      </c>
      <c r="G58" s="16" t="s">
        <v>106</v>
      </c>
      <c r="H58" s="16" t="s">
        <v>436</v>
      </c>
      <c r="I58" s="15" t="s">
        <v>316</v>
      </c>
      <c r="J58" s="15"/>
      <c r="K58" s="14" t="str">
        <f>"187,5"</f>
        <v>187,5</v>
      </c>
      <c r="L58" s="16" t="str">
        <f>"127,2187"</f>
        <v>127,2187</v>
      </c>
      <c r="M58" s="14"/>
    </row>
    <row r="59" spans="1:13">
      <c r="A59" s="14" t="s">
        <v>1759</v>
      </c>
      <c r="B59" s="14" t="s">
        <v>1760</v>
      </c>
      <c r="C59" s="14" t="s">
        <v>1268</v>
      </c>
      <c r="D59" s="14" t="str">
        <f>"0,6779"</f>
        <v>0,6779</v>
      </c>
      <c r="E59" s="14" t="s">
        <v>34</v>
      </c>
      <c r="F59" s="14" t="s">
        <v>35</v>
      </c>
      <c r="G59" s="16" t="s">
        <v>106</v>
      </c>
      <c r="H59" s="16" t="s">
        <v>82</v>
      </c>
      <c r="I59" s="16" t="s">
        <v>112</v>
      </c>
      <c r="J59" s="15"/>
      <c r="K59" s="14" t="str">
        <f>"200,0"</f>
        <v>200,0</v>
      </c>
      <c r="L59" s="16" t="str">
        <f>"138,2916"</f>
        <v>138,2916</v>
      </c>
      <c r="M59" s="14"/>
    </row>
    <row r="60" spans="1:13">
      <c r="A60" s="14" t="s">
        <v>1762</v>
      </c>
      <c r="B60" s="14" t="s">
        <v>1763</v>
      </c>
      <c r="C60" s="14" t="s">
        <v>1244</v>
      </c>
      <c r="D60" s="14" t="str">
        <f>"0,6774"</f>
        <v>0,6774</v>
      </c>
      <c r="E60" s="14" t="s">
        <v>34</v>
      </c>
      <c r="F60" s="14" t="s">
        <v>35</v>
      </c>
      <c r="G60" s="16" t="s">
        <v>442</v>
      </c>
      <c r="H60" s="15" t="s">
        <v>36</v>
      </c>
      <c r="I60" s="15" t="s">
        <v>36</v>
      </c>
      <c r="J60" s="15"/>
      <c r="K60" s="14" t="str">
        <f>"217,5"</f>
        <v>217,5</v>
      </c>
      <c r="L60" s="16" t="str">
        <f>"157,3532"</f>
        <v>157,3532</v>
      </c>
      <c r="M60" s="14"/>
    </row>
    <row r="61" spans="1:13">
      <c r="A61" s="14" t="s">
        <v>1765</v>
      </c>
      <c r="B61" s="14" t="s">
        <v>1766</v>
      </c>
      <c r="C61" s="14" t="s">
        <v>417</v>
      </c>
      <c r="D61" s="14" t="str">
        <f>"0,6769"</f>
        <v>0,6769</v>
      </c>
      <c r="E61" s="14" t="s">
        <v>34</v>
      </c>
      <c r="F61" s="14" t="s">
        <v>35</v>
      </c>
      <c r="G61" s="16" t="s">
        <v>112</v>
      </c>
      <c r="H61" s="16" t="s">
        <v>85</v>
      </c>
      <c r="I61" s="16" t="s">
        <v>83</v>
      </c>
      <c r="J61" s="15"/>
      <c r="K61" s="14" t="str">
        <f>"210,0"</f>
        <v>210,0</v>
      </c>
      <c r="L61" s="16" t="str">
        <f>"180,2449"</f>
        <v>180,2449</v>
      </c>
      <c r="M61" s="14"/>
    </row>
    <row r="62" spans="1:13">
      <c r="A62" s="14" t="s">
        <v>1768</v>
      </c>
      <c r="B62" s="14" t="s">
        <v>1769</v>
      </c>
      <c r="C62" s="14" t="s">
        <v>1770</v>
      </c>
      <c r="D62" s="14" t="str">
        <f>"0,7042"</f>
        <v>0,7042</v>
      </c>
      <c r="E62" s="14" t="s">
        <v>18</v>
      </c>
      <c r="F62" s="14" t="s">
        <v>127</v>
      </c>
      <c r="G62" s="16" t="s">
        <v>85</v>
      </c>
      <c r="H62" s="16" t="s">
        <v>442</v>
      </c>
      <c r="I62" s="15"/>
      <c r="J62" s="15"/>
      <c r="K62" s="14" t="str">
        <f>"217,5"</f>
        <v>217,5</v>
      </c>
      <c r="L62" s="16" t="str">
        <f>"209,2213"</f>
        <v>209,2213</v>
      </c>
      <c r="M62" s="14" t="s">
        <v>131</v>
      </c>
    </row>
    <row r="63" spans="1:13">
      <c r="A63" s="11" t="s">
        <v>1270</v>
      </c>
      <c r="B63" s="11" t="s">
        <v>1271</v>
      </c>
      <c r="C63" s="11" t="s">
        <v>1272</v>
      </c>
      <c r="D63" s="11" t="str">
        <f>"0,6945"</f>
        <v>0,6945</v>
      </c>
      <c r="E63" s="11" t="s">
        <v>18</v>
      </c>
      <c r="F63" s="11" t="s">
        <v>480</v>
      </c>
      <c r="G63" s="12" t="s">
        <v>578</v>
      </c>
      <c r="H63" s="13" t="s">
        <v>579</v>
      </c>
      <c r="I63" s="13" t="s">
        <v>579</v>
      </c>
      <c r="J63" s="13"/>
      <c r="K63" s="11" t="str">
        <f>"122,5"</f>
        <v>122,5</v>
      </c>
      <c r="L63" s="12" t="str">
        <f>"174,4063"</f>
        <v>174,4063</v>
      </c>
      <c r="M63" s="11"/>
    </row>
    <row r="65" spans="1:13" ht="15">
      <c r="A65" s="41" t="s">
        <v>56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3">
      <c r="A66" s="8" t="s">
        <v>1772</v>
      </c>
      <c r="B66" s="8" t="s">
        <v>1773</v>
      </c>
      <c r="C66" s="8" t="s">
        <v>1774</v>
      </c>
      <c r="D66" s="8" t="str">
        <f>"0,6515"</f>
        <v>0,6515</v>
      </c>
      <c r="E66" s="8" t="s">
        <v>103</v>
      </c>
      <c r="F66" s="8" t="s">
        <v>1775</v>
      </c>
      <c r="G66" s="9" t="s">
        <v>64</v>
      </c>
      <c r="H66" s="9" t="s">
        <v>93</v>
      </c>
      <c r="I66" s="10" t="s">
        <v>82</v>
      </c>
      <c r="J66" s="10"/>
      <c r="K66" s="8" t="str">
        <f>"170,0"</f>
        <v>170,0</v>
      </c>
      <c r="L66" s="9" t="str">
        <f>"110,7550"</f>
        <v>110,7550</v>
      </c>
      <c r="M66" s="8" t="s">
        <v>1776</v>
      </c>
    </row>
    <row r="67" spans="1:13">
      <c r="A67" s="14" t="s">
        <v>1778</v>
      </c>
      <c r="B67" s="14" t="s">
        <v>1779</v>
      </c>
      <c r="C67" s="14" t="s">
        <v>72</v>
      </c>
      <c r="D67" s="14" t="str">
        <f>"0,6391"</f>
        <v>0,6391</v>
      </c>
      <c r="E67" s="14" t="s">
        <v>34</v>
      </c>
      <c r="F67" s="14" t="s">
        <v>35</v>
      </c>
      <c r="G67" s="16" t="s">
        <v>1780</v>
      </c>
      <c r="H67" s="16" t="s">
        <v>1781</v>
      </c>
      <c r="I67" s="16" t="s">
        <v>1782</v>
      </c>
      <c r="J67" s="15" t="s">
        <v>1783</v>
      </c>
      <c r="K67" s="14" t="str">
        <f>"327,5"</f>
        <v>327,5</v>
      </c>
      <c r="L67" s="16" t="str">
        <f>"209,3053"</f>
        <v>209,3053</v>
      </c>
      <c r="M67" s="14"/>
    </row>
    <row r="68" spans="1:13">
      <c r="A68" s="14" t="s">
        <v>1785</v>
      </c>
      <c r="B68" s="14" t="s">
        <v>1786</v>
      </c>
      <c r="C68" s="14" t="s">
        <v>1274</v>
      </c>
      <c r="D68" s="14" t="str">
        <f>"0,6447"</f>
        <v>0,6447</v>
      </c>
      <c r="E68" s="14" t="s">
        <v>18</v>
      </c>
      <c r="F68" s="14" t="s">
        <v>127</v>
      </c>
      <c r="G68" s="16" t="s">
        <v>117</v>
      </c>
      <c r="H68" s="15" t="s">
        <v>92</v>
      </c>
      <c r="I68" s="16" t="s">
        <v>92</v>
      </c>
      <c r="J68" s="15"/>
      <c r="K68" s="14" t="str">
        <f>"260,0"</f>
        <v>260,0</v>
      </c>
      <c r="L68" s="16" t="str">
        <f>"167,6220"</f>
        <v>167,6220</v>
      </c>
      <c r="M68" s="14" t="s">
        <v>1787</v>
      </c>
    </row>
    <row r="69" spans="1:13">
      <c r="A69" s="14" t="s">
        <v>1788</v>
      </c>
      <c r="B69" s="14" t="s">
        <v>657</v>
      </c>
      <c r="C69" s="14" t="s">
        <v>658</v>
      </c>
      <c r="D69" s="14" t="str">
        <f>"0,6428"</f>
        <v>0,6428</v>
      </c>
      <c r="E69" s="14" t="s">
        <v>34</v>
      </c>
      <c r="F69" s="14" t="s">
        <v>35</v>
      </c>
      <c r="G69" s="16" t="s">
        <v>36</v>
      </c>
      <c r="H69" s="16" t="s">
        <v>117</v>
      </c>
      <c r="I69" s="16" t="s">
        <v>105</v>
      </c>
      <c r="J69" s="15"/>
      <c r="K69" s="14" t="str">
        <f>"255,0"</f>
        <v>255,0</v>
      </c>
      <c r="L69" s="16" t="str">
        <f>"163,9140"</f>
        <v>163,9140</v>
      </c>
      <c r="M69" s="14" t="s">
        <v>659</v>
      </c>
    </row>
    <row r="70" spans="1:13">
      <c r="A70" s="14" t="s">
        <v>1790</v>
      </c>
      <c r="B70" s="14" t="s">
        <v>1791</v>
      </c>
      <c r="C70" s="14" t="s">
        <v>447</v>
      </c>
      <c r="D70" s="14" t="str">
        <f>"0,6395"</f>
        <v>0,6395</v>
      </c>
      <c r="E70" s="14" t="s">
        <v>18</v>
      </c>
      <c r="F70" s="14" t="s">
        <v>127</v>
      </c>
      <c r="G70" s="16" t="s">
        <v>41</v>
      </c>
      <c r="H70" s="15" t="s">
        <v>92</v>
      </c>
      <c r="I70" s="15" t="s">
        <v>92</v>
      </c>
      <c r="J70" s="15"/>
      <c r="K70" s="14" t="str">
        <f>"245,0"</f>
        <v>245,0</v>
      </c>
      <c r="L70" s="16" t="str">
        <f>"156,6775"</f>
        <v>156,6775</v>
      </c>
      <c r="M70" s="14" t="s">
        <v>266</v>
      </c>
    </row>
    <row r="71" spans="1:13">
      <c r="A71" s="14" t="s">
        <v>1793</v>
      </c>
      <c r="B71" s="14" t="s">
        <v>1794</v>
      </c>
      <c r="C71" s="14" t="s">
        <v>1317</v>
      </c>
      <c r="D71" s="14" t="str">
        <f>"0,6417"</f>
        <v>0,6417</v>
      </c>
      <c r="E71" s="14" t="s">
        <v>18</v>
      </c>
      <c r="F71" s="14" t="s">
        <v>468</v>
      </c>
      <c r="G71" s="16" t="s">
        <v>143</v>
      </c>
      <c r="H71" s="16" t="s">
        <v>91</v>
      </c>
      <c r="I71" s="15" t="s">
        <v>41</v>
      </c>
      <c r="J71" s="15"/>
      <c r="K71" s="14" t="str">
        <f>"240,0"</f>
        <v>240,0</v>
      </c>
      <c r="L71" s="16" t="str">
        <f>"154,0080"</f>
        <v>154,0080</v>
      </c>
      <c r="M71" s="14" t="s">
        <v>266</v>
      </c>
    </row>
    <row r="72" spans="1:13">
      <c r="A72" s="14" t="s">
        <v>1796</v>
      </c>
      <c r="B72" s="14" t="s">
        <v>1797</v>
      </c>
      <c r="C72" s="14" t="s">
        <v>1798</v>
      </c>
      <c r="D72" s="14" t="str">
        <f>"0,6536"</f>
        <v>0,6536</v>
      </c>
      <c r="E72" s="14" t="s">
        <v>103</v>
      </c>
      <c r="F72" s="14" t="s">
        <v>1775</v>
      </c>
      <c r="G72" s="16" t="s">
        <v>82</v>
      </c>
      <c r="H72" s="16" t="s">
        <v>112</v>
      </c>
      <c r="I72" s="16" t="s">
        <v>75</v>
      </c>
      <c r="J72" s="15"/>
      <c r="K72" s="14" t="str">
        <f>"215,0"</f>
        <v>215,0</v>
      </c>
      <c r="L72" s="16" t="str">
        <f>"140,5240"</f>
        <v>140,5240</v>
      </c>
      <c r="M72" s="14" t="s">
        <v>1799</v>
      </c>
    </row>
    <row r="73" spans="1:13">
      <c r="A73" s="11" t="s">
        <v>1800</v>
      </c>
      <c r="B73" s="11" t="s">
        <v>446</v>
      </c>
      <c r="C73" s="11" t="s">
        <v>447</v>
      </c>
      <c r="D73" s="11" t="str">
        <f>"0,6395"</f>
        <v>0,6395</v>
      </c>
      <c r="E73" s="11" t="s">
        <v>34</v>
      </c>
      <c r="F73" s="11" t="s">
        <v>35</v>
      </c>
      <c r="G73" s="12" t="s">
        <v>283</v>
      </c>
      <c r="H73" s="12" t="s">
        <v>85</v>
      </c>
      <c r="I73" s="13" t="s">
        <v>75</v>
      </c>
      <c r="J73" s="13"/>
      <c r="K73" s="11" t="str">
        <f>"205,0"</f>
        <v>205,0</v>
      </c>
      <c r="L73" s="12" t="str">
        <f>"131,0975"</f>
        <v>131,0975</v>
      </c>
      <c r="M73" s="11" t="s">
        <v>448</v>
      </c>
    </row>
    <row r="75" spans="1:13" ht="15">
      <c r="A75" s="41" t="s">
        <v>86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3">
      <c r="A76" s="8" t="s">
        <v>1802</v>
      </c>
      <c r="B76" s="8" t="s">
        <v>1803</v>
      </c>
      <c r="C76" s="8" t="s">
        <v>1804</v>
      </c>
      <c r="D76" s="8" t="str">
        <f>"0,6191"</f>
        <v>0,6191</v>
      </c>
      <c r="E76" s="8" t="s">
        <v>34</v>
      </c>
      <c r="F76" s="8" t="s">
        <v>35</v>
      </c>
      <c r="G76" s="9" t="s">
        <v>65</v>
      </c>
      <c r="H76" s="10" t="s">
        <v>1031</v>
      </c>
      <c r="I76" s="9" t="s">
        <v>1031</v>
      </c>
      <c r="J76" s="10"/>
      <c r="K76" s="8" t="str">
        <f>"272,5"</f>
        <v>272,5</v>
      </c>
      <c r="L76" s="9" t="str">
        <f>"168,7047"</f>
        <v>168,7047</v>
      </c>
      <c r="M76" s="8"/>
    </row>
    <row r="77" spans="1:13">
      <c r="A77" s="14" t="s">
        <v>1806</v>
      </c>
      <c r="B77" s="14" t="s">
        <v>1807</v>
      </c>
      <c r="C77" s="14" t="s">
        <v>1808</v>
      </c>
      <c r="D77" s="14" t="str">
        <f>"0,6169"</f>
        <v>0,6169</v>
      </c>
      <c r="E77" s="14" t="s">
        <v>18</v>
      </c>
      <c r="F77" s="14" t="s">
        <v>468</v>
      </c>
      <c r="G77" s="16" t="s">
        <v>41</v>
      </c>
      <c r="H77" s="16" t="s">
        <v>42</v>
      </c>
      <c r="I77" s="16" t="s">
        <v>43</v>
      </c>
      <c r="J77" s="15"/>
      <c r="K77" s="14" t="str">
        <f>"257,5"</f>
        <v>257,5</v>
      </c>
      <c r="L77" s="16" t="str">
        <f>"158,8518"</f>
        <v>158,8518</v>
      </c>
      <c r="M77" s="14"/>
    </row>
    <row r="78" spans="1:13">
      <c r="A78" s="14" t="s">
        <v>1810</v>
      </c>
      <c r="B78" s="14" t="s">
        <v>1811</v>
      </c>
      <c r="C78" s="14" t="s">
        <v>1812</v>
      </c>
      <c r="D78" s="14" t="str">
        <f>"0,6186"</f>
        <v>0,6186</v>
      </c>
      <c r="E78" s="14" t="s">
        <v>103</v>
      </c>
      <c r="F78" s="14" t="s">
        <v>1775</v>
      </c>
      <c r="G78" s="16" t="s">
        <v>76</v>
      </c>
      <c r="H78" s="15" t="s">
        <v>91</v>
      </c>
      <c r="I78" s="16" t="s">
        <v>117</v>
      </c>
      <c r="J78" s="15"/>
      <c r="K78" s="14" t="str">
        <f>"250,0"</f>
        <v>250,0</v>
      </c>
      <c r="L78" s="16" t="str">
        <f>"154,6500"</f>
        <v>154,6500</v>
      </c>
      <c r="M78" s="14" t="s">
        <v>1813</v>
      </c>
    </row>
    <row r="79" spans="1:13">
      <c r="A79" s="14" t="s">
        <v>1814</v>
      </c>
      <c r="B79" s="14" t="s">
        <v>670</v>
      </c>
      <c r="C79" s="14" t="s">
        <v>671</v>
      </c>
      <c r="D79" s="14" t="str">
        <f>"0,6266"</f>
        <v>0,6266</v>
      </c>
      <c r="E79" s="14" t="s">
        <v>672</v>
      </c>
      <c r="F79" s="14" t="s">
        <v>673</v>
      </c>
      <c r="G79" s="16" t="s">
        <v>76</v>
      </c>
      <c r="H79" s="16" t="s">
        <v>143</v>
      </c>
      <c r="I79" s="16" t="s">
        <v>37</v>
      </c>
      <c r="J79" s="15"/>
      <c r="K79" s="14" t="str">
        <f>"237,5"</f>
        <v>237,5</v>
      </c>
      <c r="L79" s="16" t="str">
        <f>"148,8175"</f>
        <v>148,8175</v>
      </c>
      <c r="M79" s="14" t="s">
        <v>674</v>
      </c>
    </row>
    <row r="80" spans="1:13">
      <c r="A80" s="14" t="s">
        <v>1816</v>
      </c>
      <c r="B80" s="14" t="s">
        <v>1817</v>
      </c>
      <c r="C80" s="14" t="s">
        <v>1613</v>
      </c>
      <c r="D80" s="14" t="str">
        <f>"0,6147"</f>
        <v>0,6147</v>
      </c>
      <c r="E80" s="14" t="s">
        <v>18</v>
      </c>
      <c r="F80" s="14" t="s">
        <v>127</v>
      </c>
      <c r="G80" s="16" t="s">
        <v>284</v>
      </c>
      <c r="H80" s="16" t="s">
        <v>159</v>
      </c>
      <c r="I80" s="16" t="s">
        <v>75</v>
      </c>
      <c r="J80" s="15"/>
      <c r="K80" s="14" t="str">
        <f>"215,0"</f>
        <v>215,0</v>
      </c>
      <c r="L80" s="16" t="str">
        <f>"132,1605"</f>
        <v>132,1605</v>
      </c>
      <c r="M80" s="14"/>
    </row>
    <row r="81" spans="1:13">
      <c r="A81" s="14" t="s">
        <v>1818</v>
      </c>
      <c r="B81" s="14" t="s">
        <v>1819</v>
      </c>
      <c r="C81" s="14" t="s">
        <v>892</v>
      </c>
      <c r="D81" s="14" t="str">
        <f>"0,6129"</f>
        <v>0,6129</v>
      </c>
      <c r="E81" s="14" t="s">
        <v>18</v>
      </c>
      <c r="F81" s="14" t="s">
        <v>384</v>
      </c>
      <c r="G81" s="15" t="s">
        <v>283</v>
      </c>
      <c r="H81" s="15" t="s">
        <v>284</v>
      </c>
      <c r="I81" s="15" t="s">
        <v>441</v>
      </c>
      <c r="J81" s="15"/>
      <c r="K81" s="14" t="str">
        <f>"0.00"</f>
        <v>0.00</v>
      </c>
      <c r="L81" s="16" t="str">
        <f>"0,0000"</f>
        <v>0,0000</v>
      </c>
      <c r="M81" s="14" t="s">
        <v>1820</v>
      </c>
    </row>
    <row r="82" spans="1:13">
      <c r="A82" s="11" t="s">
        <v>1821</v>
      </c>
      <c r="B82" s="11" t="s">
        <v>1384</v>
      </c>
      <c r="C82" s="11" t="s">
        <v>1023</v>
      </c>
      <c r="D82" s="11" t="str">
        <f>"0,6086"</f>
        <v>0,6086</v>
      </c>
      <c r="E82" s="11" t="s">
        <v>34</v>
      </c>
      <c r="F82" s="11" t="s">
        <v>35</v>
      </c>
      <c r="G82" s="12" t="s">
        <v>84</v>
      </c>
      <c r="H82" s="12" t="s">
        <v>283</v>
      </c>
      <c r="I82" s="12" t="s">
        <v>85</v>
      </c>
      <c r="J82" s="13"/>
      <c r="K82" s="11" t="str">
        <f>"205,0"</f>
        <v>205,0</v>
      </c>
      <c r="L82" s="12" t="str">
        <f>"131,6250"</f>
        <v>131,6250</v>
      </c>
      <c r="M82" s="11" t="s">
        <v>1075</v>
      </c>
    </row>
    <row r="84" spans="1:13" ht="15">
      <c r="A84" s="41" t="s">
        <v>122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3">
      <c r="A85" s="8" t="s">
        <v>1823</v>
      </c>
      <c r="B85" s="8" t="s">
        <v>1824</v>
      </c>
      <c r="C85" s="8" t="s">
        <v>473</v>
      </c>
      <c r="D85" s="8" t="str">
        <f>"0,6069"</f>
        <v>0,6069</v>
      </c>
      <c r="E85" s="8" t="s">
        <v>18</v>
      </c>
      <c r="F85" s="8" t="s">
        <v>1825</v>
      </c>
      <c r="G85" s="9" t="s">
        <v>76</v>
      </c>
      <c r="H85" s="9" t="s">
        <v>91</v>
      </c>
      <c r="I85" s="9" t="s">
        <v>41</v>
      </c>
      <c r="J85" s="10"/>
      <c r="K85" s="8" t="str">
        <f>"245,0"</f>
        <v>245,0</v>
      </c>
      <c r="L85" s="9" t="str">
        <f>"148,6905"</f>
        <v>148,6905</v>
      </c>
      <c r="M85" s="8" t="s">
        <v>266</v>
      </c>
    </row>
    <row r="86" spans="1:13">
      <c r="A86" s="14" t="s">
        <v>1826</v>
      </c>
      <c r="B86" s="14" t="s">
        <v>479</v>
      </c>
      <c r="C86" s="14" t="s">
        <v>333</v>
      </c>
      <c r="D86" s="14" t="str">
        <f>"0,5919"</f>
        <v>0,5919</v>
      </c>
      <c r="E86" s="14" t="s">
        <v>18</v>
      </c>
      <c r="F86" s="14" t="s">
        <v>480</v>
      </c>
      <c r="G86" s="16" t="s">
        <v>76</v>
      </c>
      <c r="H86" s="16" t="s">
        <v>41</v>
      </c>
      <c r="I86" s="15" t="s">
        <v>42</v>
      </c>
      <c r="J86" s="15"/>
      <c r="K86" s="14" t="str">
        <f>"245,0"</f>
        <v>245,0</v>
      </c>
      <c r="L86" s="16" t="str">
        <f>"145,0155"</f>
        <v>145,0155</v>
      </c>
      <c r="M86" s="14"/>
    </row>
    <row r="87" spans="1:13">
      <c r="A87" s="14" t="s">
        <v>1828</v>
      </c>
      <c r="B87" s="14" t="s">
        <v>1829</v>
      </c>
      <c r="C87" s="14" t="s">
        <v>923</v>
      </c>
      <c r="D87" s="14" t="str">
        <f>"0,5994"</f>
        <v>0,5994</v>
      </c>
      <c r="E87" s="14" t="s">
        <v>34</v>
      </c>
      <c r="F87" s="14" t="s">
        <v>35</v>
      </c>
      <c r="G87" s="16" t="s">
        <v>143</v>
      </c>
      <c r="H87" s="16" t="s">
        <v>37</v>
      </c>
      <c r="I87" s="15" t="s">
        <v>38</v>
      </c>
      <c r="J87" s="15"/>
      <c r="K87" s="14" t="str">
        <f>"237,5"</f>
        <v>237,5</v>
      </c>
      <c r="L87" s="16" t="str">
        <f>"142,3575"</f>
        <v>142,3575</v>
      </c>
      <c r="M87" s="14" t="s">
        <v>1830</v>
      </c>
    </row>
    <row r="88" spans="1:13">
      <c r="A88" s="14" t="s">
        <v>1832</v>
      </c>
      <c r="B88" s="14" t="s">
        <v>1833</v>
      </c>
      <c r="C88" s="14" t="s">
        <v>1633</v>
      </c>
      <c r="D88" s="14" t="str">
        <f>"0,5939"</f>
        <v>0,5939</v>
      </c>
      <c r="E88" s="14" t="s">
        <v>34</v>
      </c>
      <c r="F88" s="14" t="s">
        <v>35</v>
      </c>
      <c r="G88" s="16" t="s">
        <v>85</v>
      </c>
      <c r="H88" s="16" t="s">
        <v>75</v>
      </c>
      <c r="I88" s="16" t="s">
        <v>120</v>
      </c>
      <c r="J88" s="15"/>
      <c r="K88" s="14" t="str">
        <f>"225,0"</f>
        <v>225,0</v>
      </c>
      <c r="L88" s="16" t="str">
        <f>"133,6275"</f>
        <v>133,6275</v>
      </c>
      <c r="M88" s="14"/>
    </row>
    <row r="89" spans="1:13">
      <c r="A89" s="14" t="s">
        <v>1835</v>
      </c>
      <c r="B89" s="14" t="s">
        <v>1836</v>
      </c>
      <c r="C89" s="14" t="s">
        <v>126</v>
      </c>
      <c r="D89" s="14" t="str">
        <f>"0,5930"</f>
        <v>0,5930</v>
      </c>
      <c r="E89" s="14" t="s">
        <v>34</v>
      </c>
      <c r="F89" s="14" t="s">
        <v>35</v>
      </c>
      <c r="G89" s="16" t="s">
        <v>117</v>
      </c>
      <c r="H89" s="15" t="s">
        <v>92</v>
      </c>
      <c r="I89" s="15" t="s">
        <v>636</v>
      </c>
      <c r="J89" s="15"/>
      <c r="K89" s="14" t="str">
        <f>"250,0"</f>
        <v>250,0</v>
      </c>
      <c r="L89" s="16" t="str">
        <f>"152,8457"</f>
        <v>152,8457</v>
      </c>
      <c r="M89" s="14"/>
    </row>
    <row r="90" spans="1:13">
      <c r="A90" s="14" t="s">
        <v>1837</v>
      </c>
      <c r="B90" s="14" t="s">
        <v>1838</v>
      </c>
      <c r="C90" s="14" t="s">
        <v>923</v>
      </c>
      <c r="D90" s="14" t="str">
        <f>"0,5994"</f>
        <v>0,5994</v>
      </c>
      <c r="E90" s="14" t="s">
        <v>34</v>
      </c>
      <c r="F90" s="14" t="s">
        <v>35</v>
      </c>
      <c r="G90" s="16" t="s">
        <v>143</v>
      </c>
      <c r="H90" s="16" t="s">
        <v>37</v>
      </c>
      <c r="I90" s="15" t="s">
        <v>38</v>
      </c>
      <c r="J90" s="15"/>
      <c r="K90" s="14" t="str">
        <f>"237,5"</f>
        <v>237,5</v>
      </c>
      <c r="L90" s="16" t="str">
        <f>"158,4439"</f>
        <v>158,4439</v>
      </c>
      <c r="M90" s="14" t="s">
        <v>1830</v>
      </c>
    </row>
    <row r="91" spans="1:13">
      <c r="A91" s="11" t="s">
        <v>1840</v>
      </c>
      <c r="B91" s="11" t="s">
        <v>1841</v>
      </c>
      <c r="C91" s="11" t="s">
        <v>1842</v>
      </c>
      <c r="D91" s="11" t="str">
        <f>"0,5954"</f>
        <v>0,5954</v>
      </c>
      <c r="E91" s="11" t="s">
        <v>1843</v>
      </c>
      <c r="F91" s="11" t="s">
        <v>1844</v>
      </c>
      <c r="G91" s="12" t="s">
        <v>112</v>
      </c>
      <c r="H91" s="12" t="s">
        <v>83</v>
      </c>
      <c r="I91" s="13" t="s">
        <v>76</v>
      </c>
      <c r="J91" s="13"/>
      <c r="K91" s="11" t="str">
        <f>"210,0"</f>
        <v>210,0</v>
      </c>
      <c r="L91" s="12" t="str">
        <f>"170,7964"</f>
        <v>170,7964</v>
      </c>
      <c r="M91" s="11"/>
    </row>
    <row r="93" spans="1:13" ht="15">
      <c r="A93" s="41" t="s">
        <v>153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</row>
    <row r="94" spans="1:13">
      <c r="A94" s="8" t="s">
        <v>1845</v>
      </c>
      <c r="B94" s="8" t="s">
        <v>493</v>
      </c>
      <c r="C94" s="8" t="s">
        <v>494</v>
      </c>
      <c r="D94" s="8" t="str">
        <f>"0,5750"</f>
        <v>0,5750</v>
      </c>
      <c r="E94" s="8" t="s">
        <v>34</v>
      </c>
      <c r="F94" s="8" t="s">
        <v>35</v>
      </c>
      <c r="G94" s="9" t="s">
        <v>143</v>
      </c>
      <c r="H94" s="9" t="s">
        <v>38</v>
      </c>
      <c r="I94" s="10" t="s">
        <v>42</v>
      </c>
      <c r="J94" s="10"/>
      <c r="K94" s="8" t="str">
        <f>"242,5"</f>
        <v>242,5</v>
      </c>
      <c r="L94" s="9" t="str">
        <f>"139,4375"</f>
        <v>139,4375</v>
      </c>
      <c r="M94" s="8"/>
    </row>
    <row r="95" spans="1:13">
      <c r="A95" s="14" t="s">
        <v>1846</v>
      </c>
      <c r="B95" s="14" t="s">
        <v>1847</v>
      </c>
      <c r="C95" s="14" t="s">
        <v>1848</v>
      </c>
      <c r="D95" s="14" t="str">
        <f>"0,5738"</f>
        <v>0,5738</v>
      </c>
      <c r="E95" s="14" t="s">
        <v>34</v>
      </c>
      <c r="F95" s="14" t="s">
        <v>35</v>
      </c>
      <c r="G95" s="16" t="s">
        <v>85</v>
      </c>
      <c r="H95" s="16" t="s">
        <v>76</v>
      </c>
      <c r="I95" s="16" t="s">
        <v>120</v>
      </c>
      <c r="J95" s="15"/>
      <c r="K95" s="14" t="str">
        <f>"225,0"</f>
        <v>225,0</v>
      </c>
      <c r="L95" s="16" t="str">
        <f>"129,1050"</f>
        <v>129,1050</v>
      </c>
      <c r="M95" s="14"/>
    </row>
    <row r="96" spans="1:13">
      <c r="A96" s="14" t="s">
        <v>1850</v>
      </c>
      <c r="B96" s="14" t="s">
        <v>1851</v>
      </c>
      <c r="C96" s="14" t="s">
        <v>1852</v>
      </c>
      <c r="D96" s="14" t="str">
        <f>"0,5855"</f>
        <v>0,5855</v>
      </c>
      <c r="E96" s="14" t="s">
        <v>34</v>
      </c>
      <c r="F96" s="14" t="s">
        <v>35</v>
      </c>
      <c r="G96" s="16" t="s">
        <v>38</v>
      </c>
      <c r="H96" s="15" t="s">
        <v>117</v>
      </c>
      <c r="I96" s="15" t="s">
        <v>117</v>
      </c>
      <c r="J96" s="15"/>
      <c r="K96" s="14" t="str">
        <f>"242,5"</f>
        <v>242,5</v>
      </c>
      <c r="L96" s="16" t="str">
        <f>"141,9838"</f>
        <v>141,9838</v>
      </c>
      <c r="M96" s="14" t="s">
        <v>1853</v>
      </c>
    </row>
    <row r="97" spans="1:13">
      <c r="A97" s="11" t="s">
        <v>1855</v>
      </c>
      <c r="B97" s="11" t="s">
        <v>1856</v>
      </c>
      <c r="C97" s="11" t="s">
        <v>1857</v>
      </c>
      <c r="D97" s="11" t="str">
        <f>"0,5826"</f>
        <v>0,5826</v>
      </c>
      <c r="E97" s="11" t="s">
        <v>34</v>
      </c>
      <c r="F97" s="11" t="s">
        <v>35</v>
      </c>
      <c r="G97" s="12" t="s">
        <v>83</v>
      </c>
      <c r="H97" s="13" t="s">
        <v>76</v>
      </c>
      <c r="I97" s="13" t="s">
        <v>76</v>
      </c>
      <c r="J97" s="13"/>
      <c r="K97" s="11" t="str">
        <f>"210,0"</f>
        <v>210,0</v>
      </c>
      <c r="L97" s="12" t="str">
        <f>"127,6069"</f>
        <v>127,6069</v>
      </c>
      <c r="M97" s="11" t="s">
        <v>1371</v>
      </c>
    </row>
    <row r="99" spans="1:13" ht="15">
      <c r="E99" s="17" t="s">
        <v>166</v>
      </c>
    </row>
    <row r="100" spans="1:13" ht="15">
      <c r="E100" s="17" t="s">
        <v>167</v>
      </c>
    </row>
    <row r="101" spans="1:13" ht="15">
      <c r="E101" s="17" t="s">
        <v>168</v>
      </c>
    </row>
    <row r="102" spans="1:13" ht="15">
      <c r="E102" s="17" t="s">
        <v>169</v>
      </c>
    </row>
    <row r="103" spans="1:13" ht="15">
      <c r="E103" s="17" t="s">
        <v>169</v>
      </c>
    </row>
    <row r="104" spans="1:13" ht="15">
      <c r="E104" s="17" t="s">
        <v>170</v>
      </c>
    </row>
    <row r="105" spans="1:13" ht="15">
      <c r="E105" s="17"/>
    </row>
    <row r="107" spans="1:13" ht="18">
      <c r="A107" s="18" t="s">
        <v>171</v>
      </c>
      <c r="B107" s="18"/>
    </row>
    <row r="108" spans="1:13" ht="15">
      <c r="A108" s="19" t="s">
        <v>172</v>
      </c>
      <c r="B108" s="19"/>
    </row>
    <row r="109" spans="1:13" ht="14.25">
      <c r="A109" s="21"/>
      <c r="B109" s="22" t="s">
        <v>499</v>
      </c>
    </row>
    <row r="110" spans="1:13" ht="15">
      <c r="A110" s="23" t="s">
        <v>174</v>
      </c>
      <c r="B110" s="23" t="s">
        <v>175</v>
      </c>
      <c r="C110" s="23" t="s">
        <v>176</v>
      </c>
      <c r="D110" s="23" t="s">
        <v>177</v>
      </c>
      <c r="E110" s="23" t="s">
        <v>178</v>
      </c>
    </row>
    <row r="111" spans="1:13">
      <c r="A111" s="20" t="s">
        <v>349</v>
      </c>
      <c r="B111" s="4" t="s">
        <v>500</v>
      </c>
      <c r="C111" s="4" t="s">
        <v>501</v>
      </c>
      <c r="D111" s="4" t="s">
        <v>611</v>
      </c>
      <c r="E111" s="24" t="s">
        <v>1858</v>
      </c>
    </row>
    <row r="113" spans="1:5" ht="14.25">
      <c r="A113" s="21"/>
      <c r="B113" s="22" t="s">
        <v>287</v>
      </c>
    </row>
    <row r="114" spans="1:5" ht="15">
      <c r="A114" s="23" t="s">
        <v>174</v>
      </c>
      <c r="B114" s="23" t="s">
        <v>175</v>
      </c>
      <c r="C114" s="23" t="s">
        <v>176</v>
      </c>
      <c r="D114" s="23" t="s">
        <v>177</v>
      </c>
      <c r="E114" s="23" t="s">
        <v>178</v>
      </c>
    </row>
    <row r="115" spans="1:5">
      <c r="A115" s="20" t="s">
        <v>1661</v>
      </c>
      <c r="B115" s="4" t="s">
        <v>185</v>
      </c>
      <c r="C115" s="4" t="s">
        <v>501</v>
      </c>
      <c r="D115" s="4" t="s">
        <v>357</v>
      </c>
      <c r="E115" s="24" t="s">
        <v>1859</v>
      </c>
    </row>
    <row r="116" spans="1:5">
      <c r="A116" s="20" t="s">
        <v>1698</v>
      </c>
      <c r="B116" s="4" t="s">
        <v>185</v>
      </c>
      <c r="C116" s="4" t="s">
        <v>200</v>
      </c>
      <c r="D116" s="4" t="s">
        <v>252</v>
      </c>
      <c r="E116" s="24" t="s">
        <v>1860</v>
      </c>
    </row>
    <row r="118" spans="1:5" ht="14.25">
      <c r="A118" s="21"/>
      <c r="B118" s="22" t="s">
        <v>191</v>
      </c>
    </row>
    <row r="119" spans="1:5" ht="15">
      <c r="A119" s="23" t="s">
        <v>174</v>
      </c>
      <c r="B119" s="23" t="s">
        <v>175</v>
      </c>
      <c r="C119" s="23" t="s">
        <v>176</v>
      </c>
      <c r="D119" s="23" t="s">
        <v>177</v>
      </c>
      <c r="E119" s="23" t="s">
        <v>178</v>
      </c>
    </row>
    <row r="120" spans="1:5">
      <c r="A120" s="20" t="s">
        <v>549</v>
      </c>
      <c r="B120" s="4" t="s">
        <v>191</v>
      </c>
      <c r="C120" s="4" t="s">
        <v>718</v>
      </c>
      <c r="D120" s="4" t="s">
        <v>186</v>
      </c>
      <c r="E120" s="24" t="s">
        <v>1861</v>
      </c>
    </row>
    <row r="121" spans="1:5">
      <c r="A121" s="20" t="s">
        <v>1566</v>
      </c>
      <c r="B121" s="4" t="s">
        <v>191</v>
      </c>
      <c r="C121" s="4" t="s">
        <v>501</v>
      </c>
      <c r="D121" s="4" t="s">
        <v>260</v>
      </c>
      <c r="E121" s="24" t="s">
        <v>1862</v>
      </c>
    </row>
    <row r="122" spans="1:5">
      <c r="A122" s="20" t="s">
        <v>1665</v>
      </c>
      <c r="B122" s="4" t="s">
        <v>191</v>
      </c>
      <c r="C122" s="4" t="s">
        <v>378</v>
      </c>
      <c r="D122" s="4" t="s">
        <v>27</v>
      </c>
      <c r="E122" s="24" t="s">
        <v>1863</v>
      </c>
    </row>
    <row r="123" spans="1:5">
      <c r="A123" s="20" t="s">
        <v>1655</v>
      </c>
      <c r="B123" s="4" t="s">
        <v>191</v>
      </c>
      <c r="C123" s="4" t="s">
        <v>288</v>
      </c>
      <c r="D123" s="4" t="s">
        <v>357</v>
      </c>
      <c r="E123" s="24" t="s">
        <v>1864</v>
      </c>
    </row>
    <row r="124" spans="1:5">
      <c r="A124" s="20" t="s">
        <v>1673</v>
      </c>
      <c r="B124" s="4" t="s">
        <v>191</v>
      </c>
      <c r="C124" s="4" t="s">
        <v>180</v>
      </c>
      <c r="D124" s="4" t="s">
        <v>234</v>
      </c>
      <c r="E124" s="24" t="s">
        <v>1865</v>
      </c>
    </row>
    <row r="125" spans="1:5">
      <c r="A125" s="20" t="s">
        <v>1679</v>
      </c>
      <c r="B125" s="4" t="s">
        <v>191</v>
      </c>
      <c r="C125" s="4" t="s">
        <v>180</v>
      </c>
      <c r="D125" s="4" t="s">
        <v>409</v>
      </c>
      <c r="E125" s="24" t="s">
        <v>1866</v>
      </c>
    </row>
    <row r="126" spans="1:5">
      <c r="A126" s="20" t="s">
        <v>1683</v>
      </c>
      <c r="B126" s="4" t="s">
        <v>191</v>
      </c>
      <c r="C126" s="4" t="s">
        <v>180</v>
      </c>
      <c r="D126" s="4" t="s">
        <v>192</v>
      </c>
      <c r="E126" s="24" t="s">
        <v>1867</v>
      </c>
    </row>
    <row r="127" spans="1:5">
      <c r="A127" s="20" t="s">
        <v>1668</v>
      </c>
      <c r="B127" s="4" t="s">
        <v>191</v>
      </c>
      <c r="C127" s="4" t="s">
        <v>378</v>
      </c>
      <c r="D127" s="4" t="s">
        <v>21</v>
      </c>
      <c r="E127" s="24" t="s">
        <v>1868</v>
      </c>
    </row>
    <row r="128" spans="1:5">
      <c r="A128" s="20" t="s">
        <v>1651</v>
      </c>
      <c r="B128" s="4" t="s">
        <v>191</v>
      </c>
      <c r="C128" s="4" t="s">
        <v>718</v>
      </c>
      <c r="D128" s="4" t="s">
        <v>200</v>
      </c>
      <c r="E128" s="24" t="s">
        <v>1869</v>
      </c>
    </row>
    <row r="130" spans="1:5" ht="14.25">
      <c r="A130" s="21"/>
      <c r="B130" s="22" t="s">
        <v>173</v>
      </c>
    </row>
    <row r="131" spans="1:5" ht="15">
      <c r="A131" s="23" t="s">
        <v>174</v>
      </c>
      <c r="B131" s="23" t="s">
        <v>175</v>
      </c>
      <c r="C131" s="23" t="s">
        <v>176</v>
      </c>
      <c r="D131" s="23" t="s">
        <v>177</v>
      </c>
      <c r="E131" s="23" t="s">
        <v>178</v>
      </c>
    </row>
    <row r="132" spans="1:5">
      <c r="A132" s="20" t="s">
        <v>1689</v>
      </c>
      <c r="B132" s="4" t="s">
        <v>991</v>
      </c>
      <c r="C132" s="4" t="s">
        <v>180</v>
      </c>
      <c r="D132" s="4" t="s">
        <v>236</v>
      </c>
      <c r="E132" s="24" t="s">
        <v>1870</v>
      </c>
    </row>
    <row r="133" spans="1:5">
      <c r="A133" s="20" t="s">
        <v>1686</v>
      </c>
      <c r="B133" s="4" t="s">
        <v>308</v>
      </c>
      <c r="C133" s="4" t="s">
        <v>180</v>
      </c>
      <c r="D133" s="4" t="s">
        <v>27</v>
      </c>
      <c r="E133" s="24" t="s">
        <v>1871</v>
      </c>
    </row>
    <row r="134" spans="1:5">
      <c r="A134" s="20" t="s">
        <v>1692</v>
      </c>
      <c r="B134" s="4" t="s">
        <v>217</v>
      </c>
      <c r="C134" s="4" t="s">
        <v>25</v>
      </c>
      <c r="D134" s="4" t="s">
        <v>366</v>
      </c>
      <c r="E134" s="24" t="s">
        <v>1872</v>
      </c>
    </row>
    <row r="137" spans="1:5" ht="15">
      <c r="A137" s="19" t="s">
        <v>183</v>
      </c>
      <c r="B137" s="19"/>
    </row>
    <row r="138" spans="1:5" ht="14.25">
      <c r="A138" s="21"/>
      <c r="B138" s="22" t="s">
        <v>511</v>
      </c>
    </row>
    <row r="139" spans="1:5" ht="15">
      <c r="A139" s="23" t="s">
        <v>174</v>
      </c>
      <c r="B139" s="23" t="s">
        <v>175</v>
      </c>
      <c r="C139" s="23" t="s">
        <v>176</v>
      </c>
      <c r="D139" s="23" t="s">
        <v>177</v>
      </c>
      <c r="E139" s="23" t="s">
        <v>178</v>
      </c>
    </row>
    <row r="140" spans="1:5">
      <c r="A140" s="20" t="s">
        <v>1715</v>
      </c>
      <c r="B140" s="4" t="s">
        <v>500</v>
      </c>
      <c r="C140" s="4" t="s">
        <v>25</v>
      </c>
      <c r="D140" s="4" t="s">
        <v>120</v>
      </c>
      <c r="E140" s="24" t="s">
        <v>1873</v>
      </c>
    </row>
    <row r="141" spans="1:5">
      <c r="A141" s="20" t="s">
        <v>1725</v>
      </c>
      <c r="B141" s="4" t="s">
        <v>500</v>
      </c>
      <c r="C141" s="4" t="s">
        <v>200</v>
      </c>
      <c r="D141" s="4" t="s">
        <v>436</v>
      </c>
      <c r="E141" s="24" t="s">
        <v>1874</v>
      </c>
    </row>
    <row r="142" spans="1:5">
      <c r="A142" s="20" t="s">
        <v>1703</v>
      </c>
      <c r="B142" s="4" t="s">
        <v>500</v>
      </c>
      <c r="C142" s="4" t="s">
        <v>180</v>
      </c>
      <c r="D142" s="4" t="s">
        <v>55</v>
      </c>
      <c r="E142" s="24" t="s">
        <v>1875</v>
      </c>
    </row>
    <row r="144" spans="1:5" ht="14.25">
      <c r="A144" s="21"/>
      <c r="B144" s="22" t="s">
        <v>184</v>
      </c>
    </row>
    <row r="145" spans="1:5" ht="15">
      <c r="A145" s="23" t="s">
        <v>174</v>
      </c>
      <c r="B145" s="23" t="s">
        <v>175</v>
      </c>
      <c r="C145" s="23" t="s">
        <v>176</v>
      </c>
      <c r="D145" s="23" t="s">
        <v>177</v>
      </c>
      <c r="E145" s="23" t="s">
        <v>178</v>
      </c>
    </row>
    <row r="146" spans="1:5">
      <c r="A146" s="20" t="s">
        <v>1706</v>
      </c>
      <c r="B146" s="4" t="s">
        <v>185</v>
      </c>
      <c r="C146" s="4" t="s">
        <v>180</v>
      </c>
      <c r="D146" s="4" t="s">
        <v>635</v>
      </c>
      <c r="E146" s="24" t="s">
        <v>1876</v>
      </c>
    </row>
    <row r="147" spans="1:5">
      <c r="A147" s="20" t="s">
        <v>1711</v>
      </c>
      <c r="B147" s="4" t="s">
        <v>185</v>
      </c>
      <c r="C147" s="4" t="s">
        <v>180</v>
      </c>
      <c r="D147" s="4" t="s">
        <v>84</v>
      </c>
      <c r="E147" s="24" t="s">
        <v>1877</v>
      </c>
    </row>
    <row r="148" spans="1:5">
      <c r="A148" s="20" t="s">
        <v>1731</v>
      </c>
      <c r="B148" s="4" t="s">
        <v>185</v>
      </c>
      <c r="C148" s="4" t="s">
        <v>200</v>
      </c>
      <c r="D148" s="4" t="s">
        <v>112</v>
      </c>
      <c r="E148" s="24" t="s">
        <v>1878</v>
      </c>
    </row>
    <row r="149" spans="1:5">
      <c r="A149" s="20" t="s">
        <v>1771</v>
      </c>
      <c r="B149" s="4" t="s">
        <v>185</v>
      </c>
      <c r="C149" s="4" t="s">
        <v>52</v>
      </c>
      <c r="D149" s="4" t="s">
        <v>93</v>
      </c>
      <c r="E149" s="24" t="s">
        <v>1879</v>
      </c>
    </row>
    <row r="151" spans="1:5" ht="14.25">
      <c r="A151" s="21"/>
      <c r="B151" s="22" t="s">
        <v>191</v>
      </c>
    </row>
    <row r="152" spans="1:5" ht="15">
      <c r="A152" s="23" t="s">
        <v>174</v>
      </c>
      <c r="B152" s="23" t="s">
        <v>175</v>
      </c>
      <c r="C152" s="23" t="s">
        <v>176</v>
      </c>
      <c r="D152" s="23" t="s">
        <v>177</v>
      </c>
      <c r="E152" s="23" t="s">
        <v>178</v>
      </c>
    </row>
    <row r="153" spans="1:5">
      <c r="A153" s="20" t="s">
        <v>1777</v>
      </c>
      <c r="B153" s="4" t="s">
        <v>191</v>
      </c>
      <c r="C153" s="4" t="s">
        <v>52</v>
      </c>
      <c r="D153" s="4" t="s">
        <v>1782</v>
      </c>
      <c r="E153" s="24" t="s">
        <v>1880</v>
      </c>
    </row>
    <row r="154" spans="1:5">
      <c r="A154" s="20" t="s">
        <v>806</v>
      </c>
      <c r="B154" s="4" t="s">
        <v>191</v>
      </c>
      <c r="C154" s="4" t="s">
        <v>378</v>
      </c>
      <c r="D154" s="4" t="s">
        <v>152</v>
      </c>
      <c r="E154" s="24" t="s">
        <v>1881</v>
      </c>
    </row>
    <row r="155" spans="1:5">
      <c r="A155" s="20" t="s">
        <v>1735</v>
      </c>
      <c r="B155" s="4" t="s">
        <v>191</v>
      </c>
      <c r="C155" s="4" t="s">
        <v>200</v>
      </c>
      <c r="D155" s="4" t="s">
        <v>271</v>
      </c>
      <c r="E155" s="24" t="s">
        <v>1882</v>
      </c>
    </row>
    <row r="156" spans="1:5">
      <c r="A156" s="20" t="s">
        <v>1739</v>
      </c>
      <c r="B156" s="4" t="s">
        <v>191</v>
      </c>
      <c r="C156" s="4" t="s">
        <v>200</v>
      </c>
      <c r="D156" s="4" t="s">
        <v>42</v>
      </c>
      <c r="E156" s="24" t="s">
        <v>1883</v>
      </c>
    </row>
    <row r="157" spans="1:5">
      <c r="A157" s="20" t="s">
        <v>1801</v>
      </c>
      <c r="B157" s="4" t="s">
        <v>191</v>
      </c>
      <c r="C157" s="4" t="s">
        <v>21</v>
      </c>
      <c r="D157" s="4" t="s">
        <v>1031</v>
      </c>
      <c r="E157" s="24" t="s">
        <v>1884</v>
      </c>
    </row>
    <row r="158" spans="1:5">
      <c r="A158" s="20" t="s">
        <v>1784</v>
      </c>
      <c r="B158" s="4" t="s">
        <v>191</v>
      </c>
      <c r="C158" s="4" t="s">
        <v>52</v>
      </c>
      <c r="D158" s="4" t="s">
        <v>92</v>
      </c>
      <c r="E158" s="24" t="s">
        <v>1885</v>
      </c>
    </row>
    <row r="159" spans="1:5">
      <c r="A159" s="20" t="s">
        <v>655</v>
      </c>
      <c r="B159" s="4" t="s">
        <v>191</v>
      </c>
      <c r="C159" s="4" t="s">
        <v>52</v>
      </c>
      <c r="D159" s="4" t="s">
        <v>105</v>
      </c>
      <c r="E159" s="24" t="s">
        <v>1886</v>
      </c>
    </row>
    <row r="160" spans="1:5">
      <c r="A160" s="20" t="s">
        <v>431</v>
      </c>
      <c r="B160" s="4" t="s">
        <v>191</v>
      </c>
      <c r="C160" s="4" t="s">
        <v>200</v>
      </c>
      <c r="D160" s="4" t="s">
        <v>91</v>
      </c>
      <c r="E160" s="24" t="s">
        <v>1887</v>
      </c>
    </row>
    <row r="161" spans="1:5">
      <c r="A161" s="20" t="s">
        <v>1805</v>
      </c>
      <c r="B161" s="4" t="s">
        <v>191</v>
      </c>
      <c r="C161" s="4" t="s">
        <v>21</v>
      </c>
      <c r="D161" s="4" t="s">
        <v>43</v>
      </c>
      <c r="E161" s="24" t="s">
        <v>1888</v>
      </c>
    </row>
    <row r="162" spans="1:5">
      <c r="A162" s="20" t="s">
        <v>1789</v>
      </c>
      <c r="B162" s="4" t="s">
        <v>191</v>
      </c>
      <c r="C162" s="4" t="s">
        <v>52</v>
      </c>
      <c r="D162" s="4" t="s">
        <v>41</v>
      </c>
      <c r="E162" s="24" t="s">
        <v>1889</v>
      </c>
    </row>
    <row r="163" spans="1:5">
      <c r="A163" s="20" t="s">
        <v>1809</v>
      </c>
      <c r="B163" s="4" t="s">
        <v>191</v>
      </c>
      <c r="C163" s="4" t="s">
        <v>21</v>
      </c>
      <c r="D163" s="4" t="s">
        <v>117</v>
      </c>
      <c r="E163" s="24" t="s">
        <v>1890</v>
      </c>
    </row>
    <row r="164" spans="1:5">
      <c r="A164" s="20" t="s">
        <v>1792</v>
      </c>
      <c r="B164" s="4" t="s">
        <v>191</v>
      </c>
      <c r="C164" s="4" t="s">
        <v>52</v>
      </c>
      <c r="D164" s="4" t="s">
        <v>91</v>
      </c>
      <c r="E164" s="24" t="s">
        <v>1891</v>
      </c>
    </row>
    <row r="165" spans="1:5">
      <c r="A165" s="20" t="s">
        <v>1746</v>
      </c>
      <c r="B165" s="4" t="s">
        <v>191</v>
      </c>
      <c r="C165" s="4" t="s">
        <v>200</v>
      </c>
      <c r="D165" s="4" t="s">
        <v>120</v>
      </c>
      <c r="E165" s="24" t="s">
        <v>1892</v>
      </c>
    </row>
    <row r="166" spans="1:5">
      <c r="A166" s="20" t="s">
        <v>668</v>
      </c>
      <c r="B166" s="4" t="s">
        <v>191</v>
      </c>
      <c r="C166" s="4" t="s">
        <v>21</v>
      </c>
      <c r="D166" s="4" t="s">
        <v>37</v>
      </c>
      <c r="E166" s="24" t="s">
        <v>1893</v>
      </c>
    </row>
    <row r="167" spans="1:5">
      <c r="A167" s="20" t="s">
        <v>1822</v>
      </c>
      <c r="B167" s="4" t="s">
        <v>191</v>
      </c>
      <c r="C167" s="4" t="s">
        <v>192</v>
      </c>
      <c r="D167" s="4" t="s">
        <v>41</v>
      </c>
      <c r="E167" s="24" t="s">
        <v>1894</v>
      </c>
    </row>
    <row r="168" spans="1:5">
      <c r="A168" s="20" t="s">
        <v>477</v>
      </c>
      <c r="B168" s="4" t="s">
        <v>191</v>
      </c>
      <c r="C168" s="4" t="s">
        <v>192</v>
      </c>
      <c r="D168" s="4" t="s">
        <v>41</v>
      </c>
      <c r="E168" s="24" t="s">
        <v>1895</v>
      </c>
    </row>
    <row r="169" spans="1:5">
      <c r="A169" s="20" t="s">
        <v>1827</v>
      </c>
      <c r="B169" s="4" t="s">
        <v>191</v>
      </c>
      <c r="C169" s="4" t="s">
        <v>192</v>
      </c>
      <c r="D169" s="4" t="s">
        <v>37</v>
      </c>
      <c r="E169" s="24" t="s">
        <v>1896</v>
      </c>
    </row>
    <row r="170" spans="1:5">
      <c r="A170" s="20" t="s">
        <v>1795</v>
      </c>
      <c r="B170" s="4" t="s">
        <v>191</v>
      </c>
      <c r="C170" s="4" t="s">
        <v>52</v>
      </c>
      <c r="D170" s="4" t="s">
        <v>75</v>
      </c>
      <c r="E170" s="24" t="s">
        <v>1897</v>
      </c>
    </row>
    <row r="171" spans="1:5">
      <c r="A171" s="20" t="s">
        <v>491</v>
      </c>
      <c r="B171" s="4" t="s">
        <v>191</v>
      </c>
      <c r="C171" s="4" t="s">
        <v>186</v>
      </c>
      <c r="D171" s="4" t="s">
        <v>38</v>
      </c>
      <c r="E171" s="24" t="s">
        <v>1898</v>
      </c>
    </row>
    <row r="172" spans="1:5">
      <c r="A172" s="20" t="s">
        <v>1749</v>
      </c>
      <c r="B172" s="4" t="s">
        <v>191</v>
      </c>
      <c r="C172" s="4" t="s">
        <v>200</v>
      </c>
      <c r="D172" s="4" t="s">
        <v>85</v>
      </c>
      <c r="E172" s="24" t="s">
        <v>1899</v>
      </c>
    </row>
    <row r="173" spans="1:5">
      <c r="A173" s="20" t="s">
        <v>1753</v>
      </c>
      <c r="B173" s="4" t="s">
        <v>191</v>
      </c>
      <c r="C173" s="4" t="s">
        <v>200</v>
      </c>
      <c r="D173" s="4" t="s">
        <v>112</v>
      </c>
      <c r="E173" s="24" t="s">
        <v>1900</v>
      </c>
    </row>
    <row r="174" spans="1:5">
      <c r="A174" s="20" t="s">
        <v>1831</v>
      </c>
      <c r="B174" s="4" t="s">
        <v>191</v>
      </c>
      <c r="C174" s="4" t="s">
        <v>192</v>
      </c>
      <c r="D174" s="4" t="s">
        <v>120</v>
      </c>
      <c r="E174" s="24" t="s">
        <v>1901</v>
      </c>
    </row>
    <row r="175" spans="1:5">
      <c r="A175" s="20" t="s">
        <v>1815</v>
      </c>
      <c r="B175" s="4" t="s">
        <v>191</v>
      </c>
      <c r="C175" s="4" t="s">
        <v>21</v>
      </c>
      <c r="D175" s="4" t="s">
        <v>75</v>
      </c>
      <c r="E175" s="24" t="s">
        <v>1902</v>
      </c>
    </row>
    <row r="176" spans="1:5">
      <c r="A176" s="20" t="s">
        <v>444</v>
      </c>
      <c r="B176" s="4" t="s">
        <v>191</v>
      </c>
      <c r="C176" s="4" t="s">
        <v>52</v>
      </c>
      <c r="D176" s="4" t="s">
        <v>85</v>
      </c>
      <c r="E176" s="24" t="s">
        <v>1903</v>
      </c>
    </row>
    <row r="178" spans="1:5" ht="14.25">
      <c r="A178" s="21"/>
      <c r="B178" s="22" t="s">
        <v>173</v>
      </c>
    </row>
    <row r="179" spans="1:5" ht="15">
      <c r="A179" s="23" t="s">
        <v>174</v>
      </c>
      <c r="B179" s="23" t="s">
        <v>175</v>
      </c>
      <c r="C179" s="23" t="s">
        <v>176</v>
      </c>
      <c r="D179" s="23" t="s">
        <v>177</v>
      </c>
      <c r="E179" s="23" t="s">
        <v>178</v>
      </c>
    </row>
    <row r="180" spans="1:5">
      <c r="A180" s="20" t="s">
        <v>1767</v>
      </c>
      <c r="B180" s="4" t="s">
        <v>545</v>
      </c>
      <c r="C180" s="4" t="s">
        <v>200</v>
      </c>
      <c r="D180" s="4" t="s">
        <v>442</v>
      </c>
      <c r="E180" s="24" t="s">
        <v>1904</v>
      </c>
    </row>
    <row r="181" spans="1:5">
      <c r="A181" s="20" t="s">
        <v>1213</v>
      </c>
      <c r="B181" s="4" t="s">
        <v>1546</v>
      </c>
      <c r="C181" s="4" t="s">
        <v>25</v>
      </c>
      <c r="D181" s="4" t="s">
        <v>64</v>
      </c>
      <c r="E181" s="24" t="s">
        <v>1905</v>
      </c>
    </row>
    <row r="182" spans="1:5">
      <c r="A182" s="20" t="s">
        <v>1764</v>
      </c>
      <c r="B182" s="4" t="s">
        <v>991</v>
      </c>
      <c r="C182" s="4" t="s">
        <v>200</v>
      </c>
      <c r="D182" s="4" t="s">
        <v>83</v>
      </c>
      <c r="E182" s="24" t="s">
        <v>1906</v>
      </c>
    </row>
    <row r="183" spans="1:5">
      <c r="A183" s="20" t="s">
        <v>1269</v>
      </c>
      <c r="B183" s="4" t="s">
        <v>1539</v>
      </c>
      <c r="C183" s="4" t="s">
        <v>200</v>
      </c>
      <c r="D183" s="4" t="s">
        <v>578</v>
      </c>
      <c r="E183" s="24" t="s">
        <v>1907</v>
      </c>
    </row>
    <row r="184" spans="1:5">
      <c r="A184" s="20" t="s">
        <v>1839</v>
      </c>
      <c r="B184" s="4" t="s">
        <v>545</v>
      </c>
      <c r="C184" s="4" t="s">
        <v>192</v>
      </c>
      <c r="D184" s="4" t="s">
        <v>83</v>
      </c>
      <c r="E184" s="24" t="s">
        <v>1908</v>
      </c>
    </row>
    <row r="185" spans="1:5">
      <c r="A185" s="20" t="s">
        <v>1827</v>
      </c>
      <c r="B185" s="4" t="s">
        <v>179</v>
      </c>
      <c r="C185" s="4" t="s">
        <v>192</v>
      </c>
      <c r="D185" s="4" t="s">
        <v>37</v>
      </c>
      <c r="E185" s="24" t="s">
        <v>1909</v>
      </c>
    </row>
    <row r="186" spans="1:5">
      <c r="A186" s="20" t="s">
        <v>1761</v>
      </c>
      <c r="B186" s="4" t="s">
        <v>179</v>
      </c>
      <c r="C186" s="4" t="s">
        <v>200</v>
      </c>
      <c r="D186" s="4" t="s">
        <v>442</v>
      </c>
      <c r="E186" s="24" t="s">
        <v>1910</v>
      </c>
    </row>
    <row r="187" spans="1:5">
      <c r="A187" s="20" t="s">
        <v>1834</v>
      </c>
      <c r="B187" s="4" t="s">
        <v>217</v>
      </c>
      <c r="C187" s="4" t="s">
        <v>192</v>
      </c>
      <c r="D187" s="4" t="s">
        <v>117</v>
      </c>
      <c r="E187" s="24" t="s">
        <v>1911</v>
      </c>
    </row>
    <row r="188" spans="1:5">
      <c r="A188" s="20" t="s">
        <v>1849</v>
      </c>
      <c r="B188" s="4" t="s">
        <v>217</v>
      </c>
      <c r="C188" s="4" t="s">
        <v>186</v>
      </c>
      <c r="D188" s="4" t="s">
        <v>38</v>
      </c>
      <c r="E188" s="24" t="s">
        <v>1912</v>
      </c>
    </row>
    <row r="189" spans="1:5">
      <c r="A189" s="20" t="s">
        <v>1758</v>
      </c>
      <c r="B189" s="4" t="s">
        <v>217</v>
      </c>
      <c r="C189" s="4" t="s">
        <v>200</v>
      </c>
      <c r="D189" s="4" t="s">
        <v>112</v>
      </c>
      <c r="E189" s="24" t="s">
        <v>1913</v>
      </c>
    </row>
    <row r="190" spans="1:5">
      <c r="A190" s="20" t="s">
        <v>1382</v>
      </c>
      <c r="B190" s="4" t="s">
        <v>179</v>
      </c>
      <c r="C190" s="4" t="s">
        <v>21</v>
      </c>
      <c r="D190" s="4" t="s">
        <v>85</v>
      </c>
      <c r="E190" s="24" t="s">
        <v>1914</v>
      </c>
    </row>
    <row r="191" spans="1:5">
      <c r="A191" s="20" t="s">
        <v>1854</v>
      </c>
      <c r="B191" s="4" t="s">
        <v>217</v>
      </c>
      <c r="C191" s="4" t="s">
        <v>186</v>
      </c>
      <c r="D191" s="4" t="s">
        <v>83</v>
      </c>
      <c r="E191" s="24" t="s">
        <v>1915</v>
      </c>
    </row>
  </sheetData>
  <mergeCells count="26">
    <mergeCell ref="A93:L93"/>
    <mergeCell ref="A17:L17"/>
    <mergeCell ref="A21:L21"/>
    <mergeCell ref="A28:L28"/>
    <mergeCell ref="A32:L32"/>
    <mergeCell ref="A35:L35"/>
    <mergeCell ref="A38:L38"/>
    <mergeCell ref="A43:L43"/>
    <mergeCell ref="A49:L49"/>
    <mergeCell ref="A65:L65"/>
    <mergeCell ref="A75:L75"/>
    <mergeCell ref="A84:L84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B32" sqref="B3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5.42578125" style="4" bestFit="1" customWidth="1"/>
    <col min="14" max="16384" width="9.140625" style="3"/>
  </cols>
  <sheetData>
    <row r="1" spans="1:13" s="2" customFormat="1" ht="29.1" customHeight="1">
      <c r="A1" s="42" t="s">
        <v>1923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12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122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5" t="s">
        <v>1917</v>
      </c>
      <c r="B6" s="5" t="s">
        <v>1918</v>
      </c>
      <c r="C6" s="5" t="s">
        <v>1919</v>
      </c>
      <c r="D6" s="5" t="str">
        <f>"0,6004"</f>
        <v>0,6004</v>
      </c>
      <c r="E6" s="5" t="s">
        <v>18</v>
      </c>
      <c r="F6" s="5" t="s">
        <v>943</v>
      </c>
      <c r="G6" s="7" t="s">
        <v>92</v>
      </c>
      <c r="H6" s="6" t="s">
        <v>66</v>
      </c>
      <c r="I6" s="7" t="s">
        <v>77</v>
      </c>
      <c r="J6" s="6"/>
      <c r="K6" s="5" t="str">
        <f>"280,0"</f>
        <v>280,0</v>
      </c>
      <c r="L6" s="7" t="str">
        <f>"168,1120"</f>
        <v>168,1120</v>
      </c>
      <c r="M6" s="5" t="s">
        <v>1920</v>
      </c>
    </row>
    <row r="8" spans="1:13" ht="15">
      <c r="E8" s="17" t="s">
        <v>166</v>
      </c>
    </row>
    <row r="9" spans="1:13" ht="15">
      <c r="E9" s="17" t="s">
        <v>167</v>
      </c>
    </row>
    <row r="10" spans="1:13" ht="15">
      <c r="E10" s="17" t="s">
        <v>168</v>
      </c>
    </row>
    <row r="11" spans="1:13" ht="15">
      <c r="E11" s="17" t="s">
        <v>169</v>
      </c>
    </row>
    <row r="12" spans="1:13" ht="15">
      <c r="E12" s="17" t="s">
        <v>169</v>
      </c>
    </row>
    <row r="13" spans="1:13" ht="15">
      <c r="E13" s="17" t="s">
        <v>170</v>
      </c>
    </row>
    <row r="14" spans="1:13" ht="15">
      <c r="E14" s="17"/>
    </row>
    <row r="16" spans="1:13" ht="18">
      <c r="A16" s="18" t="s">
        <v>171</v>
      </c>
      <c r="B16" s="18"/>
    </row>
    <row r="17" spans="1:5" ht="15">
      <c r="A17" s="19" t="s">
        <v>183</v>
      </c>
      <c r="B17" s="19"/>
    </row>
    <row r="18" spans="1:5" ht="14.25">
      <c r="A18" s="21"/>
      <c r="B18" s="22" t="s">
        <v>191</v>
      </c>
    </row>
    <row r="19" spans="1:5" ht="15">
      <c r="A19" s="23" t="s">
        <v>174</v>
      </c>
      <c r="B19" s="23" t="s">
        <v>175</v>
      </c>
      <c r="C19" s="23" t="s">
        <v>176</v>
      </c>
      <c r="D19" s="23" t="s">
        <v>177</v>
      </c>
      <c r="E19" s="23" t="s">
        <v>178</v>
      </c>
    </row>
    <row r="20" spans="1:5">
      <c r="A20" s="20" t="s">
        <v>1916</v>
      </c>
      <c r="B20" s="4" t="s">
        <v>191</v>
      </c>
      <c r="C20" s="4" t="s">
        <v>192</v>
      </c>
      <c r="D20" s="4" t="s">
        <v>77</v>
      </c>
      <c r="E20" s="24" t="s">
        <v>1921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67"/>
  <sheetViews>
    <sheetView workbookViewId="0">
      <selection sqref="A1:K2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85546875" style="4" bestFit="1" customWidth="1"/>
    <col min="7" max="7" width="5.5703125" style="3" bestFit="1" customWidth="1"/>
    <col min="8" max="8" width="5.5703125" style="30" bestFit="1" customWidth="1"/>
    <col min="9" max="9" width="7.85546875" style="4" bestFit="1" customWidth="1"/>
    <col min="10" max="10" width="9.5703125" style="3" bestFit="1" customWidth="1"/>
    <col min="11" max="11" width="17.85546875" style="4" bestFit="1" customWidth="1"/>
    <col min="12" max="16384" width="9.140625" style="3"/>
  </cols>
  <sheetData>
    <row r="1" spans="1:11" s="2" customFormat="1" ht="29.1" customHeight="1">
      <c r="A1" s="42" t="s">
        <v>2138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2.75" customHeight="1">
      <c r="A3" s="48" t="s">
        <v>0</v>
      </c>
      <c r="B3" s="50" t="s">
        <v>6</v>
      </c>
      <c r="C3" s="50" t="s">
        <v>7</v>
      </c>
      <c r="D3" s="52" t="s">
        <v>2004</v>
      </c>
      <c r="E3" s="52" t="s">
        <v>4</v>
      </c>
      <c r="F3" s="52" t="s">
        <v>8</v>
      </c>
      <c r="G3" s="52" t="s">
        <v>2005</v>
      </c>
      <c r="H3" s="52"/>
      <c r="I3" s="52" t="s">
        <v>2006</v>
      </c>
      <c r="J3" s="52" t="s">
        <v>3</v>
      </c>
      <c r="K3" s="38" t="s">
        <v>2</v>
      </c>
    </row>
    <row r="4" spans="1:11" s="1" customFormat="1" ht="21" customHeight="1" thickBot="1">
      <c r="A4" s="49"/>
      <c r="B4" s="51"/>
      <c r="C4" s="51"/>
      <c r="D4" s="51"/>
      <c r="E4" s="51"/>
      <c r="F4" s="51"/>
      <c r="G4" s="26" t="s">
        <v>2007</v>
      </c>
      <c r="H4" s="28" t="s">
        <v>2008</v>
      </c>
      <c r="I4" s="51"/>
      <c r="J4" s="51"/>
      <c r="K4" s="39"/>
    </row>
    <row r="5" spans="1:11" ht="15">
      <c r="A5" s="40" t="s">
        <v>13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8" t="s">
        <v>2035</v>
      </c>
      <c r="B6" s="8" t="s">
        <v>2036</v>
      </c>
      <c r="C6" s="8" t="s">
        <v>1122</v>
      </c>
      <c r="D6" s="8" t="str">
        <f>"0,7531"</f>
        <v>0,7531</v>
      </c>
      <c r="E6" s="31" t="s">
        <v>18</v>
      </c>
      <c r="F6" s="8" t="s">
        <v>480</v>
      </c>
      <c r="G6" s="9" t="s">
        <v>180</v>
      </c>
      <c r="H6" s="32" t="s">
        <v>2037</v>
      </c>
      <c r="I6" s="8" t="str">
        <f>"7222,5"</f>
        <v>7222,5</v>
      </c>
      <c r="J6" s="9" t="str">
        <f>"5439,6258"</f>
        <v>5439,6258</v>
      </c>
      <c r="K6" s="8" t="s">
        <v>2038</v>
      </c>
    </row>
    <row r="7" spans="1:11">
      <c r="A7" s="14" t="s">
        <v>2039</v>
      </c>
      <c r="B7" s="14" t="s">
        <v>2040</v>
      </c>
      <c r="C7" s="14" t="s">
        <v>2041</v>
      </c>
      <c r="D7" s="14" t="str">
        <f>"0,7797"</f>
        <v>0,7797</v>
      </c>
      <c r="E7" s="33" t="s">
        <v>18</v>
      </c>
      <c r="F7" s="14" t="s">
        <v>2042</v>
      </c>
      <c r="G7" s="16" t="s">
        <v>795</v>
      </c>
      <c r="H7" s="34" t="s">
        <v>2043</v>
      </c>
      <c r="I7" s="14" t="str">
        <f>"4745,0"</f>
        <v>4745,0</v>
      </c>
      <c r="J7" s="16" t="str">
        <f>"3699,6764"</f>
        <v>3699,6764</v>
      </c>
      <c r="K7" s="14" t="s">
        <v>2044</v>
      </c>
    </row>
    <row r="8" spans="1:11">
      <c r="A8" s="11" t="s">
        <v>2045</v>
      </c>
      <c r="B8" s="11" t="s">
        <v>2046</v>
      </c>
      <c r="C8" s="11" t="s">
        <v>1108</v>
      </c>
      <c r="D8" s="11" t="str">
        <f>"0,7630"</f>
        <v>0,7630</v>
      </c>
      <c r="E8" s="35" t="s">
        <v>18</v>
      </c>
      <c r="F8" s="11" t="s">
        <v>2047</v>
      </c>
      <c r="G8" s="12" t="s">
        <v>180</v>
      </c>
      <c r="H8" s="36" t="s">
        <v>225</v>
      </c>
      <c r="I8" s="11" t="str">
        <f>"2700,0"</f>
        <v>2700,0</v>
      </c>
      <c r="J8" s="12" t="str">
        <f>"2060,1000"</f>
        <v>2060,1000</v>
      </c>
      <c r="K8" s="11" t="s">
        <v>2048</v>
      </c>
    </row>
    <row r="10" spans="1:11" ht="15">
      <c r="A10" s="41" t="s">
        <v>237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1">
      <c r="A11" s="5" t="s">
        <v>2049</v>
      </c>
      <c r="B11" s="5" t="s">
        <v>2050</v>
      </c>
      <c r="C11" s="5" t="s">
        <v>1199</v>
      </c>
      <c r="D11" s="5" t="str">
        <f>"0,6940"</f>
        <v>0,6940</v>
      </c>
      <c r="E11" s="5" t="s">
        <v>34</v>
      </c>
      <c r="F11" s="5" t="s">
        <v>35</v>
      </c>
      <c r="G11" s="7" t="s">
        <v>25</v>
      </c>
      <c r="H11" s="29" t="s">
        <v>2051</v>
      </c>
      <c r="I11" s="5" t="str">
        <f>"1875,0"</f>
        <v>1875,0</v>
      </c>
      <c r="J11" s="7" t="str">
        <f>"1301,2500"</f>
        <v>1301,2500</v>
      </c>
      <c r="K11" s="5" t="s">
        <v>1220</v>
      </c>
    </row>
    <row r="13" spans="1:11" ht="15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</row>
    <row r="14" spans="1:11">
      <c r="A14" s="5" t="s">
        <v>2052</v>
      </c>
      <c r="B14" s="5" t="s">
        <v>2053</v>
      </c>
      <c r="C14" s="5" t="s">
        <v>2054</v>
      </c>
      <c r="D14" s="5" t="str">
        <f>"0,6589"</f>
        <v>0,6589</v>
      </c>
      <c r="E14" s="27" t="s">
        <v>18</v>
      </c>
      <c r="F14" s="5" t="s">
        <v>1825</v>
      </c>
      <c r="G14" s="7" t="s">
        <v>20</v>
      </c>
      <c r="H14" s="29" t="s">
        <v>2055</v>
      </c>
      <c r="I14" s="5" t="str">
        <f>"1360,0"</f>
        <v>1360,0</v>
      </c>
      <c r="J14" s="7" t="str">
        <f>"896,1720"</f>
        <v>896,1720</v>
      </c>
      <c r="K14" s="5" t="s">
        <v>2056</v>
      </c>
    </row>
    <row r="16" spans="1:11" ht="15">
      <c r="A16" s="41" t="s">
        <v>56</v>
      </c>
      <c r="B16" s="41"/>
      <c r="C16" s="41"/>
      <c r="D16" s="41"/>
      <c r="E16" s="41"/>
      <c r="F16" s="41"/>
      <c r="G16" s="41"/>
      <c r="H16" s="41"/>
      <c r="I16" s="41"/>
      <c r="J16" s="41"/>
    </row>
    <row r="17" spans="1:11">
      <c r="A17" s="8" t="s">
        <v>2057</v>
      </c>
      <c r="B17" s="8" t="s">
        <v>2058</v>
      </c>
      <c r="C17" s="8" t="s">
        <v>2059</v>
      </c>
      <c r="D17" s="8" t="str">
        <f>"0,6269"</f>
        <v>0,6269</v>
      </c>
      <c r="E17" s="31" t="s">
        <v>18</v>
      </c>
      <c r="F17" s="8" t="s">
        <v>48</v>
      </c>
      <c r="G17" s="9" t="s">
        <v>366</v>
      </c>
      <c r="H17" s="32" t="s">
        <v>2013</v>
      </c>
      <c r="I17" s="8" t="str">
        <f>"2450,0"</f>
        <v>2450,0</v>
      </c>
      <c r="J17" s="9" t="str">
        <f>"1535,7825"</f>
        <v>1535,7825</v>
      </c>
      <c r="K17" s="8" t="s">
        <v>2060</v>
      </c>
    </row>
    <row r="18" spans="1:11">
      <c r="A18" s="14" t="s">
        <v>2061</v>
      </c>
      <c r="B18" s="14" t="s">
        <v>2062</v>
      </c>
      <c r="C18" s="14" t="s">
        <v>2063</v>
      </c>
      <c r="D18" s="14" t="str">
        <f>"0,6217"</f>
        <v>0,6217</v>
      </c>
      <c r="E18" s="14" t="s">
        <v>34</v>
      </c>
      <c r="F18" s="14" t="s">
        <v>35</v>
      </c>
      <c r="G18" s="16" t="s">
        <v>366</v>
      </c>
      <c r="H18" s="34" t="s">
        <v>2064</v>
      </c>
      <c r="I18" s="14" t="str">
        <f>"3587,5"</f>
        <v>3587,5</v>
      </c>
      <c r="J18" s="16" t="str">
        <f>"2230,5281"</f>
        <v>2230,5281</v>
      </c>
      <c r="K18" s="14" t="s">
        <v>2065</v>
      </c>
    </row>
    <row r="19" spans="1:11">
      <c r="A19" s="14" t="s">
        <v>2066</v>
      </c>
      <c r="B19" s="14" t="s">
        <v>2067</v>
      </c>
      <c r="C19" s="14" t="s">
        <v>2068</v>
      </c>
      <c r="D19" s="14" t="str">
        <f>"0,6226"</f>
        <v>0,6226</v>
      </c>
      <c r="E19" s="14" t="s">
        <v>34</v>
      </c>
      <c r="F19" s="14" t="s">
        <v>35</v>
      </c>
      <c r="G19" s="16" t="s">
        <v>366</v>
      </c>
      <c r="H19" s="34" t="s">
        <v>225</v>
      </c>
      <c r="I19" s="14" t="str">
        <f>"3500,0"</f>
        <v>3500,0</v>
      </c>
      <c r="J19" s="16" t="str">
        <f>"2179,1001"</f>
        <v>2179,1001</v>
      </c>
      <c r="K19" s="14" t="s">
        <v>2069</v>
      </c>
    </row>
    <row r="20" spans="1:11">
      <c r="A20" s="14" t="s">
        <v>2070</v>
      </c>
      <c r="B20" s="14" t="s">
        <v>2071</v>
      </c>
      <c r="C20" s="14" t="s">
        <v>2072</v>
      </c>
      <c r="D20" s="14" t="str">
        <f>"0,6340"</f>
        <v>0,6340</v>
      </c>
      <c r="E20" s="14" t="s">
        <v>34</v>
      </c>
      <c r="F20" s="14" t="s">
        <v>35</v>
      </c>
      <c r="G20" s="16" t="s">
        <v>51</v>
      </c>
      <c r="H20" s="34" t="s">
        <v>2073</v>
      </c>
      <c r="I20" s="14" t="str">
        <f>"2720,0"</f>
        <v>2720,0</v>
      </c>
      <c r="J20" s="16" t="str">
        <f>"1724,4800"</f>
        <v>1724,4800</v>
      </c>
      <c r="K20" s="14" t="s">
        <v>2074</v>
      </c>
    </row>
    <row r="21" spans="1:11">
      <c r="A21" s="14" t="s">
        <v>2075</v>
      </c>
      <c r="B21" s="14" t="s">
        <v>2076</v>
      </c>
      <c r="C21" s="14" t="s">
        <v>1303</v>
      </c>
      <c r="D21" s="14" t="str">
        <f>"0,6141"</f>
        <v>0,6141</v>
      </c>
      <c r="E21" s="33" t="s">
        <v>18</v>
      </c>
      <c r="F21" s="14" t="s">
        <v>480</v>
      </c>
      <c r="G21" s="16" t="s">
        <v>52</v>
      </c>
      <c r="H21" s="34" t="s">
        <v>2017</v>
      </c>
      <c r="I21" s="14" t="str">
        <f>"2700,0"</f>
        <v>2700,0</v>
      </c>
      <c r="J21" s="16" t="str">
        <f>"1658,2050"</f>
        <v>1658,2050</v>
      </c>
      <c r="K21" s="14" t="s">
        <v>2044</v>
      </c>
    </row>
    <row r="22" spans="1:11">
      <c r="A22" s="11" t="s">
        <v>2077</v>
      </c>
      <c r="B22" s="11" t="s">
        <v>2078</v>
      </c>
      <c r="C22" s="11" t="s">
        <v>2079</v>
      </c>
      <c r="D22" s="11" t="str">
        <f>"0,6354"</f>
        <v>0,6354</v>
      </c>
      <c r="E22" s="35" t="s">
        <v>18</v>
      </c>
      <c r="F22" s="11" t="s">
        <v>686</v>
      </c>
      <c r="G22" s="12" t="s">
        <v>51</v>
      </c>
      <c r="H22" s="36" t="s">
        <v>2080</v>
      </c>
      <c r="I22" s="11" t="str">
        <f>"2210,0"</f>
        <v>2210,0</v>
      </c>
      <c r="J22" s="12" t="str">
        <f>"1519,3812"</f>
        <v>1519,3812</v>
      </c>
      <c r="K22" s="11"/>
    </row>
    <row r="24" spans="1:11" ht="15">
      <c r="A24" s="41" t="s">
        <v>86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1">
      <c r="A25" s="8" t="s">
        <v>2081</v>
      </c>
      <c r="B25" s="8" t="s">
        <v>1352</v>
      </c>
      <c r="C25" s="8" t="s">
        <v>1353</v>
      </c>
      <c r="D25" s="8" t="str">
        <f>"0,5821"</f>
        <v>0,5821</v>
      </c>
      <c r="E25" s="8" t="s">
        <v>34</v>
      </c>
      <c r="F25" s="8" t="s">
        <v>35</v>
      </c>
      <c r="G25" s="9" t="s">
        <v>21</v>
      </c>
      <c r="H25" s="32" t="s">
        <v>2082</v>
      </c>
      <c r="I25" s="8" t="str">
        <f>"2200,0"</f>
        <v>2200,0</v>
      </c>
      <c r="J25" s="9" t="str">
        <f>"1280,5101"</f>
        <v>1280,5101</v>
      </c>
      <c r="K25" s="8"/>
    </row>
    <row r="26" spans="1:11">
      <c r="A26" s="14" t="s">
        <v>2083</v>
      </c>
      <c r="B26" s="14" t="s">
        <v>2084</v>
      </c>
      <c r="C26" s="14" t="s">
        <v>2085</v>
      </c>
      <c r="D26" s="14" t="str">
        <f>"0,6064"</f>
        <v>0,6064</v>
      </c>
      <c r="E26" s="14" t="s">
        <v>34</v>
      </c>
      <c r="F26" s="14" t="s">
        <v>35</v>
      </c>
      <c r="G26" s="16" t="s">
        <v>246</v>
      </c>
      <c r="H26" s="34" t="s">
        <v>2086</v>
      </c>
      <c r="I26" s="14" t="str">
        <f>"1942,5"</f>
        <v>1942,5</v>
      </c>
      <c r="J26" s="16" t="str">
        <f>"1177,9320"</f>
        <v>1177,9320</v>
      </c>
      <c r="K26" s="14"/>
    </row>
    <row r="27" spans="1:11">
      <c r="A27" s="11" t="s">
        <v>1367</v>
      </c>
      <c r="B27" s="11" t="s">
        <v>2087</v>
      </c>
      <c r="C27" s="11" t="s">
        <v>1353</v>
      </c>
      <c r="D27" s="11" t="str">
        <f>"0,5821"</f>
        <v>0,5821</v>
      </c>
      <c r="E27" s="11" t="s">
        <v>34</v>
      </c>
      <c r="F27" s="11" t="s">
        <v>35</v>
      </c>
      <c r="G27" s="12" t="s">
        <v>21</v>
      </c>
      <c r="H27" s="36" t="s">
        <v>2088</v>
      </c>
      <c r="I27" s="11" t="str">
        <f>"1300,0"</f>
        <v>1300,0</v>
      </c>
      <c r="J27" s="12" t="str">
        <f>"764,2317"</f>
        <v>764,2317</v>
      </c>
      <c r="K27" s="11"/>
    </row>
    <row r="28" spans="1:11">
      <c r="A28" s="24"/>
      <c r="B28" s="24"/>
      <c r="C28" s="24"/>
      <c r="D28" s="24"/>
      <c r="E28" s="24"/>
      <c r="F28" s="24"/>
      <c r="G28" s="2"/>
      <c r="H28" s="37"/>
      <c r="I28" s="24"/>
      <c r="J28" s="2"/>
    </row>
    <row r="29" spans="1:11" ht="15">
      <c r="A29" s="41" t="s">
        <v>160</v>
      </c>
      <c r="B29" s="41"/>
      <c r="C29" s="41"/>
      <c r="D29" s="41"/>
      <c r="E29" s="41"/>
      <c r="F29" s="41"/>
      <c r="G29" s="41"/>
      <c r="H29" s="41"/>
      <c r="I29" s="41"/>
      <c r="J29" s="41"/>
    </row>
    <row r="30" spans="1:11">
      <c r="A30" s="5" t="s">
        <v>2089</v>
      </c>
      <c r="B30" s="5" t="s">
        <v>2090</v>
      </c>
      <c r="C30" s="5" t="s">
        <v>2091</v>
      </c>
      <c r="D30" s="5" t="str">
        <f>"0,5442"</f>
        <v>0,5442</v>
      </c>
      <c r="E30" s="5" t="s">
        <v>18</v>
      </c>
      <c r="F30" s="5" t="s">
        <v>1265</v>
      </c>
      <c r="G30" s="7" t="s">
        <v>579</v>
      </c>
      <c r="H30" s="29" t="s">
        <v>2092</v>
      </c>
      <c r="I30" s="5" t="str">
        <f>"1912,5"</f>
        <v>1912,5</v>
      </c>
      <c r="J30" s="7" t="str">
        <f>"1051,1903"</f>
        <v>1051,1903</v>
      </c>
      <c r="K30" s="5"/>
    </row>
    <row r="32" spans="1:11" ht="15">
      <c r="E32" s="17" t="s">
        <v>166</v>
      </c>
    </row>
    <row r="33" spans="1:5" ht="15">
      <c r="E33" s="17" t="s">
        <v>167</v>
      </c>
    </row>
    <row r="34" spans="1:5" ht="15">
      <c r="E34" s="17" t="s">
        <v>168</v>
      </c>
    </row>
    <row r="35" spans="1:5" ht="15">
      <c r="E35" s="17" t="s">
        <v>169</v>
      </c>
    </row>
    <row r="36" spans="1:5" ht="15">
      <c r="E36" s="17" t="s">
        <v>169</v>
      </c>
    </row>
    <row r="37" spans="1:5" ht="15">
      <c r="E37" s="17" t="s">
        <v>170</v>
      </c>
    </row>
    <row r="38" spans="1:5" ht="15">
      <c r="E38" s="17"/>
    </row>
    <row r="40" spans="1:5" ht="18">
      <c r="A40" s="18" t="s">
        <v>171</v>
      </c>
      <c r="B40" s="18"/>
    </row>
    <row r="41" spans="1:5" ht="15">
      <c r="A41" s="19" t="s">
        <v>183</v>
      </c>
      <c r="B41" s="19"/>
    </row>
    <row r="42" spans="1:5" ht="14.25">
      <c r="A42" s="21"/>
      <c r="B42" s="22" t="s">
        <v>511</v>
      </c>
    </row>
    <row r="43" spans="1:5" ht="15">
      <c r="A43" s="23" t="s">
        <v>174</v>
      </c>
      <c r="B43" s="23" t="s">
        <v>175</v>
      </c>
      <c r="C43" s="23" t="s">
        <v>176</v>
      </c>
      <c r="D43" s="23" t="s">
        <v>177</v>
      </c>
      <c r="E43" s="23" t="s">
        <v>2023</v>
      </c>
    </row>
    <row r="44" spans="1:5">
      <c r="A44" s="20" t="s">
        <v>2093</v>
      </c>
      <c r="B44" s="4" t="s">
        <v>2032</v>
      </c>
      <c r="C44" s="4" t="s">
        <v>25</v>
      </c>
      <c r="D44" s="4" t="s">
        <v>2094</v>
      </c>
      <c r="E44" s="24" t="s">
        <v>2095</v>
      </c>
    </row>
    <row r="46" spans="1:5" ht="14.25">
      <c r="A46" s="21"/>
      <c r="B46" s="22" t="s">
        <v>184</v>
      </c>
    </row>
    <row r="47" spans="1:5" ht="15">
      <c r="A47" s="23" t="s">
        <v>174</v>
      </c>
      <c r="B47" s="23" t="s">
        <v>175</v>
      </c>
      <c r="C47" s="23" t="s">
        <v>176</v>
      </c>
      <c r="D47" s="23" t="s">
        <v>177</v>
      </c>
      <c r="E47" s="23" t="s">
        <v>2023</v>
      </c>
    </row>
    <row r="48" spans="1:5">
      <c r="A48" s="20" t="s">
        <v>2096</v>
      </c>
      <c r="B48" s="4" t="s">
        <v>185</v>
      </c>
      <c r="C48" s="4" t="s">
        <v>52</v>
      </c>
      <c r="D48" s="4" t="s">
        <v>2097</v>
      </c>
      <c r="E48" s="24" t="s">
        <v>2098</v>
      </c>
    </row>
    <row r="50" spans="1:5" ht="14.25">
      <c r="A50" s="21"/>
      <c r="B50" s="22" t="s">
        <v>191</v>
      </c>
    </row>
    <row r="51" spans="1:5" ht="15">
      <c r="A51" s="23" t="s">
        <v>174</v>
      </c>
      <c r="B51" s="23" t="s">
        <v>175</v>
      </c>
      <c r="C51" s="23" t="s">
        <v>176</v>
      </c>
      <c r="D51" s="23" t="s">
        <v>177</v>
      </c>
      <c r="E51" s="23" t="s">
        <v>2023</v>
      </c>
    </row>
    <row r="52" spans="1:5">
      <c r="A52" s="20" t="s">
        <v>2099</v>
      </c>
      <c r="B52" s="4" t="s">
        <v>191</v>
      </c>
      <c r="C52" s="4" t="s">
        <v>180</v>
      </c>
      <c r="D52" s="4" t="s">
        <v>2100</v>
      </c>
      <c r="E52" s="24" t="s">
        <v>2101</v>
      </c>
    </row>
    <row r="53" spans="1:5">
      <c r="A53" s="20" t="s">
        <v>2102</v>
      </c>
      <c r="B53" s="4" t="s">
        <v>191</v>
      </c>
      <c r="C53" s="4" t="s">
        <v>180</v>
      </c>
      <c r="D53" s="4" t="s">
        <v>2103</v>
      </c>
      <c r="E53" s="24" t="s">
        <v>2104</v>
      </c>
    </row>
    <row r="54" spans="1:5">
      <c r="A54" s="20" t="s">
        <v>2105</v>
      </c>
      <c r="B54" s="4" t="s">
        <v>191</v>
      </c>
      <c r="C54" s="4" t="s">
        <v>52</v>
      </c>
      <c r="D54" s="4" t="s">
        <v>2106</v>
      </c>
      <c r="E54" s="24" t="s">
        <v>2107</v>
      </c>
    </row>
    <row r="55" spans="1:5">
      <c r="A55" s="20" t="s">
        <v>2108</v>
      </c>
      <c r="B55" s="4" t="s">
        <v>191</v>
      </c>
      <c r="C55" s="4" t="s">
        <v>52</v>
      </c>
      <c r="D55" s="4" t="s">
        <v>2109</v>
      </c>
      <c r="E55" s="24" t="s">
        <v>2110</v>
      </c>
    </row>
    <row r="56" spans="1:5">
      <c r="A56" s="20" t="s">
        <v>2111</v>
      </c>
      <c r="B56" s="4" t="s">
        <v>191</v>
      </c>
      <c r="C56" s="4" t="s">
        <v>180</v>
      </c>
      <c r="D56" s="4" t="s">
        <v>2112</v>
      </c>
      <c r="E56" s="24" t="s">
        <v>2113</v>
      </c>
    </row>
    <row r="57" spans="1:5">
      <c r="A57" s="20" t="s">
        <v>2114</v>
      </c>
      <c r="B57" s="4" t="s">
        <v>191</v>
      </c>
      <c r="C57" s="4" t="s">
        <v>52</v>
      </c>
      <c r="D57" s="4" t="s">
        <v>2115</v>
      </c>
      <c r="E57" s="24" t="s">
        <v>2116</v>
      </c>
    </row>
    <row r="58" spans="1:5">
      <c r="A58" s="20" t="s">
        <v>2117</v>
      </c>
      <c r="B58" s="4" t="s">
        <v>191</v>
      </c>
      <c r="C58" s="4" t="s">
        <v>52</v>
      </c>
      <c r="D58" s="4" t="s">
        <v>2112</v>
      </c>
      <c r="E58" s="24" t="s">
        <v>2118</v>
      </c>
    </row>
    <row r="59" spans="1:5">
      <c r="A59" s="20" t="s">
        <v>1350</v>
      </c>
      <c r="B59" s="4" t="s">
        <v>191</v>
      </c>
      <c r="C59" s="4" t="s">
        <v>21</v>
      </c>
      <c r="D59" s="4" t="s">
        <v>2119</v>
      </c>
      <c r="E59" s="24" t="s">
        <v>2120</v>
      </c>
    </row>
    <row r="60" spans="1:5">
      <c r="A60" s="20" t="s">
        <v>2121</v>
      </c>
      <c r="B60" s="4" t="s">
        <v>191</v>
      </c>
      <c r="C60" s="4" t="s">
        <v>21</v>
      </c>
      <c r="D60" s="4" t="s">
        <v>2122</v>
      </c>
      <c r="E60" s="24" t="s">
        <v>2123</v>
      </c>
    </row>
    <row r="62" spans="1:5" ht="14.25">
      <c r="A62" s="21"/>
      <c r="B62" s="22" t="s">
        <v>2027</v>
      </c>
    </row>
    <row r="63" spans="1:5" ht="15">
      <c r="A63" s="23" t="s">
        <v>174</v>
      </c>
      <c r="B63" s="23" t="s">
        <v>175</v>
      </c>
      <c r="C63" s="23" t="s">
        <v>176</v>
      </c>
      <c r="D63" s="23" t="s">
        <v>177</v>
      </c>
      <c r="E63" s="23" t="s">
        <v>2023</v>
      </c>
    </row>
    <row r="64" spans="1:5">
      <c r="A64" s="20" t="s">
        <v>2124</v>
      </c>
      <c r="B64" s="4" t="s">
        <v>2125</v>
      </c>
      <c r="C64" s="4" t="s">
        <v>52</v>
      </c>
      <c r="D64" s="4" t="s">
        <v>2126</v>
      </c>
      <c r="E64" s="24" t="s">
        <v>2127</v>
      </c>
    </row>
    <row r="65" spans="1:5">
      <c r="A65" s="20" t="s">
        <v>2128</v>
      </c>
      <c r="B65" s="4" t="s">
        <v>2125</v>
      </c>
      <c r="C65" s="4" t="s">
        <v>49</v>
      </c>
      <c r="D65" s="4" t="s">
        <v>2129</v>
      </c>
      <c r="E65" s="24" t="s">
        <v>2130</v>
      </c>
    </row>
    <row r="66" spans="1:5">
      <c r="A66" s="20" t="s">
        <v>2131</v>
      </c>
      <c r="B66" s="4" t="s">
        <v>2125</v>
      </c>
      <c r="C66" s="4" t="s">
        <v>200</v>
      </c>
      <c r="D66" s="4" t="s">
        <v>2132</v>
      </c>
      <c r="E66" s="24" t="s">
        <v>2133</v>
      </c>
    </row>
    <row r="67" spans="1:5">
      <c r="A67" s="20" t="s">
        <v>2134</v>
      </c>
      <c r="B67" s="4" t="s">
        <v>2125</v>
      </c>
      <c r="C67" s="4" t="s">
        <v>21</v>
      </c>
      <c r="D67" s="4" t="s">
        <v>2135</v>
      </c>
      <c r="E67" s="24" t="s">
        <v>2136</v>
      </c>
    </row>
  </sheetData>
  <mergeCells count="17">
    <mergeCell ref="A29:J29"/>
    <mergeCell ref="K3:K4"/>
    <mergeCell ref="A5:J5"/>
    <mergeCell ref="A10:J10"/>
    <mergeCell ref="A13:J13"/>
    <mergeCell ref="A16:J16"/>
    <mergeCell ref="A24:J2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F21" sqref="F21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6.28515625" style="4" bestFit="1" customWidth="1"/>
    <col min="7" max="7" width="4.5703125" style="3" bestFit="1" customWidth="1"/>
    <col min="8" max="8" width="4.5703125" style="30" bestFit="1" customWidth="1"/>
    <col min="9" max="9" width="7.85546875" style="4" bestFit="1" customWidth="1"/>
    <col min="10" max="10" width="9.5703125" style="3" bestFit="1" customWidth="1"/>
    <col min="11" max="11" width="33.85546875" style="4" bestFit="1" customWidth="1"/>
    <col min="12" max="16384" width="9.140625" style="3"/>
  </cols>
  <sheetData>
    <row r="1" spans="1:11" s="2" customFormat="1">
      <c r="A1" s="42" t="s">
        <v>2137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s="2" customFormat="1" ht="81.75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s="1" customFormat="1" ht="15">
      <c r="A3" s="48" t="s">
        <v>0</v>
      </c>
      <c r="B3" s="50" t="s">
        <v>6</v>
      </c>
      <c r="C3" s="50" t="s">
        <v>7</v>
      </c>
      <c r="D3" s="52" t="s">
        <v>2004</v>
      </c>
      <c r="E3" s="52" t="s">
        <v>4</v>
      </c>
      <c r="F3" s="52" t="s">
        <v>8</v>
      </c>
      <c r="G3" s="52" t="s">
        <v>2005</v>
      </c>
      <c r="H3" s="52"/>
      <c r="I3" s="52" t="s">
        <v>2006</v>
      </c>
      <c r="J3" s="52" t="s">
        <v>3</v>
      </c>
      <c r="K3" s="38" t="s">
        <v>2</v>
      </c>
    </row>
    <row r="4" spans="1:11" s="1" customFormat="1" ht="15.75" thickBot="1">
      <c r="A4" s="49"/>
      <c r="B4" s="51"/>
      <c r="C4" s="51"/>
      <c r="D4" s="51"/>
      <c r="E4" s="51"/>
      <c r="F4" s="51"/>
      <c r="G4" s="26" t="s">
        <v>2007</v>
      </c>
      <c r="H4" s="28" t="s">
        <v>2008</v>
      </c>
      <c r="I4" s="51"/>
      <c r="J4" s="51"/>
      <c r="K4" s="39"/>
    </row>
    <row r="5" spans="1:11" ht="15">
      <c r="A5" s="40" t="s">
        <v>342</v>
      </c>
      <c r="B5" s="40"/>
      <c r="C5" s="40"/>
      <c r="D5" s="40"/>
      <c r="E5" s="40"/>
      <c r="F5" s="40"/>
      <c r="G5" s="40"/>
      <c r="H5" s="40"/>
      <c r="I5" s="40"/>
      <c r="J5" s="40"/>
    </row>
    <row r="6" spans="1:11">
      <c r="A6" s="5" t="s">
        <v>2009</v>
      </c>
      <c r="B6" s="5" t="s">
        <v>2010</v>
      </c>
      <c r="C6" s="5" t="s">
        <v>2011</v>
      </c>
      <c r="D6" s="5" t="str">
        <f>"1,0669"</f>
        <v>1,0669</v>
      </c>
      <c r="E6" s="5" t="s">
        <v>34</v>
      </c>
      <c r="F6" s="5" t="s">
        <v>35</v>
      </c>
      <c r="G6" s="7" t="s">
        <v>2012</v>
      </c>
      <c r="H6" s="29" t="s">
        <v>2013</v>
      </c>
      <c r="I6" s="5" t="str">
        <f>"770,0"</f>
        <v>770,0</v>
      </c>
      <c r="J6" s="7" t="str">
        <f>"1006,3534"</f>
        <v>1006,3534</v>
      </c>
      <c r="K6" s="5" t="s">
        <v>2014</v>
      </c>
    </row>
    <row r="8" spans="1:11" ht="15">
      <c r="A8" s="41" t="s">
        <v>391</v>
      </c>
      <c r="B8" s="41"/>
      <c r="C8" s="41"/>
      <c r="D8" s="41"/>
      <c r="E8" s="41"/>
      <c r="F8" s="41"/>
      <c r="G8" s="41"/>
      <c r="H8" s="41"/>
      <c r="I8" s="41"/>
      <c r="J8" s="41"/>
    </row>
    <row r="9" spans="1:11">
      <c r="A9" s="5" t="s">
        <v>2015</v>
      </c>
      <c r="B9" s="5" t="s">
        <v>2016</v>
      </c>
      <c r="C9" s="5" t="s">
        <v>1671</v>
      </c>
      <c r="D9" s="5" t="str">
        <f>"1,0010"</f>
        <v>1,0010</v>
      </c>
      <c r="E9" s="5" t="s">
        <v>34</v>
      </c>
      <c r="F9" s="5" t="s">
        <v>35</v>
      </c>
      <c r="G9" s="7" t="s">
        <v>2017</v>
      </c>
      <c r="H9" s="29" t="s">
        <v>2018</v>
      </c>
      <c r="I9" s="5" t="str">
        <f>"1110,0"</f>
        <v>1110,0</v>
      </c>
      <c r="J9" s="7" t="str">
        <f>"1111,1101"</f>
        <v>1111,1101</v>
      </c>
      <c r="K9" s="5" t="s">
        <v>2019</v>
      </c>
    </row>
    <row r="11" spans="1:11" ht="15">
      <c r="A11" s="41" t="s">
        <v>13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1">
      <c r="A12" s="5" t="s">
        <v>2020</v>
      </c>
      <c r="B12" s="5" t="s">
        <v>2021</v>
      </c>
      <c r="C12" s="5" t="s">
        <v>2022</v>
      </c>
      <c r="D12" s="5" t="str">
        <f>"0,7764"</f>
        <v>0,7764</v>
      </c>
      <c r="E12" s="5" t="s">
        <v>34</v>
      </c>
      <c r="F12" s="5" t="s">
        <v>48</v>
      </c>
      <c r="G12" s="7" t="s">
        <v>1059</v>
      </c>
      <c r="H12" s="29" t="s">
        <v>358</v>
      </c>
      <c r="I12" s="5" t="str">
        <f>"1625,0"</f>
        <v>1625,0</v>
      </c>
      <c r="J12" s="7" t="str">
        <f>"1261,7312"</f>
        <v>1261,7312</v>
      </c>
      <c r="K12" s="5"/>
    </row>
    <row r="14" spans="1:11" ht="15">
      <c r="E14" s="17" t="s">
        <v>166</v>
      </c>
    </row>
    <row r="15" spans="1:11" ht="15">
      <c r="E15" s="17" t="s">
        <v>167</v>
      </c>
    </row>
    <row r="16" spans="1:11" ht="15">
      <c r="E16" s="17" t="s">
        <v>168</v>
      </c>
    </row>
    <row r="17" spans="1:5" ht="15">
      <c r="E17" s="17" t="s">
        <v>169</v>
      </c>
    </row>
    <row r="18" spans="1:5" ht="15">
      <c r="E18" s="17" t="s">
        <v>169</v>
      </c>
    </row>
    <row r="19" spans="1:5" ht="15">
      <c r="E19" s="17" t="s">
        <v>170</v>
      </c>
    </row>
    <row r="20" spans="1:5" ht="15">
      <c r="E20" s="17"/>
    </row>
    <row r="22" spans="1:5" ht="18">
      <c r="A22" s="18" t="s">
        <v>171</v>
      </c>
      <c r="B22" s="18"/>
    </row>
    <row r="23" spans="1:5" ht="15">
      <c r="A23" s="19" t="s">
        <v>172</v>
      </c>
      <c r="B23" s="19"/>
    </row>
    <row r="24" spans="1:5" ht="14.25">
      <c r="A24" s="21"/>
      <c r="B24" s="22" t="s">
        <v>191</v>
      </c>
    </row>
    <row r="25" spans="1:5" ht="15">
      <c r="A25" s="23" t="s">
        <v>174</v>
      </c>
      <c r="B25" s="23" t="s">
        <v>175</v>
      </c>
      <c r="C25" s="23" t="s">
        <v>176</v>
      </c>
      <c r="D25" s="23" t="s">
        <v>177</v>
      </c>
      <c r="E25" s="23" t="s">
        <v>2023</v>
      </c>
    </row>
    <row r="26" spans="1:5">
      <c r="A26" s="20" t="s">
        <v>2024</v>
      </c>
      <c r="B26" s="4" t="s">
        <v>191</v>
      </c>
      <c r="C26" s="4" t="s">
        <v>378</v>
      </c>
      <c r="D26" s="4" t="s">
        <v>2025</v>
      </c>
      <c r="E26" s="24" t="s">
        <v>2026</v>
      </c>
    </row>
    <row r="28" spans="1:5" ht="14.25">
      <c r="A28" s="21"/>
      <c r="B28" s="22" t="s">
        <v>2027</v>
      </c>
    </row>
    <row r="29" spans="1:5" ht="15">
      <c r="A29" s="23" t="s">
        <v>174</v>
      </c>
      <c r="B29" s="23" t="s">
        <v>175</v>
      </c>
      <c r="C29" s="23" t="s">
        <v>176</v>
      </c>
      <c r="D29" s="23" t="s">
        <v>177</v>
      </c>
      <c r="E29" s="23" t="s">
        <v>2023</v>
      </c>
    </row>
    <row r="30" spans="1:5">
      <c r="A30" s="20" t="s">
        <v>2028</v>
      </c>
      <c r="B30" s="4" t="s">
        <v>2029</v>
      </c>
      <c r="C30" s="4" t="s">
        <v>501</v>
      </c>
      <c r="D30" s="4" t="s">
        <v>521</v>
      </c>
      <c r="E30" s="24" t="s">
        <v>2030</v>
      </c>
    </row>
    <row r="33" spans="1:5" ht="15">
      <c r="A33" s="19" t="s">
        <v>183</v>
      </c>
      <c r="B33" s="19"/>
    </row>
    <row r="34" spans="1:5" ht="14.25">
      <c r="A34" s="21"/>
      <c r="B34" s="22" t="s">
        <v>511</v>
      </c>
    </row>
    <row r="35" spans="1:5" ht="15">
      <c r="A35" s="23" t="s">
        <v>174</v>
      </c>
      <c r="B35" s="23" t="s">
        <v>175</v>
      </c>
      <c r="C35" s="23" t="s">
        <v>176</v>
      </c>
      <c r="D35" s="23" t="s">
        <v>177</v>
      </c>
      <c r="E35" s="23" t="s">
        <v>2023</v>
      </c>
    </row>
    <row r="36" spans="1:5">
      <c r="A36" s="20" t="s">
        <v>2031</v>
      </c>
      <c r="B36" s="4" t="s">
        <v>2032</v>
      </c>
      <c r="C36" s="4" t="s">
        <v>180</v>
      </c>
      <c r="D36" s="4" t="s">
        <v>2033</v>
      </c>
      <c r="E36" s="24" t="s">
        <v>2034</v>
      </c>
    </row>
  </sheetData>
  <mergeCells count="14">
    <mergeCell ref="K3:K4"/>
    <mergeCell ref="A5:J5"/>
    <mergeCell ref="A8:J8"/>
    <mergeCell ref="A11:J11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3"/>
  <sheetViews>
    <sheetView topLeftCell="A13" workbookViewId="0">
      <selection activeCell="M33" sqref="M33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7.71093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5.5703125" style="4" bestFit="1" customWidth="1"/>
    <col min="22" max="16384" width="9.140625" style="3"/>
  </cols>
  <sheetData>
    <row r="1" spans="1:21" s="2" customFormat="1" ht="29.1" customHeight="1">
      <c r="A1" s="42" t="s">
        <v>1935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220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5" t="s">
        <v>222</v>
      </c>
      <c r="B6" s="5" t="s">
        <v>223</v>
      </c>
      <c r="C6" s="5" t="s">
        <v>224</v>
      </c>
      <c r="D6" s="5" t="str">
        <f>"1,2711"</f>
        <v>1,2711</v>
      </c>
      <c r="E6" s="5" t="s">
        <v>18</v>
      </c>
      <c r="F6" s="5" t="s">
        <v>48</v>
      </c>
      <c r="G6" s="7" t="s">
        <v>25</v>
      </c>
      <c r="H6" s="7" t="s">
        <v>20</v>
      </c>
      <c r="I6" s="7" t="s">
        <v>51</v>
      </c>
      <c r="J6" s="6"/>
      <c r="K6" s="7" t="s">
        <v>225</v>
      </c>
      <c r="L6" s="7" t="s">
        <v>226</v>
      </c>
      <c r="M6" s="6" t="s">
        <v>227</v>
      </c>
      <c r="N6" s="6"/>
      <c r="O6" s="7" t="s">
        <v>52</v>
      </c>
      <c r="P6" s="7" t="s">
        <v>228</v>
      </c>
      <c r="Q6" s="7" t="s">
        <v>21</v>
      </c>
      <c r="R6" s="6"/>
      <c r="S6" s="5" t="str">
        <f>"230,0"</f>
        <v>230,0</v>
      </c>
      <c r="T6" s="7" t="str">
        <f>"292,3530"</f>
        <v>292,3530</v>
      </c>
      <c r="U6" s="5" t="s">
        <v>229</v>
      </c>
    </row>
    <row r="8" spans="1:21" ht="15">
      <c r="A8" s="41" t="s">
        <v>13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5" t="s">
        <v>231</v>
      </c>
      <c r="B9" s="5" t="s">
        <v>232</v>
      </c>
      <c r="C9" s="5" t="s">
        <v>233</v>
      </c>
      <c r="D9" s="5" t="str">
        <f>"0,7911"</f>
        <v>0,7911</v>
      </c>
      <c r="E9" s="5" t="s">
        <v>18</v>
      </c>
      <c r="F9" s="5" t="s">
        <v>48</v>
      </c>
      <c r="G9" s="7" t="s">
        <v>234</v>
      </c>
      <c r="H9" s="7" t="s">
        <v>186</v>
      </c>
      <c r="I9" s="7" t="s">
        <v>27</v>
      </c>
      <c r="J9" s="6"/>
      <c r="K9" s="7" t="s">
        <v>24</v>
      </c>
      <c r="L9" s="7" t="s">
        <v>25</v>
      </c>
      <c r="M9" s="6" t="s">
        <v>235</v>
      </c>
      <c r="N9" s="6"/>
      <c r="O9" s="7" t="s">
        <v>234</v>
      </c>
      <c r="P9" s="7" t="s">
        <v>27</v>
      </c>
      <c r="Q9" s="7" t="s">
        <v>236</v>
      </c>
      <c r="R9" s="6"/>
      <c r="S9" s="5" t="str">
        <f>"340,0"</f>
        <v>340,0</v>
      </c>
      <c r="T9" s="7" t="str">
        <f>"268,9740"</f>
        <v>268,9740</v>
      </c>
      <c r="U9" s="5" t="s">
        <v>229</v>
      </c>
    </row>
    <row r="11" spans="1:21" ht="15">
      <c r="A11" s="41" t="s">
        <v>237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1">
      <c r="A12" s="5" t="s">
        <v>239</v>
      </c>
      <c r="B12" s="5" t="s">
        <v>240</v>
      </c>
      <c r="C12" s="5" t="s">
        <v>241</v>
      </c>
      <c r="D12" s="5" t="str">
        <f>"0,7132"</f>
        <v>0,7132</v>
      </c>
      <c r="E12" s="5" t="s">
        <v>34</v>
      </c>
      <c r="F12" s="5" t="s">
        <v>35</v>
      </c>
      <c r="G12" s="7" t="s">
        <v>192</v>
      </c>
      <c r="H12" s="7" t="s">
        <v>234</v>
      </c>
      <c r="I12" s="6" t="s">
        <v>27</v>
      </c>
      <c r="J12" s="6"/>
      <c r="K12" s="7" t="s">
        <v>26</v>
      </c>
      <c r="L12" s="6" t="s">
        <v>192</v>
      </c>
      <c r="M12" s="7" t="s">
        <v>192</v>
      </c>
      <c r="N12" s="6"/>
      <c r="O12" s="7" t="s">
        <v>49</v>
      </c>
      <c r="P12" s="7" t="s">
        <v>54</v>
      </c>
      <c r="Q12" s="7" t="s">
        <v>136</v>
      </c>
      <c r="R12" s="6"/>
      <c r="S12" s="5" t="str">
        <f>"395,0"</f>
        <v>395,0</v>
      </c>
      <c r="T12" s="7" t="str">
        <f>"281,7140"</f>
        <v>281,7140</v>
      </c>
      <c r="U12" s="5"/>
    </row>
    <row r="14" spans="1:21" ht="15">
      <c r="A14" s="41" t="s">
        <v>29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1">
      <c r="A15" s="8" t="s">
        <v>243</v>
      </c>
      <c r="B15" s="8" t="s">
        <v>244</v>
      </c>
      <c r="C15" s="8" t="s">
        <v>245</v>
      </c>
      <c r="D15" s="8" t="str">
        <f>"0,6709"</f>
        <v>0,6709</v>
      </c>
      <c r="E15" s="8" t="s">
        <v>34</v>
      </c>
      <c r="F15" s="8" t="s">
        <v>35</v>
      </c>
      <c r="G15" s="9" t="s">
        <v>136</v>
      </c>
      <c r="H15" s="10" t="s">
        <v>137</v>
      </c>
      <c r="I15" s="10" t="s">
        <v>137</v>
      </c>
      <c r="J15" s="10"/>
      <c r="K15" s="9" t="s">
        <v>246</v>
      </c>
      <c r="L15" s="9" t="s">
        <v>21</v>
      </c>
      <c r="M15" s="9" t="s">
        <v>247</v>
      </c>
      <c r="N15" s="10"/>
      <c r="O15" s="9" t="s">
        <v>82</v>
      </c>
      <c r="P15" s="9" t="s">
        <v>112</v>
      </c>
      <c r="Q15" s="10" t="s">
        <v>85</v>
      </c>
      <c r="R15" s="10"/>
      <c r="S15" s="8" t="str">
        <f>"467,5"</f>
        <v>467,5</v>
      </c>
      <c r="T15" s="9" t="str">
        <f>"313,6457"</f>
        <v>313,6457</v>
      </c>
      <c r="U15" s="8" t="s">
        <v>28</v>
      </c>
    </row>
    <row r="16" spans="1:21">
      <c r="A16" s="11" t="s">
        <v>249</v>
      </c>
      <c r="B16" s="11" t="s">
        <v>250</v>
      </c>
      <c r="C16" s="11" t="s">
        <v>251</v>
      </c>
      <c r="D16" s="11" t="str">
        <f>"0,6854"</f>
        <v>0,6854</v>
      </c>
      <c r="E16" s="11" t="s">
        <v>34</v>
      </c>
      <c r="F16" s="11" t="s">
        <v>35</v>
      </c>
      <c r="G16" s="13" t="s">
        <v>192</v>
      </c>
      <c r="H16" s="12" t="s">
        <v>192</v>
      </c>
      <c r="I16" s="12" t="s">
        <v>234</v>
      </c>
      <c r="J16" s="13"/>
      <c r="K16" s="12" t="s">
        <v>26</v>
      </c>
      <c r="L16" s="12" t="s">
        <v>252</v>
      </c>
      <c r="M16" s="12" t="s">
        <v>234</v>
      </c>
      <c r="N16" s="13"/>
      <c r="O16" s="12" t="s">
        <v>234</v>
      </c>
      <c r="P16" s="12" t="s">
        <v>27</v>
      </c>
      <c r="Q16" s="12" t="s">
        <v>49</v>
      </c>
      <c r="R16" s="13"/>
      <c r="S16" s="11" t="str">
        <f>"380,0"</f>
        <v>380,0</v>
      </c>
      <c r="T16" s="12" t="str">
        <f>"308,3752"</f>
        <v>308,3752</v>
      </c>
      <c r="U16" s="11" t="s">
        <v>229</v>
      </c>
    </row>
    <row r="18" spans="1:21" ht="15">
      <c r="A18" s="41" t="s">
        <v>56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1">
      <c r="A19" s="5" t="s">
        <v>254</v>
      </c>
      <c r="B19" s="5" t="s">
        <v>255</v>
      </c>
      <c r="C19" s="5" t="s">
        <v>72</v>
      </c>
      <c r="D19" s="5" t="str">
        <f>"0,6391"</f>
        <v>0,6391</v>
      </c>
      <c r="E19" s="5" t="s">
        <v>34</v>
      </c>
      <c r="F19" s="5" t="s">
        <v>35</v>
      </c>
      <c r="G19" s="7" t="s">
        <v>93</v>
      </c>
      <c r="H19" s="6" t="s">
        <v>106</v>
      </c>
      <c r="I19" s="6" t="s">
        <v>106</v>
      </c>
      <c r="J19" s="6"/>
      <c r="K19" s="7" t="s">
        <v>49</v>
      </c>
      <c r="L19" s="7" t="s">
        <v>64</v>
      </c>
      <c r="M19" s="6" t="s">
        <v>54</v>
      </c>
      <c r="N19" s="6"/>
      <c r="O19" s="7" t="s">
        <v>83</v>
      </c>
      <c r="P19" s="7" t="s">
        <v>76</v>
      </c>
      <c r="Q19" s="7" t="s">
        <v>117</v>
      </c>
      <c r="R19" s="6"/>
      <c r="S19" s="5" t="str">
        <f>"570,0"</f>
        <v>570,0</v>
      </c>
      <c r="T19" s="7" t="str">
        <f>"364,2870"</f>
        <v>364,2870</v>
      </c>
      <c r="U19" s="5"/>
    </row>
    <row r="21" spans="1:21" ht="15">
      <c r="A21" s="41" t="s">
        <v>86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1">
      <c r="A22" s="8" t="s">
        <v>257</v>
      </c>
      <c r="B22" s="8" t="s">
        <v>258</v>
      </c>
      <c r="C22" s="8" t="s">
        <v>259</v>
      </c>
      <c r="D22" s="8" t="str">
        <f>"0,6096"</f>
        <v>0,6096</v>
      </c>
      <c r="E22" s="8" t="s">
        <v>18</v>
      </c>
      <c r="F22" s="8" t="s">
        <v>48</v>
      </c>
      <c r="G22" s="9" t="s">
        <v>82</v>
      </c>
      <c r="H22" s="9" t="s">
        <v>85</v>
      </c>
      <c r="I22" s="10" t="s">
        <v>83</v>
      </c>
      <c r="J22" s="10"/>
      <c r="K22" s="9" t="s">
        <v>186</v>
      </c>
      <c r="L22" s="9" t="s">
        <v>27</v>
      </c>
      <c r="M22" s="9" t="s">
        <v>260</v>
      </c>
      <c r="N22" s="10"/>
      <c r="O22" s="9" t="s">
        <v>82</v>
      </c>
      <c r="P22" s="9" t="s">
        <v>85</v>
      </c>
      <c r="Q22" s="9" t="s">
        <v>75</v>
      </c>
      <c r="R22" s="10"/>
      <c r="S22" s="8" t="str">
        <f>"557,5"</f>
        <v>557,5</v>
      </c>
      <c r="T22" s="9" t="str">
        <f>"339,8520"</f>
        <v>339,8520</v>
      </c>
      <c r="U22" s="8" t="s">
        <v>229</v>
      </c>
    </row>
    <row r="23" spans="1:21">
      <c r="A23" s="14" t="s">
        <v>262</v>
      </c>
      <c r="B23" s="14" t="s">
        <v>263</v>
      </c>
      <c r="C23" s="14" t="s">
        <v>264</v>
      </c>
      <c r="D23" s="14" t="str">
        <f>"0,6118"</f>
        <v>0,6118</v>
      </c>
      <c r="E23" s="14" t="s">
        <v>34</v>
      </c>
      <c r="F23" s="14" t="s">
        <v>35</v>
      </c>
      <c r="G23" s="16" t="s">
        <v>92</v>
      </c>
      <c r="H23" s="15" t="s">
        <v>63</v>
      </c>
      <c r="I23" s="15" t="s">
        <v>63</v>
      </c>
      <c r="J23" s="15"/>
      <c r="K23" s="16" t="s">
        <v>55</v>
      </c>
      <c r="L23" s="16" t="s">
        <v>93</v>
      </c>
      <c r="M23" s="16" t="s">
        <v>106</v>
      </c>
      <c r="N23" s="15"/>
      <c r="O23" s="16" t="s">
        <v>128</v>
      </c>
      <c r="P23" s="15" t="s">
        <v>265</v>
      </c>
      <c r="Q23" s="15" t="s">
        <v>265</v>
      </c>
      <c r="R23" s="15"/>
      <c r="S23" s="14" t="str">
        <f>"740,0"</f>
        <v>740,0</v>
      </c>
      <c r="T23" s="16" t="str">
        <f>"452,7320"</f>
        <v>452,7320</v>
      </c>
      <c r="U23" s="14" t="s">
        <v>266</v>
      </c>
    </row>
    <row r="24" spans="1:21">
      <c r="A24" s="14" t="s">
        <v>268</v>
      </c>
      <c r="B24" s="14" t="s">
        <v>269</v>
      </c>
      <c r="C24" s="14" t="s">
        <v>270</v>
      </c>
      <c r="D24" s="14" t="str">
        <f>"0,6152"</f>
        <v>0,6152</v>
      </c>
      <c r="E24" s="14" t="s">
        <v>34</v>
      </c>
      <c r="F24" s="14" t="s">
        <v>35</v>
      </c>
      <c r="G24" s="15" t="s">
        <v>91</v>
      </c>
      <c r="H24" s="15" t="s">
        <v>91</v>
      </c>
      <c r="I24" s="16" t="s">
        <v>91</v>
      </c>
      <c r="J24" s="15"/>
      <c r="K24" s="16" t="s">
        <v>55</v>
      </c>
      <c r="L24" s="16" t="s">
        <v>93</v>
      </c>
      <c r="M24" s="15" t="s">
        <v>137</v>
      </c>
      <c r="N24" s="15"/>
      <c r="O24" s="16" t="s">
        <v>63</v>
      </c>
      <c r="P24" s="16" t="s">
        <v>271</v>
      </c>
      <c r="Q24" s="15" t="s">
        <v>272</v>
      </c>
      <c r="R24" s="15"/>
      <c r="S24" s="14" t="str">
        <f>"692,5"</f>
        <v>692,5</v>
      </c>
      <c r="T24" s="16" t="str">
        <f>"426,0260"</f>
        <v>426,0260</v>
      </c>
      <c r="U24" s="14" t="s">
        <v>273</v>
      </c>
    </row>
    <row r="25" spans="1:21">
      <c r="A25" s="11" t="s">
        <v>275</v>
      </c>
      <c r="B25" s="11" t="s">
        <v>276</v>
      </c>
      <c r="C25" s="11" t="s">
        <v>277</v>
      </c>
      <c r="D25" s="11" t="str">
        <f>"0,6111"</f>
        <v>0,6111</v>
      </c>
      <c r="E25" s="11" t="s">
        <v>278</v>
      </c>
      <c r="F25" s="11" t="s">
        <v>279</v>
      </c>
      <c r="G25" s="12" t="s">
        <v>120</v>
      </c>
      <c r="H25" s="12" t="s">
        <v>152</v>
      </c>
      <c r="I25" s="12" t="s">
        <v>91</v>
      </c>
      <c r="J25" s="13"/>
      <c r="K25" s="12" t="s">
        <v>50</v>
      </c>
      <c r="L25" s="12" t="s">
        <v>54</v>
      </c>
      <c r="M25" s="12" t="s">
        <v>55</v>
      </c>
      <c r="N25" s="13"/>
      <c r="O25" s="12" t="s">
        <v>152</v>
      </c>
      <c r="P25" s="12" t="s">
        <v>117</v>
      </c>
      <c r="Q25" s="12" t="s">
        <v>92</v>
      </c>
      <c r="R25" s="13"/>
      <c r="S25" s="11" t="str">
        <f>"660,0"</f>
        <v>660,0</v>
      </c>
      <c r="T25" s="12" t="str">
        <f>"403,3260"</f>
        <v>403,3260</v>
      </c>
      <c r="U25" s="11"/>
    </row>
    <row r="27" spans="1:21" ht="15">
      <c r="A27" s="41" t="s">
        <v>122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1">
      <c r="A28" s="5" t="s">
        <v>281</v>
      </c>
      <c r="B28" s="5" t="s">
        <v>282</v>
      </c>
      <c r="C28" s="5" t="s">
        <v>151</v>
      </c>
      <c r="D28" s="5" t="str">
        <f>"0,5903"</f>
        <v>0,5903</v>
      </c>
      <c r="E28" s="5" t="s">
        <v>34</v>
      </c>
      <c r="F28" s="5" t="s">
        <v>35</v>
      </c>
      <c r="G28" s="7" t="s">
        <v>65</v>
      </c>
      <c r="H28" s="7" t="s">
        <v>66</v>
      </c>
      <c r="I28" s="7" t="s">
        <v>77</v>
      </c>
      <c r="J28" s="6"/>
      <c r="K28" s="7" t="s">
        <v>82</v>
      </c>
      <c r="L28" s="7" t="s">
        <v>283</v>
      </c>
      <c r="M28" s="6" t="s">
        <v>284</v>
      </c>
      <c r="N28" s="6"/>
      <c r="O28" s="7" t="s">
        <v>97</v>
      </c>
      <c r="P28" s="7" t="s">
        <v>285</v>
      </c>
      <c r="Q28" s="6" t="s">
        <v>286</v>
      </c>
      <c r="R28" s="6"/>
      <c r="S28" s="5" t="str">
        <f>"785,0"</f>
        <v>785,0</v>
      </c>
      <c r="T28" s="7" t="str">
        <f>"463,3855"</f>
        <v>463,3855</v>
      </c>
      <c r="U28" s="5" t="s">
        <v>266</v>
      </c>
    </row>
    <row r="30" spans="1:21" ht="15">
      <c r="E30" s="17" t="s">
        <v>166</v>
      </c>
    </row>
    <row r="31" spans="1:21" ht="15">
      <c r="E31" s="17" t="s">
        <v>167</v>
      </c>
    </row>
    <row r="32" spans="1:21" ht="15">
      <c r="E32" s="17" t="s">
        <v>168</v>
      </c>
    </row>
    <row r="33" spans="1:5" ht="15">
      <c r="E33" s="17" t="s">
        <v>169</v>
      </c>
    </row>
    <row r="34" spans="1:5" ht="15">
      <c r="E34" s="17" t="s">
        <v>169</v>
      </c>
    </row>
    <row r="35" spans="1:5" ht="15">
      <c r="E35" s="17" t="s">
        <v>170</v>
      </c>
    </row>
    <row r="36" spans="1:5" ht="15">
      <c r="E36" s="17"/>
    </row>
    <row r="38" spans="1:5" ht="18">
      <c r="A38" s="18" t="s">
        <v>171</v>
      </c>
      <c r="B38" s="18"/>
    </row>
    <row r="39" spans="1:5" ht="15">
      <c r="A39" s="19" t="s">
        <v>172</v>
      </c>
      <c r="B39" s="19"/>
    </row>
    <row r="40" spans="1:5" ht="14.25">
      <c r="A40" s="21"/>
      <c r="B40" s="22" t="s">
        <v>287</v>
      </c>
    </row>
    <row r="41" spans="1:5" ht="15">
      <c r="A41" s="23" t="s">
        <v>174</v>
      </c>
      <c r="B41" s="23" t="s">
        <v>175</v>
      </c>
      <c r="C41" s="23" t="s">
        <v>176</v>
      </c>
      <c r="D41" s="23" t="s">
        <v>177</v>
      </c>
      <c r="E41" s="23" t="s">
        <v>178</v>
      </c>
    </row>
    <row r="42" spans="1:5">
      <c r="A42" s="20" t="s">
        <v>221</v>
      </c>
      <c r="B42" s="4" t="s">
        <v>185</v>
      </c>
      <c r="C42" s="4" t="s">
        <v>288</v>
      </c>
      <c r="D42" s="4" t="s">
        <v>143</v>
      </c>
      <c r="E42" s="24" t="s">
        <v>289</v>
      </c>
    </row>
    <row r="45" spans="1:5" ht="15">
      <c r="A45" s="19" t="s">
        <v>183</v>
      </c>
      <c r="B45" s="19"/>
    </row>
    <row r="46" spans="1:5" ht="14.25">
      <c r="A46" s="21"/>
      <c r="B46" s="22" t="s">
        <v>184</v>
      </c>
    </row>
    <row r="47" spans="1:5" ht="15">
      <c r="A47" s="23" t="s">
        <v>174</v>
      </c>
      <c r="B47" s="23" t="s">
        <v>175</v>
      </c>
      <c r="C47" s="23" t="s">
        <v>176</v>
      </c>
      <c r="D47" s="23" t="s">
        <v>177</v>
      </c>
      <c r="E47" s="23" t="s">
        <v>178</v>
      </c>
    </row>
    <row r="48" spans="1:5">
      <c r="A48" s="20" t="s">
        <v>256</v>
      </c>
      <c r="B48" s="4" t="s">
        <v>185</v>
      </c>
      <c r="C48" s="4" t="s">
        <v>21</v>
      </c>
      <c r="D48" s="4" t="s">
        <v>290</v>
      </c>
      <c r="E48" s="24" t="s">
        <v>291</v>
      </c>
    </row>
    <row r="50" spans="1:5" ht="14.25">
      <c r="A50" s="21"/>
      <c r="B50" s="22" t="s">
        <v>191</v>
      </c>
    </row>
    <row r="51" spans="1:5" ht="15">
      <c r="A51" s="23" t="s">
        <v>174</v>
      </c>
      <c r="B51" s="23" t="s">
        <v>175</v>
      </c>
      <c r="C51" s="23" t="s">
        <v>176</v>
      </c>
      <c r="D51" s="23" t="s">
        <v>177</v>
      </c>
      <c r="E51" s="23" t="s">
        <v>178</v>
      </c>
    </row>
    <row r="52" spans="1:5">
      <c r="A52" s="20" t="s">
        <v>280</v>
      </c>
      <c r="B52" s="4" t="s">
        <v>191</v>
      </c>
      <c r="C52" s="4" t="s">
        <v>192</v>
      </c>
      <c r="D52" s="4" t="s">
        <v>292</v>
      </c>
      <c r="E52" s="24" t="s">
        <v>293</v>
      </c>
    </row>
    <row r="53" spans="1:5">
      <c r="A53" s="20" t="s">
        <v>261</v>
      </c>
      <c r="B53" s="4" t="s">
        <v>191</v>
      </c>
      <c r="C53" s="4" t="s">
        <v>21</v>
      </c>
      <c r="D53" s="4" t="s">
        <v>294</v>
      </c>
      <c r="E53" s="24" t="s">
        <v>295</v>
      </c>
    </row>
    <row r="54" spans="1:5">
      <c r="A54" s="20" t="s">
        <v>267</v>
      </c>
      <c r="B54" s="4" t="s">
        <v>191</v>
      </c>
      <c r="C54" s="4" t="s">
        <v>21</v>
      </c>
      <c r="D54" s="4" t="s">
        <v>296</v>
      </c>
      <c r="E54" s="24" t="s">
        <v>297</v>
      </c>
    </row>
    <row r="55" spans="1:5">
      <c r="A55" s="20" t="s">
        <v>274</v>
      </c>
      <c r="B55" s="4" t="s">
        <v>191</v>
      </c>
      <c r="C55" s="4" t="s">
        <v>21</v>
      </c>
      <c r="D55" s="4" t="s">
        <v>298</v>
      </c>
      <c r="E55" s="24" t="s">
        <v>299</v>
      </c>
    </row>
    <row r="56" spans="1:5">
      <c r="A56" s="20" t="s">
        <v>253</v>
      </c>
      <c r="B56" s="4" t="s">
        <v>191</v>
      </c>
      <c r="C56" s="4" t="s">
        <v>52</v>
      </c>
      <c r="D56" s="4" t="s">
        <v>300</v>
      </c>
      <c r="E56" s="24" t="s">
        <v>301</v>
      </c>
    </row>
    <row r="57" spans="1:5">
      <c r="A57" s="20" t="s">
        <v>242</v>
      </c>
      <c r="B57" s="4" t="s">
        <v>191</v>
      </c>
      <c r="C57" s="4" t="s">
        <v>200</v>
      </c>
      <c r="D57" s="4" t="s">
        <v>302</v>
      </c>
      <c r="E57" s="24" t="s">
        <v>303</v>
      </c>
    </row>
    <row r="58" spans="1:5">
      <c r="A58" s="20" t="s">
        <v>238</v>
      </c>
      <c r="B58" s="4" t="s">
        <v>191</v>
      </c>
      <c r="C58" s="4" t="s">
        <v>25</v>
      </c>
      <c r="D58" s="4" t="s">
        <v>304</v>
      </c>
      <c r="E58" s="24" t="s">
        <v>305</v>
      </c>
    </row>
    <row r="59" spans="1:5">
      <c r="A59" s="20" t="s">
        <v>230</v>
      </c>
      <c r="B59" s="4" t="s">
        <v>191</v>
      </c>
      <c r="C59" s="4" t="s">
        <v>180</v>
      </c>
      <c r="D59" s="4" t="s">
        <v>306</v>
      </c>
      <c r="E59" s="24" t="s">
        <v>307</v>
      </c>
    </row>
    <row r="61" spans="1:5" ht="14.25">
      <c r="A61" s="21"/>
      <c r="B61" s="22" t="s">
        <v>173</v>
      </c>
    </row>
    <row r="62" spans="1:5" ht="15">
      <c r="A62" s="23" t="s">
        <v>174</v>
      </c>
      <c r="B62" s="23" t="s">
        <v>175</v>
      </c>
      <c r="C62" s="23" t="s">
        <v>176</v>
      </c>
      <c r="D62" s="23" t="s">
        <v>177</v>
      </c>
      <c r="E62" s="23" t="s">
        <v>178</v>
      </c>
    </row>
    <row r="63" spans="1:5">
      <c r="A63" s="20" t="s">
        <v>248</v>
      </c>
      <c r="B63" s="4" t="s">
        <v>308</v>
      </c>
      <c r="C63" s="4" t="s">
        <v>200</v>
      </c>
      <c r="D63" s="4" t="s">
        <v>309</v>
      </c>
      <c r="E63" s="24" t="s">
        <v>310</v>
      </c>
    </row>
  </sheetData>
  <mergeCells count="20">
    <mergeCell ref="A14:T14"/>
    <mergeCell ref="A18:T18"/>
    <mergeCell ref="A21:T21"/>
    <mergeCell ref="A27:T27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U75"/>
  <sheetViews>
    <sheetView topLeftCell="C1" workbookViewId="0">
      <selection activeCell="M33" sqref="M33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425781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5.85546875" style="4" bestFit="1" customWidth="1"/>
    <col min="22" max="16384" width="9.140625" style="3"/>
  </cols>
  <sheetData>
    <row r="1" spans="1:21" s="2" customFormat="1" ht="29.1" customHeight="1">
      <c r="A1" s="42" t="s">
        <v>1936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5" t="s">
        <v>15</v>
      </c>
      <c r="B6" s="5" t="s">
        <v>16</v>
      </c>
      <c r="C6" s="5" t="s">
        <v>17</v>
      </c>
      <c r="D6" s="5" t="str">
        <f>"1,0420"</f>
        <v>1,0420</v>
      </c>
      <c r="E6" s="5" t="s">
        <v>18</v>
      </c>
      <c r="F6" s="5" t="s">
        <v>19</v>
      </c>
      <c r="G6" s="6" t="s">
        <v>20</v>
      </c>
      <c r="H6" s="7" t="s">
        <v>21</v>
      </c>
      <c r="I6" s="7" t="s">
        <v>22</v>
      </c>
      <c r="J6" s="6"/>
      <c r="K6" s="7" t="s">
        <v>23</v>
      </c>
      <c r="L6" s="7" t="s">
        <v>24</v>
      </c>
      <c r="M6" s="7" t="s">
        <v>25</v>
      </c>
      <c r="N6" s="6"/>
      <c r="O6" s="7" t="s">
        <v>26</v>
      </c>
      <c r="P6" s="7" t="s">
        <v>22</v>
      </c>
      <c r="Q6" s="7" t="s">
        <v>27</v>
      </c>
      <c r="R6" s="6"/>
      <c r="S6" s="5" t="str">
        <f>"320,0"</f>
        <v>320,0</v>
      </c>
      <c r="T6" s="7" t="str">
        <f>"371,1187"</f>
        <v>371,1187</v>
      </c>
      <c r="U6" s="5"/>
    </row>
    <row r="8" spans="1:21" ht="15">
      <c r="A8" s="41" t="s">
        <v>29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8" t="s">
        <v>31</v>
      </c>
      <c r="B9" s="8" t="s">
        <v>32</v>
      </c>
      <c r="C9" s="8" t="s">
        <v>33</v>
      </c>
      <c r="D9" s="8" t="str">
        <f>"0,6724"</f>
        <v>0,6724</v>
      </c>
      <c r="E9" s="8" t="s">
        <v>34</v>
      </c>
      <c r="F9" s="8" t="s">
        <v>35</v>
      </c>
      <c r="G9" s="9" t="s">
        <v>36</v>
      </c>
      <c r="H9" s="9" t="s">
        <v>37</v>
      </c>
      <c r="I9" s="10" t="s">
        <v>38</v>
      </c>
      <c r="J9" s="10"/>
      <c r="K9" s="9" t="s">
        <v>39</v>
      </c>
      <c r="L9" s="10" t="s">
        <v>40</v>
      </c>
      <c r="M9" s="10" t="s">
        <v>40</v>
      </c>
      <c r="N9" s="10"/>
      <c r="O9" s="9" t="s">
        <v>41</v>
      </c>
      <c r="P9" s="9" t="s">
        <v>42</v>
      </c>
      <c r="Q9" s="10" t="s">
        <v>43</v>
      </c>
      <c r="R9" s="10"/>
      <c r="S9" s="8" t="str">
        <f>"657,5"</f>
        <v>657,5</v>
      </c>
      <c r="T9" s="9" t="str">
        <f>"442,1030"</f>
        <v>442,1030</v>
      </c>
      <c r="U9" s="8"/>
    </row>
    <row r="10" spans="1:21">
      <c r="A10" s="11" t="s">
        <v>45</v>
      </c>
      <c r="B10" s="11" t="s">
        <v>46</v>
      </c>
      <c r="C10" s="11" t="s">
        <v>47</v>
      </c>
      <c r="D10" s="11" t="str">
        <f>"0,6806"</f>
        <v>0,6806</v>
      </c>
      <c r="E10" s="11" t="s">
        <v>18</v>
      </c>
      <c r="F10" s="11" t="s">
        <v>48</v>
      </c>
      <c r="G10" s="12" t="s">
        <v>27</v>
      </c>
      <c r="H10" s="12" t="s">
        <v>49</v>
      </c>
      <c r="I10" s="13" t="s">
        <v>50</v>
      </c>
      <c r="J10" s="13"/>
      <c r="K10" s="12" t="s">
        <v>51</v>
      </c>
      <c r="L10" s="12" t="s">
        <v>52</v>
      </c>
      <c r="M10" s="13" t="s">
        <v>53</v>
      </c>
      <c r="N10" s="13"/>
      <c r="O10" s="12" t="s">
        <v>50</v>
      </c>
      <c r="P10" s="12" t="s">
        <v>54</v>
      </c>
      <c r="Q10" s="12" t="s">
        <v>55</v>
      </c>
      <c r="R10" s="13"/>
      <c r="S10" s="11" t="str">
        <f>"390,0"</f>
        <v>390,0</v>
      </c>
      <c r="T10" s="12" t="str">
        <f>"265,4340"</f>
        <v>265,4340</v>
      </c>
      <c r="U10" s="11"/>
    </row>
    <row r="12" spans="1:21" ht="15">
      <c r="A12" s="41" t="s">
        <v>56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1">
      <c r="A13" s="8" t="s">
        <v>58</v>
      </c>
      <c r="B13" s="8" t="s">
        <v>59</v>
      </c>
      <c r="C13" s="8" t="s">
        <v>60</v>
      </c>
      <c r="D13" s="8" t="str">
        <f>"0,6388"</f>
        <v>0,6388</v>
      </c>
      <c r="E13" s="8" t="s">
        <v>61</v>
      </c>
      <c r="F13" s="8" t="s">
        <v>62</v>
      </c>
      <c r="G13" s="10" t="s">
        <v>63</v>
      </c>
      <c r="H13" s="10" t="s">
        <v>63</v>
      </c>
      <c r="I13" s="9" t="s">
        <v>63</v>
      </c>
      <c r="J13" s="10"/>
      <c r="K13" s="9" t="s">
        <v>49</v>
      </c>
      <c r="L13" s="9" t="s">
        <v>64</v>
      </c>
      <c r="M13" s="9" t="s">
        <v>55</v>
      </c>
      <c r="N13" s="10"/>
      <c r="O13" s="9" t="s">
        <v>65</v>
      </c>
      <c r="P13" s="9" t="s">
        <v>66</v>
      </c>
      <c r="Q13" s="9" t="s">
        <v>67</v>
      </c>
      <c r="R13" s="10"/>
      <c r="S13" s="8" t="str">
        <f>"720,0"</f>
        <v>720,0</v>
      </c>
      <c r="T13" s="9" t="str">
        <f>"459,9360"</f>
        <v>459,9360</v>
      </c>
      <c r="U13" s="8" t="s">
        <v>68</v>
      </c>
    </row>
    <row r="14" spans="1:21">
      <c r="A14" s="14" t="s">
        <v>70</v>
      </c>
      <c r="B14" s="14" t="s">
        <v>71</v>
      </c>
      <c r="C14" s="14" t="s">
        <v>72</v>
      </c>
      <c r="D14" s="14" t="str">
        <f>"0,6391"</f>
        <v>0,6391</v>
      </c>
      <c r="E14" s="14" t="s">
        <v>73</v>
      </c>
      <c r="F14" s="14" t="s">
        <v>74</v>
      </c>
      <c r="G14" s="15" t="s">
        <v>75</v>
      </c>
      <c r="H14" s="16" t="s">
        <v>75</v>
      </c>
      <c r="I14" s="16" t="s">
        <v>76</v>
      </c>
      <c r="J14" s="15"/>
      <c r="K14" s="16" t="s">
        <v>49</v>
      </c>
      <c r="L14" s="16" t="s">
        <v>64</v>
      </c>
      <c r="M14" s="16" t="s">
        <v>54</v>
      </c>
      <c r="N14" s="15"/>
      <c r="O14" s="16" t="s">
        <v>63</v>
      </c>
      <c r="P14" s="16" t="s">
        <v>77</v>
      </c>
      <c r="Q14" s="15"/>
      <c r="R14" s="15"/>
      <c r="S14" s="14" t="str">
        <f>"655,0"</f>
        <v>655,0</v>
      </c>
      <c r="T14" s="16" t="str">
        <f>"418,6105"</f>
        <v>418,6105</v>
      </c>
      <c r="U14" s="14"/>
    </row>
    <row r="15" spans="1:21">
      <c r="A15" s="11" t="s">
        <v>79</v>
      </c>
      <c r="B15" s="11" t="s">
        <v>80</v>
      </c>
      <c r="C15" s="11" t="s">
        <v>81</v>
      </c>
      <c r="D15" s="11" t="str">
        <f>"0,6436"</f>
        <v>0,6436</v>
      </c>
      <c r="E15" s="11" t="s">
        <v>34</v>
      </c>
      <c r="F15" s="11" t="s">
        <v>35</v>
      </c>
      <c r="G15" s="13" t="s">
        <v>82</v>
      </c>
      <c r="H15" s="12" t="s">
        <v>83</v>
      </c>
      <c r="I15" s="13" t="s">
        <v>75</v>
      </c>
      <c r="J15" s="13"/>
      <c r="K15" s="12" t="s">
        <v>27</v>
      </c>
      <c r="L15" s="13" t="s">
        <v>49</v>
      </c>
      <c r="M15" s="13" t="s">
        <v>49</v>
      </c>
      <c r="N15" s="13"/>
      <c r="O15" s="12" t="s">
        <v>84</v>
      </c>
      <c r="P15" s="12" t="s">
        <v>85</v>
      </c>
      <c r="Q15" s="13" t="s">
        <v>75</v>
      </c>
      <c r="R15" s="13"/>
      <c r="S15" s="11" t="str">
        <f>"545,0"</f>
        <v>545,0</v>
      </c>
      <c r="T15" s="12" t="str">
        <f>"552,8009"</f>
        <v>552,8009</v>
      </c>
      <c r="U15" s="11"/>
    </row>
    <row r="17" spans="1:21" ht="15">
      <c r="A17" s="41" t="s">
        <v>86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1">
      <c r="A18" s="8" t="s">
        <v>88</v>
      </c>
      <c r="B18" s="8" t="s">
        <v>89</v>
      </c>
      <c r="C18" s="8" t="s">
        <v>90</v>
      </c>
      <c r="D18" s="8" t="str">
        <f>"0,6121"</f>
        <v>0,6121</v>
      </c>
      <c r="E18" s="8" t="s">
        <v>34</v>
      </c>
      <c r="F18" s="8" t="s">
        <v>35</v>
      </c>
      <c r="G18" s="9" t="s">
        <v>91</v>
      </c>
      <c r="H18" s="9" t="s">
        <v>42</v>
      </c>
      <c r="I18" s="9" t="s">
        <v>92</v>
      </c>
      <c r="J18" s="10"/>
      <c r="K18" s="9" t="s">
        <v>93</v>
      </c>
      <c r="L18" s="9" t="s">
        <v>94</v>
      </c>
      <c r="M18" s="9" t="s">
        <v>95</v>
      </c>
      <c r="N18" s="10"/>
      <c r="O18" s="10" t="s">
        <v>67</v>
      </c>
      <c r="P18" s="9" t="s">
        <v>96</v>
      </c>
      <c r="Q18" s="9" t="s">
        <v>97</v>
      </c>
      <c r="R18" s="10"/>
      <c r="S18" s="8" t="str">
        <f>"747,5"</f>
        <v>747,5</v>
      </c>
      <c r="T18" s="9" t="str">
        <f>"457,5448"</f>
        <v>457,5448</v>
      </c>
      <c r="U18" s="8" t="s">
        <v>98</v>
      </c>
    </row>
    <row r="19" spans="1:21">
      <c r="A19" s="14" t="s">
        <v>100</v>
      </c>
      <c r="B19" s="14" t="s">
        <v>101</v>
      </c>
      <c r="C19" s="14" t="s">
        <v>102</v>
      </c>
      <c r="D19" s="14" t="str">
        <f>"0,6370"</f>
        <v>0,6370</v>
      </c>
      <c r="E19" s="14" t="s">
        <v>103</v>
      </c>
      <c r="F19" s="14" t="s">
        <v>104</v>
      </c>
      <c r="G19" s="16" t="s">
        <v>105</v>
      </c>
      <c r="H19" s="16" t="s">
        <v>65</v>
      </c>
      <c r="I19" s="16" t="s">
        <v>77</v>
      </c>
      <c r="J19" s="15"/>
      <c r="K19" s="16" t="s">
        <v>55</v>
      </c>
      <c r="L19" s="16" t="s">
        <v>93</v>
      </c>
      <c r="M19" s="16" t="s">
        <v>106</v>
      </c>
      <c r="N19" s="15"/>
      <c r="O19" s="16" t="s">
        <v>92</v>
      </c>
      <c r="P19" s="16" t="s">
        <v>66</v>
      </c>
      <c r="Q19" s="16" t="s">
        <v>107</v>
      </c>
      <c r="R19" s="15"/>
      <c r="S19" s="14" t="str">
        <f>"745,0"</f>
        <v>745,0</v>
      </c>
      <c r="T19" s="16" t="str">
        <f>"474,5650"</f>
        <v>474,5650</v>
      </c>
      <c r="U19" s="14"/>
    </row>
    <row r="20" spans="1:21">
      <c r="A20" s="14" t="s">
        <v>109</v>
      </c>
      <c r="B20" s="14" t="s">
        <v>110</v>
      </c>
      <c r="C20" s="14" t="s">
        <v>111</v>
      </c>
      <c r="D20" s="14" t="str">
        <f>"0,6197"</f>
        <v>0,6197</v>
      </c>
      <c r="E20" s="14" t="s">
        <v>34</v>
      </c>
      <c r="F20" s="14" t="s">
        <v>35</v>
      </c>
      <c r="G20" s="16" t="s">
        <v>112</v>
      </c>
      <c r="H20" s="15" t="s">
        <v>75</v>
      </c>
      <c r="I20" s="15" t="s">
        <v>76</v>
      </c>
      <c r="J20" s="15"/>
      <c r="K20" s="16" t="s">
        <v>64</v>
      </c>
      <c r="L20" s="15" t="s">
        <v>54</v>
      </c>
      <c r="M20" s="15" t="s">
        <v>54</v>
      </c>
      <c r="N20" s="15"/>
      <c r="O20" s="16" t="s">
        <v>106</v>
      </c>
      <c r="P20" s="16" t="s">
        <v>112</v>
      </c>
      <c r="Q20" s="16" t="s">
        <v>83</v>
      </c>
      <c r="R20" s="15"/>
      <c r="S20" s="14" t="str">
        <f>"560,0"</f>
        <v>560,0</v>
      </c>
      <c r="T20" s="16" t="str">
        <f>"347,0320"</f>
        <v>347,0320</v>
      </c>
      <c r="U20" s="14" t="s">
        <v>113</v>
      </c>
    </row>
    <row r="21" spans="1:21">
      <c r="A21" s="14" t="s">
        <v>114</v>
      </c>
      <c r="B21" s="14" t="s">
        <v>115</v>
      </c>
      <c r="C21" s="14" t="s">
        <v>116</v>
      </c>
      <c r="D21" s="14" t="str">
        <f>"0,6144"</f>
        <v>0,6144</v>
      </c>
      <c r="E21" s="14" t="s">
        <v>34</v>
      </c>
      <c r="F21" s="14" t="s">
        <v>35</v>
      </c>
      <c r="G21" s="15" t="s">
        <v>117</v>
      </c>
      <c r="H21" s="15" t="s">
        <v>92</v>
      </c>
      <c r="I21" s="15" t="s">
        <v>92</v>
      </c>
      <c r="J21" s="15"/>
      <c r="K21" s="15" t="s">
        <v>55</v>
      </c>
      <c r="L21" s="15"/>
      <c r="M21" s="15"/>
      <c r="N21" s="15"/>
      <c r="O21" s="15" t="s">
        <v>49</v>
      </c>
      <c r="P21" s="15"/>
      <c r="Q21" s="15"/>
      <c r="R21" s="15"/>
      <c r="S21" s="14" t="str">
        <f>"0.00"</f>
        <v>0.00</v>
      </c>
      <c r="T21" s="16" t="str">
        <f>"0,0000"</f>
        <v>0,0000</v>
      </c>
      <c r="U21" s="14"/>
    </row>
    <row r="22" spans="1:21">
      <c r="A22" s="11" t="s">
        <v>118</v>
      </c>
      <c r="B22" s="11" t="s">
        <v>119</v>
      </c>
      <c r="C22" s="11" t="s">
        <v>90</v>
      </c>
      <c r="D22" s="11" t="str">
        <f>"0,6121"</f>
        <v>0,6121</v>
      </c>
      <c r="E22" s="11" t="s">
        <v>34</v>
      </c>
      <c r="F22" s="11" t="s">
        <v>35</v>
      </c>
      <c r="G22" s="13" t="s">
        <v>120</v>
      </c>
      <c r="H22" s="13" t="s">
        <v>120</v>
      </c>
      <c r="I22" s="13" t="s">
        <v>120</v>
      </c>
      <c r="J22" s="13"/>
      <c r="K22" s="13" t="s">
        <v>64</v>
      </c>
      <c r="L22" s="13"/>
      <c r="M22" s="13"/>
      <c r="N22" s="13"/>
      <c r="O22" s="13" t="s">
        <v>91</v>
      </c>
      <c r="P22" s="13"/>
      <c r="Q22" s="13"/>
      <c r="R22" s="13"/>
      <c r="S22" s="11" t="str">
        <f>"0.00"</f>
        <v>0.00</v>
      </c>
      <c r="T22" s="12" t="str">
        <f>"0,0000"</f>
        <v>0,0000</v>
      </c>
      <c r="U22" s="11" t="s">
        <v>121</v>
      </c>
    </row>
    <row r="24" spans="1:21" ht="15">
      <c r="A24" s="41" t="s">
        <v>122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1">
      <c r="A25" s="8" t="s">
        <v>124</v>
      </c>
      <c r="B25" s="8" t="s">
        <v>125</v>
      </c>
      <c r="C25" s="8" t="s">
        <v>126</v>
      </c>
      <c r="D25" s="8" t="str">
        <f>"0,5930"</f>
        <v>0,5930</v>
      </c>
      <c r="E25" s="8" t="s">
        <v>18</v>
      </c>
      <c r="F25" s="8" t="s">
        <v>127</v>
      </c>
      <c r="G25" s="9" t="s">
        <v>67</v>
      </c>
      <c r="H25" s="9" t="s">
        <v>128</v>
      </c>
      <c r="I25" s="10"/>
      <c r="J25" s="10"/>
      <c r="K25" s="9" t="s">
        <v>93</v>
      </c>
      <c r="L25" s="9" t="s">
        <v>106</v>
      </c>
      <c r="M25" s="10" t="s">
        <v>84</v>
      </c>
      <c r="N25" s="10"/>
      <c r="O25" s="9" t="s">
        <v>128</v>
      </c>
      <c r="P25" s="9" t="s">
        <v>129</v>
      </c>
      <c r="Q25" s="10" t="s">
        <v>130</v>
      </c>
      <c r="R25" s="10"/>
      <c r="S25" s="8" t="str">
        <f>"810,0"</f>
        <v>810,0</v>
      </c>
      <c r="T25" s="9" t="str">
        <f>"480,3300"</f>
        <v>480,3300</v>
      </c>
      <c r="U25" s="8" t="s">
        <v>131</v>
      </c>
    </row>
    <row r="26" spans="1:21">
      <c r="A26" s="14" t="s">
        <v>133</v>
      </c>
      <c r="B26" s="14" t="s">
        <v>134</v>
      </c>
      <c r="C26" s="14" t="s">
        <v>135</v>
      </c>
      <c r="D26" s="14" t="str">
        <f>"0,5914"</f>
        <v>0,5914</v>
      </c>
      <c r="E26" s="14" t="s">
        <v>34</v>
      </c>
      <c r="F26" s="14" t="s">
        <v>35</v>
      </c>
      <c r="G26" s="15" t="s">
        <v>92</v>
      </c>
      <c r="H26" s="16" t="s">
        <v>63</v>
      </c>
      <c r="I26" s="16" t="s">
        <v>77</v>
      </c>
      <c r="J26" s="15"/>
      <c r="K26" s="16" t="s">
        <v>136</v>
      </c>
      <c r="L26" s="16" t="s">
        <v>137</v>
      </c>
      <c r="M26" s="16" t="s">
        <v>106</v>
      </c>
      <c r="N26" s="15"/>
      <c r="O26" s="16" t="s">
        <v>91</v>
      </c>
      <c r="P26" s="16" t="s">
        <v>117</v>
      </c>
      <c r="Q26" s="16" t="s">
        <v>92</v>
      </c>
      <c r="R26" s="15"/>
      <c r="S26" s="14" t="str">
        <f>"720,0"</f>
        <v>720,0</v>
      </c>
      <c r="T26" s="16" t="str">
        <f>"425,8080"</f>
        <v>425,8080</v>
      </c>
      <c r="U26" s="14" t="s">
        <v>138</v>
      </c>
    </row>
    <row r="27" spans="1:21">
      <c r="A27" s="14" t="s">
        <v>140</v>
      </c>
      <c r="B27" s="14" t="s">
        <v>141</v>
      </c>
      <c r="C27" s="14" t="s">
        <v>142</v>
      </c>
      <c r="D27" s="14" t="str">
        <f>"0,5888"</f>
        <v>0,5888</v>
      </c>
      <c r="E27" s="14" t="s">
        <v>34</v>
      </c>
      <c r="F27" s="14" t="s">
        <v>35</v>
      </c>
      <c r="G27" s="16" t="s">
        <v>92</v>
      </c>
      <c r="H27" s="16" t="s">
        <v>63</v>
      </c>
      <c r="I27" s="16" t="s">
        <v>77</v>
      </c>
      <c r="J27" s="15"/>
      <c r="K27" s="16" t="s">
        <v>55</v>
      </c>
      <c r="L27" s="16" t="s">
        <v>93</v>
      </c>
      <c r="M27" s="15" t="s">
        <v>106</v>
      </c>
      <c r="N27" s="15"/>
      <c r="O27" s="16" t="s">
        <v>83</v>
      </c>
      <c r="P27" s="16" t="s">
        <v>76</v>
      </c>
      <c r="Q27" s="16" t="s">
        <v>143</v>
      </c>
      <c r="R27" s="15"/>
      <c r="S27" s="14" t="str">
        <f>"680,0"</f>
        <v>680,0</v>
      </c>
      <c r="T27" s="16" t="str">
        <f>"400,3840"</f>
        <v>400,3840</v>
      </c>
      <c r="U27" s="14"/>
    </row>
    <row r="28" spans="1:21">
      <c r="A28" s="14" t="s">
        <v>145</v>
      </c>
      <c r="B28" s="14" t="s">
        <v>146</v>
      </c>
      <c r="C28" s="14" t="s">
        <v>147</v>
      </c>
      <c r="D28" s="14" t="str">
        <f>"0,6081"</f>
        <v>0,6081</v>
      </c>
      <c r="E28" s="14" t="s">
        <v>34</v>
      </c>
      <c r="F28" s="14" t="s">
        <v>35</v>
      </c>
      <c r="G28" s="15" t="s">
        <v>143</v>
      </c>
      <c r="H28" s="16" t="s">
        <v>143</v>
      </c>
      <c r="I28" s="16" t="s">
        <v>41</v>
      </c>
      <c r="J28" s="15"/>
      <c r="K28" s="16" t="s">
        <v>50</v>
      </c>
      <c r="L28" s="16" t="s">
        <v>54</v>
      </c>
      <c r="M28" s="15" t="s">
        <v>55</v>
      </c>
      <c r="N28" s="15"/>
      <c r="O28" s="16" t="s">
        <v>143</v>
      </c>
      <c r="P28" s="15" t="s">
        <v>91</v>
      </c>
      <c r="Q28" s="15" t="s">
        <v>91</v>
      </c>
      <c r="R28" s="15"/>
      <c r="S28" s="14" t="str">
        <f>"630,0"</f>
        <v>630,0</v>
      </c>
      <c r="T28" s="16" t="str">
        <f>"383,1030"</f>
        <v>383,1030</v>
      </c>
      <c r="U28" s="14"/>
    </row>
    <row r="29" spans="1:21">
      <c r="A29" s="11" t="s">
        <v>149</v>
      </c>
      <c r="B29" s="11" t="s">
        <v>150</v>
      </c>
      <c r="C29" s="11" t="s">
        <v>151</v>
      </c>
      <c r="D29" s="11" t="str">
        <f>"0,5903"</f>
        <v>0,5903</v>
      </c>
      <c r="E29" s="11" t="s">
        <v>34</v>
      </c>
      <c r="F29" s="11" t="s">
        <v>35</v>
      </c>
      <c r="G29" s="12" t="s">
        <v>92</v>
      </c>
      <c r="H29" s="12" t="s">
        <v>66</v>
      </c>
      <c r="I29" s="12" t="s">
        <v>67</v>
      </c>
      <c r="J29" s="13"/>
      <c r="K29" s="12" t="s">
        <v>55</v>
      </c>
      <c r="L29" s="12" t="s">
        <v>40</v>
      </c>
      <c r="M29" s="13" t="s">
        <v>95</v>
      </c>
      <c r="N29" s="13"/>
      <c r="O29" s="12" t="s">
        <v>152</v>
      </c>
      <c r="P29" s="12" t="s">
        <v>105</v>
      </c>
      <c r="Q29" s="12" t="s">
        <v>92</v>
      </c>
      <c r="R29" s="13"/>
      <c r="S29" s="11" t="str">
        <f>"722,5"</f>
        <v>722,5</v>
      </c>
      <c r="T29" s="12" t="str">
        <f>"426,4918"</f>
        <v>426,4918</v>
      </c>
      <c r="U29" s="11"/>
    </row>
    <row r="31" spans="1:21" ht="15">
      <c r="A31" s="41" t="s">
        <v>153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1">
      <c r="A32" s="5" t="s">
        <v>155</v>
      </c>
      <c r="B32" s="5" t="s">
        <v>156</v>
      </c>
      <c r="C32" s="5" t="s">
        <v>157</v>
      </c>
      <c r="D32" s="5" t="str">
        <f>"0,5759"</f>
        <v>0,5759</v>
      </c>
      <c r="E32" s="5" t="s">
        <v>18</v>
      </c>
      <c r="F32" s="5" t="s">
        <v>158</v>
      </c>
      <c r="G32" s="6" t="s">
        <v>91</v>
      </c>
      <c r="H32" s="7" t="s">
        <v>91</v>
      </c>
      <c r="I32" s="7" t="s">
        <v>92</v>
      </c>
      <c r="J32" s="6"/>
      <c r="K32" s="7" t="s">
        <v>82</v>
      </c>
      <c r="L32" s="7" t="s">
        <v>112</v>
      </c>
      <c r="M32" s="6" t="s">
        <v>159</v>
      </c>
      <c r="N32" s="6"/>
      <c r="O32" s="7" t="s">
        <v>66</v>
      </c>
      <c r="P32" s="7" t="s">
        <v>107</v>
      </c>
      <c r="Q32" s="6" t="s">
        <v>128</v>
      </c>
      <c r="R32" s="6"/>
      <c r="S32" s="5" t="str">
        <f>"745,0"</f>
        <v>745,0</v>
      </c>
      <c r="T32" s="7" t="str">
        <f>"429,0455"</f>
        <v>429,0455</v>
      </c>
      <c r="U32" s="5"/>
    </row>
    <row r="34" spans="1:21" ht="15">
      <c r="A34" s="41" t="s">
        <v>160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1">
      <c r="A35" s="5" t="s">
        <v>162</v>
      </c>
      <c r="B35" s="5" t="s">
        <v>163</v>
      </c>
      <c r="C35" s="5" t="s">
        <v>164</v>
      </c>
      <c r="D35" s="5" t="str">
        <f>"0,5618"</f>
        <v>0,5618</v>
      </c>
      <c r="E35" s="5" t="s">
        <v>18</v>
      </c>
      <c r="F35" s="5" t="s">
        <v>165</v>
      </c>
      <c r="G35" s="7" t="s">
        <v>152</v>
      </c>
      <c r="H35" s="7" t="s">
        <v>117</v>
      </c>
      <c r="I35" s="7" t="s">
        <v>92</v>
      </c>
      <c r="J35" s="6"/>
      <c r="K35" s="7" t="s">
        <v>55</v>
      </c>
      <c r="L35" s="7" t="s">
        <v>39</v>
      </c>
      <c r="M35" s="7" t="s">
        <v>40</v>
      </c>
      <c r="N35" s="6"/>
      <c r="O35" s="6" t="s">
        <v>117</v>
      </c>
      <c r="P35" s="7" t="s">
        <v>117</v>
      </c>
      <c r="Q35" s="7" t="s">
        <v>65</v>
      </c>
      <c r="R35" s="6"/>
      <c r="S35" s="5" t="str">
        <f>"697,5"</f>
        <v>697,5</v>
      </c>
      <c r="T35" s="7" t="str">
        <f>"391,8555"</f>
        <v>391,8555</v>
      </c>
      <c r="U35" s="5"/>
    </row>
    <row r="37" spans="1:21" ht="15">
      <c r="E37" s="17" t="s">
        <v>166</v>
      </c>
    </row>
    <row r="38" spans="1:21" ht="15">
      <c r="E38" s="17" t="s">
        <v>167</v>
      </c>
    </row>
    <row r="39" spans="1:21" ht="15">
      <c r="E39" s="17" t="s">
        <v>168</v>
      </c>
    </row>
    <row r="40" spans="1:21" ht="15">
      <c r="E40" s="17" t="s">
        <v>169</v>
      </c>
    </row>
    <row r="41" spans="1:21" ht="15">
      <c r="E41" s="17" t="s">
        <v>169</v>
      </c>
    </row>
    <row r="42" spans="1:21" ht="15">
      <c r="E42" s="17" t="s">
        <v>170</v>
      </c>
    </row>
    <row r="43" spans="1:21" ht="15">
      <c r="E43" s="17"/>
    </row>
    <row r="45" spans="1:21" ht="18">
      <c r="A45" s="18" t="s">
        <v>171</v>
      </c>
      <c r="B45" s="18"/>
    </row>
    <row r="46" spans="1:21" ht="15">
      <c r="A46" s="19" t="s">
        <v>172</v>
      </c>
      <c r="B46" s="19"/>
    </row>
    <row r="47" spans="1:21" ht="14.25">
      <c r="A47" s="21"/>
      <c r="B47" s="22" t="s">
        <v>173</v>
      </c>
    </row>
    <row r="48" spans="1:21" ht="15">
      <c r="A48" s="23" t="s">
        <v>174</v>
      </c>
      <c r="B48" s="23" t="s">
        <v>175</v>
      </c>
      <c r="C48" s="23" t="s">
        <v>176</v>
      </c>
      <c r="D48" s="23" t="s">
        <v>177</v>
      </c>
      <c r="E48" s="23" t="s">
        <v>178</v>
      </c>
    </row>
    <row r="49" spans="1:5">
      <c r="A49" s="20" t="s">
        <v>14</v>
      </c>
      <c r="B49" s="4" t="s">
        <v>179</v>
      </c>
      <c r="C49" s="4" t="s">
        <v>180</v>
      </c>
      <c r="D49" s="4" t="s">
        <v>181</v>
      </c>
      <c r="E49" s="24" t="s">
        <v>182</v>
      </c>
    </row>
    <row r="52" spans="1:5" ht="15">
      <c r="A52" s="19" t="s">
        <v>183</v>
      </c>
      <c r="B52" s="19"/>
    </row>
    <row r="53" spans="1:5" ht="14.25">
      <c r="A53" s="21"/>
      <c r="B53" s="22" t="s">
        <v>184</v>
      </c>
    </row>
    <row r="54" spans="1:5" ht="15">
      <c r="A54" s="23" t="s">
        <v>174</v>
      </c>
      <c r="B54" s="23" t="s">
        <v>175</v>
      </c>
      <c r="C54" s="23" t="s">
        <v>176</v>
      </c>
      <c r="D54" s="23" t="s">
        <v>177</v>
      </c>
      <c r="E54" s="23" t="s">
        <v>178</v>
      </c>
    </row>
    <row r="55" spans="1:5">
      <c r="A55" s="20" t="s">
        <v>154</v>
      </c>
      <c r="B55" s="4" t="s">
        <v>185</v>
      </c>
      <c r="C55" s="4" t="s">
        <v>186</v>
      </c>
      <c r="D55" s="4" t="s">
        <v>187</v>
      </c>
      <c r="E55" s="24" t="s">
        <v>188</v>
      </c>
    </row>
    <row r="56" spans="1:5">
      <c r="A56" s="20" t="s">
        <v>161</v>
      </c>
      <c r="B56" s="4" t="s">
        <v>185</v>
      </c>
      <c r="C56" s="4" t="s">
        <v>49</v>
      </c>
      <c r="D56" s="4" t="s">
        <v>189</v>
      </c>
      <c r="E56" s="24" t="s">
        <v>190</v>
      </c>
    </row>
    <row r="58" spans="1:5" ht="14.25">
      <c r="A58" s="21"/>
      <c r="B58" s="22" t="s">
        <v>191</v>
      </c>
    </row>
    <row r="59" spans="1:5" ht="15">
      <c r="A59" s="23" t="s">
        <v>174</v>
      </c>
      <c r="B59" s="23" t="s">
        <v>175</v>
      </c>
      <c r="C59" s="23" t="s">
        <v>176</v>
      </c>
      <c r="D59" s="23" t="s">
        <v>177</v>
      </c>
      <c r="E59" s="23" t="s">
        <v>178</v>
      </c>
    </row>
    <row r="60" spans="1:5">
      <c r="A60" s="20" t="s">
        <v>123</v>
      </c>
      <c r="B60" s="4" t="s">
        <v>191</v>
      </c>
      <c r="C60" s="4" t="s">
        <v>192</v>
      </c>
      <c r="D60" s="4" t="s">
        <v>193</v>
      </c>
      <c r="E60" s="24" t="s">
        <v>194</v>
      </c>
    </row>
    <row r="61" spans="1:5">
      <c r="A61" s="20" t="s">
        <v>99</v>
      </c>
      <c r="B61" s="4" t="s">
        <v>191</v>
      </c>
      <c r="C61" s="4" t="s">
        <v>21</v>
      </c>
      <c r="D61" s="4" t="s">
        <v>187</v>
      </c>
      <c r="E61" s="24" t="s">
        <v>195</v>
      </c>
    </row>
    <row r="62" spans="1:5">
      <c r="A62" s="20" t="s">
        <v>57</v>
      </c>
      <c r="B62" s="4" t="s">
        <v>191</v>
      </c>
      <c r="C62" s="4" t="s">
        <v>52</v>
      </c>
      <c r="D62" s="4" t="s">
        <v>196</v>
      </c>
      <c r="E62" s="24" t="s">
        <v>197</v>
      </c>
    </row>
    <row r="63" spans="1:5">
      <c r="A63" s="20" t="s">
        <v>87</v>
      </c>
      <c r="B63" s="4" t="s">
        <v>191</v>
      </c>
      <c r="C63" s="4" t="s">
        <v>21</v>
      </c>
      <c r="D63" s="4" t="s">
        <v>198</v>
      </c>
      <c r="E63" s="24" t="s">
        <v>199</v>
      </c>
    </row>
    <row r="64" spans="1:5">
      <c r="A64" s="20" t="s">
        <v>30</v>
      </c>
      <c r="B64" s="4" t="s">
        <v>191</v>
      </c>
      <c r="C64" s="4" t="s">
        <v>200</v>
      </c>
      <c r="D64" s="4" t="s">
        <v>201</v>
      </c>
      <c r="E64" s="24" t="s">
        <v>202</v>
      </c>
    </row>
    <row r="65" spans="1:5">
      <c r="A65" s="20" t="s">
        <v>132</v>
      </c>
      <c r="B65" s="4" t="s">
        <v>191</v>
      </c>
      <c r="C65" s="4" t="s">
        <v>192</v>
      </c>
      <c r="D65" s="4" t="s">
        <v>196</v>
      </c>
      <c r="E65" s="24" t="s">
        <v>203</v>
      </c>
    </row>
    <row r="66" spans="1:5">
      <c r="A66" s="20" t="s">
        <v>69</v>
      </c>
      <c r="B66" s="4" t="s">
        <v>191</v>
      </c>
      <c r="C66" s="4" t="s">
        <v>52</v>
      </c>
      <c r="D66" s="4" t="s">
        <v>204</v>
      </c>
      <c r="E66" s="24" t="s">
        <v>205</v>
      </c>
    </row>
    <row r="67" spans="1:5">
      <c r="A67" s="20" t="s">
        <v>139</v>
      </c>
      <c r="B67" s="4" t="s">
        <v>191</v>
      </c>
      <c r="C67" s="4" t="s">
        <v>192</v>
      </c>
      <c r="D67" s="4" t="s">
        <v>206</v>
      </c>
      <c r="E67" s="24" t="s">
        <v>207</v>
      </c>
    </row>
    <row r="68" spans="1:5">
      <c r="A68" s="20" t="s">
        <v>144</v>
      </c>
      <c r="B68" s="4" t="s">
        <v>191</v>
      </c>
      <c r="C68" s="4" t="s">
        <v>192</v>
      </c>
      <c r="D68" s="4" t="s">
        <v>208</v>
      </c>
      <c r="E68" s="24" t="s">
        <v>209</v>
      </c>
    </row>
    <row r="69" spans="1:5">
      <c r="A69" s="20" t="s">
        <v>108</v>
      </c>
      <c r="B69" s="4" t="s">
        <v>191</v>
      </c>
      <c r="C69" s="4" t="s">
        <v>21</v>
      </c>
      <c r="D69" s="4" t="s">
        <v>210</v>
      </c>
      <c r="E69" s="24" t="s">
        <v>211</v>
      </c>
    </row>
    <row r="70" spans="1:5">
      <c r="A70" s="20" t="s">
        <v>44</v>
      </c>
      <c r="B70" s="4" t="s">
        <v>191</v>
      </c>
      <c r="C70" s="4" t="s">
        <v>200</v>
      </c>
      <c r="D70" s="4" t="s">
        <v>212</v>
      </c>
      <c r="E70" s="24" t="s">
        <v>213</v>
      </c>
    </row>
    <row r="72" spans="1:5" ht="14.25">
      <c r="A72" s="21"/>
      <c r="B72" s="22" t="s">
        <v>173</v>
      </c>
    </row>
    <row r="73" spans="1:5" ht="15">
      <c r="A73" s="23" t="s">
        <v>174</v>
      </c>
      <c r="B73" s="23" t="s">
        <v>175</v>
      </c>
      <c r="C73" s="23" t="s">
        <v>176</v>
      </c>
      <c r="D73" s="23" t="s">
        <v>177</v>
      </c>
      <c r="E73" s="23" t="s">
        <v>178</v>
      </c>
    </row>
    <row r="74" spans="1:5">
      <c r="A74" s="20" t="s">
        <v>78</v>
      </c>
      <c r="B74" s="4" t="s">
        <v>214</v>
      </c>
      <c r="C74" s="4" t="s">
        <v>52</v>
      </c>
      <c r="D74" s="4" t="s">
        <v>215</v>
      </c>
      <c r="E74" s="24" t="s">
        <v>216</v>
      </c>
    </row>
    <row r="75" spans="1:5">
      <c r="A75" s="20" t="s">
        <v>148</v>
      </c>
      <c r="B75" s="4" t="s">
        <v>217</v>
      </c>
      <c r="C75" s="4" t="s">
        <v>192</v>
      </c>
      <c r="D75" s="4" t="s">
        <v>218</v>
      </c>
      <c r="E75" s="24" t="s">
        <v>219</v>
      </c>
    </row>
  </sheetData>
  <mergeCells count="20">
    <mergeCell ref="A31:T31"/>
    <mergeCell ref="A34:T34"/>
    <mergeCell ref="A5:T5"/>
    <mergeCell ref="A8:T8"/>
    <mergeCell ref="A12:T12"/>
    <mergeCell ref="A17:T17"/>
    <mergeCell ref="A24:T24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M33" sqref="M33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1.8554687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12" style="4" bestFit="1" customWidth="1"/>
    <col min="22" max="16384" width="9.140625" style="3"/>
  </cols>
  <sheetData>
    <row r="1" spans="1:21" s="2" customFormat="1" ht="29.1" customHeight="1">
      <c r="A1" s="42" t="s">
        <v>1934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5" t="s">
        <v>312</v>
      </c>
      <c r="B6" s="5" t="s">
        <v>313</v>
      </c>
      <c r="C6" s="5" t="s">
        <v>314</v>
      </c>
      <c r="D6" s="5" t="str">
        <f>"0,6816"</f>
        <v>0,6816</v>
      </c>
      <c r="E6" s="5" t="s">
        <v>18</v>
      </c>
      <c r="F6" s="5" t="s">
        <v>315</v>
      </c>
      <c r="G6" s="7" t="s">
        <v>75</v>
      </c>
      <c r="H6" s="7" t="s">
        <v>120</v>
      </c>
      <c r="I6" s="6" t="s">
        <v>152</v>
      </c>
      <c r="J6" s="6"/>
      <c r="K6" s="7" t="s">
        <v>84</v>
      </c>
      <c r="L6" s="7" t="s">
        <v>316</v>
      </c>
      <c r="M6" s="6" t="s">
        <v>284</v>
      </c>
      <c r="N6" s="6"/>
      <c r="O6" s="7" t="s">
        <v>143</v>
      </c>
      <c r="P6" s="6" t="s">
        <v>41</v>
      </c>
      <c r="Q6" s="6"/>
      <c r="R6" s="6"/>
      <c r="S6" s="5" t="str">
        <f>"647,5"</f>
        <v>647,5</v>
      </c>
      <c r="T6" s="7" t="str">
        <f>"441,3360"</f>
        <v>441,3360</v>
      </c>
      <c r="U6" s="5" t="s">
        <v>317</v>
      </c>
    </row>
    <row r="8" spans="1:21" ht="15">
      <c r="A8" s="41" t="s">
        <v>86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>
      <c r="A9" s="5" t="s">
        <v>319</v>
      </c>
      <c r="B9" s="5" t="s">
        <v>320</v>
      </c>
      <c r="C9" s="5" t="s">
        <v>321</v>
      </c>
      <c r="D9" s="5" t="str">
        <f>"0,6200"</f>
        <v>0,6200</v>
      </c>
      <c r="E9" s="5" t="s">
        <v>18</v>
      </c>
      <c r="F9" s="5" t="s">
        <v>322</v>
      </c>
      <c r="G9" s="7" t="s">
        <v>323</v>
      </c>
      <c r="H9" s="6" t="s">
        <v>324</v>
      </c>
      <c r="I9" s="6" t="s">
        <v>324</v>
      </c>
      <c r="J9" s="6"/>
      <c r="K9" s="7" t="s">
        <v>143</v>
      </c>
      <c r="L9" s="7" t="s">
        <v>38</v>
      </c>
      <c r="M9" s="6" t="s">
        <v>117</v>
      </c>
      <c r="N9" s="6"/>
      <c r="O9" s="6" t="s">
        <v>67</v>
      </c>
      <c r="P9" s="7" t="s">
        <v>67</v>
      </c>
      <c r="Q9" s="6" t="s">
        <v>325</v>
      </c>
      <c r="R9" s="6"/>
      <c r="S9" s="5" t="str">
        <f>"887,5"</f>
        <v>887,5</v>
      </c>
      <c r="T9" s="7" t="str">
        <f>"550,2500"</f>
        <v>550,2500</v>
      </c>
      <c r="U9" s="5" t="s">
        <v>28</v>
      </c>
    </row>
    <row r="11" spans="1:21" ht="15">
      <c r="E11" s="17" t="s">
        <v>166</v>
      </c>
    </row>
    <row r="12" spans="1:21" ht="15">
      <c r="E12" s="17" t="s">
        <v>167</v>
      </c>
    </row>
    <row r="13" spans="1:21" ht="15">
      <c r="E13" s="17" t="s">
        <v>168</v>
      </c>
    </row>
    <row r="14" spans="1:21" ht="15">
      <c r="E14" s="17" t="s">
        <v>169</v>
      </c>
    </row>
    <row r="15" spans="1:21" ht="15">
      <c r="E15" s="17" t="s">
        <v>169</v>
      </c>
    </row>
    <row r="16" spans="1:21" ht="15">
      <c r="E16" s="17" t="s">
        <v>170</v>
      </c>
    </row>
    <row r="17" spans="1:5" ht="15">
      <c r="E17" s="17"/>
    </row>
    <row r="19" spans="1:5" ht="18">
      <c r="A19" s="18" t="s">
        <v>171</v>
      </c>
      <c r="B19" s="18"/>
    </row>
    <row r="20" spans="1:5" ht="15">
      <c r="A20" s="19" t="s">
        <v>183</v>
      </c>
      <c r="B20" s="19"/>
    </row>
    <row r="21" spans="1:5" ht="14.25">
      <c r="A21" s="21"/>
      <c r="B21" s="22" t="s">
        <v>191</v>
      </c>
    </row>
    <row r="22" spans="1:5" ht="15">
      <c r="A22" s="23" t="s">
        <v>174</v>
      </c>
      <c r="B22" s="23" t="s">
        <v>175</v>
      </c>
      <c r="C22" s="23" t="s">
        <v>176</v>
      </c>
      <c r="D22" s="23" t="s">
        <v>177</v>
      </c>
      <c r="E22" s="23" t="s">
        <v>178</v>
      </c>
    </row>
    <row r="23" spans="1:5">
      <c r="A23" s="20" t="s">
        <v>318</v>
      </c>
      <c r="B23" s="4" t="s">
        <v>191</v>
      </c>
      <c r="C23" s="4" t="s">
        <v>21</v>
      </c>
      <c r="D23" s="4" t="s">
        <v>326</v>
      </c>
      <c r="E23" s="24" t="s">
        <v>327</v>
      </c>
    </row>
    <row r="24" spans="1:5">
      <c r="A24" s="20" t="s">
        <v>311</v>
      </c>
      <c r="B24" s="4" t="s">
        <v>191</v>
      </c>
      <c r="C24" s="4" t="s">
        <v>200</v>
      </c>
      <c r="D24" s="4" t="s">
        <v>328</v>
      </c>
      <c r="E24" s="24" t="s">
        <v>329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M33" sqref="M33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3" width="5.5703125" style="3" bestFit="1" customWidth="1"/>
    <col min="14" max="14" width="4.85546875" style="3" bestFit="1" customWidth="1"/>
    <col min="15" max="17" width="5.5703125" style="3" bestFit="1" customWidth="1"/>
    <col min="18" max="18" width="4.85546875" style="3" bestFit="1" customWidth="1"/>
    <col min="19" max="19" width="7.85546875" style="4" bestFit="1" customWidth="1"/>
    <col min="20" max="20" width="8.5703125" style="3" bestFit="1" customWidth="1"/>
    <col min="21" max="21" width="8.85546875" style="4" bestFit="1" customWidth="1"/>
    <col min="22" max="16384" width="9.140625" style="3"/>
  </cols>
  <sheetData>
    <row r="1" spans="1:21" s="2" customFormat="1" ht="29.1" customHeight="1">
      <c r="A1" s="42" t="s">
        <v>1933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21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10</v>
      </c>
      <c r="H3" s="52"/>
      <c r="I3" s="52"/>
      <c r="J3" s="52"/>
      <c r="K3" s="52" t="s">
        <v>11</v>
      </c>
      <c r="L3" s="52"/>
      <c r="M3" s="52"/>
      <c r="N3" s="52"/>
      <c r="O3" s="52" t="s">
        <v>12</v>
      </c>
      <c r="P3" s="52"/>
      <c r="Q3" s="52"/>
      <c r="R3" s="52"/>
      <c r="S3" s="52" t="s">
        <v>1</v>
      </c>
      <c r="T3" s="52" t="s">
        <v>3</v>
      </c>
      <c r="U3" s="38" t="s">
        <v>2</v>
      </c>
    </row>
    <row r="4" spans="1:21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25">
        <v>1</v>
      </c>
      <c r="L4" s="25">
        <v>2</v>
      </c>
      <c r="M4" s="25">
        <v>3</v>
      </c>
      <c r="N4" s="25" t="s">
        <v>5</v>
      </c>
      <c r="O4" s="25">
        <v>1</v>
      </c>
      <c r="P4" s="25">
        <v>2</v>
      </c>
      <c r="Q4" s="25">
        <v>3</v>
      </c>
      <c r="R4" s="25" t="s">
        <v>5</v>
      </c>
      <c r="S4" s="51"/>
      <c r="T4" s="51"/>
      <c r="U4" s="39"/>
    </row>
    <row r="5" spans="1:21" ht="15">
      <c r="A5" s="40" t="s">
        <v>122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1">
      <c r="A6" s="8" t="s">
        <v>331</v>
      </c>
      <c r="B6" s="8" t="s">
        <v>332</v>
      </c>
      <c r="C6" s="8" t="s">
        <v>333</v>
      </c>
      <c r="D6" s="8" t="str">
        <f>"0,5919"</f>
        <v>0,5919</v>
      </c>
      <c r="E6" s="8" t="s">
        <v>34</v>
      </c>
      <c r="F6" s="8" t="s">
        <v>35</v>
      </c>
      <c r="G6" s="9" t="s">
        <v>107</v>
      </c>
      <c r="H6" s="10" t="s">
        <v>97</v>
      </c>
      <c r="I6" s="10" t="s">
        <v>97</v>
      </c>
      <c r="J6" s="10"/>
      <c r="K6" s="9" t="s">
        <v>91</v>
      </c>
      <c r="L6" s="9" t="s">
        <v>117</v>
      </c>
      <c r="M6" s="10" t="s">
        <v>92</v>
      </c>
      <c r="N6" s="10"/>
      <c r="O6" s="9" t="s">
        <v>91</v>
      </c>
      <c r="P6" s="9" t="s">
        <v>92</v>
      </c>
      <c r="Q6" s="10" t="s">
        <v>63</v>
      </c>
      <c r="R6" s="10"/>
      <c r="S6" s="8" t="str">
        <f>"795,0"</f>
        <v>795,0</v>
      </c>
      <c r="T6" s="9" t="str">
        <f>"470,5605"</f>
        <v>470,5605</v>
      </c>
      <c r="U6" s="8"/>
    </row>
    <row r="7" spans="1:21">
      <c r="A7" s="11" t="s">
        <v>331</v>
      </c>
      <c r="B7" s="11" t="s">
        <v>334</v>
      </c>
      <c r="C7" s="11" t="s">
        <v>333</v>
      </c>
      <c r="D7" s="11" t="str">
        <f>"0,5919"</f>
        <v>0,5919</v>
      </c>
      <c r="E7" s="11" t="s">
        <v>34</v>
      </c>
      <c r="F7" s="11" t="s">
        <v>35</v>
      </c>
      <c r="G7" s="12" t="s">
        <v>107</v>
      </c>
      <c r="H7" s="13" t="s">
        <v>97</v>
      </c>
      <c r="I7" s="13" t="s">
        <v>97</v>
      </c>
      <c r="J7" s="13"/>
      <c r="K7" s="12" t="s">
        <v>91</v>
      </c>
      <c r="L7" s="12" t="s">
        <v>117</v>
      </c>
      <c r="M7" s="13" t="s">
        <v>92</v>
      </c>
      <c r="N7" s="13"/>
      <c r="O7" s="12" t="s">
        <v>91</v>
      </c>
      <c r="P7" s="12" t="s">
        <v>92</v>
      </c>
      <c r="Q7" s="13" t="s">
        <v>63</v>
      </c>
      <c r="R7" s="13"/>
      <c r="S7" s="11" t="str">
        <f>"795,0"</f>
        <v>795,0</v>
      </c>
      <c r="T7" s="12" t="str">
        <f>"548,2030"</f>
        <v>548,2030</v>
      </c>
      <c r="U7" s="11"/>
    </row>
    <row r="9" spans="1:21" ht="15">
      <c r="E9" s="17" t="s">
        <v>166</v>
      </c>
    </row>
    <row r="10" spans="1:21" ht="15">
      <c r="E10" s="17" t="s">
        <v>167</v>
      </c>
    </row>
    <row r="11" spans="1:21" ht="15">
      <c r="E11" s="17" t="s">
        <v>168</v>
      </c>
    </row>
    <row r="12" spans="1:21" ht="15">
      <c r="E12" s="17" t="s">
        <v>169</v>
      </c>
    </row>
    <row r="13" spans="1:21" ht="15">
      <c r="E13" s="17" t="s">
        <v>169</v>
      </c>
    </row>
    <row r="14" spans="1:21" ht="15">
      <c r="E14" s="17" t="s">
        <v>170</v>
      </c>
    </row>
    <row r="15" spans="1:21" ht="15">
      <c r="E15" s="17"/>
    </row>
    <row r="17" spans="1:5" ht="18">
      <c r="A17" s="18" t="s">
        <v>171</v>
      </c>
      <c r="B17" s="18"/>
    </row>
    <row r="18" spans="1:5" ht="15">
      <c r="A18" s="19" t="s">
        <v>183</v>
      </c>
      <c r="B18" s="19"/>
    </row>
    <row r="19" spans="1:5" ht="14.25">
      <c r="A19" s="21"/>
      <c r="B19" s="22" t="s">
        <v>191</v>
      </c>
    </row>
    <row r="20" spans="1:5" ht="15">
      <c r="A20" s="23" t="s">
        <v>174</v>
      </c>
      <c r="B20" s="23" t="s">
        <v>175</v>
      </c>
      <c r="C20" s="23" t="s">
        <v>176</v>
      </c>
      <c r="D20" s="23" t="s">
        <v>177</v>
      </c>
      <c r="E20" s="23" t="s">
        <v>178</v>
      </c>
    </row>
    <row r="21" spans="1:5">
      <c r="A21" s="20" t="s">
        <v>330</v>
      </c>
      <c r="B21" s="4" t="s">
        <v>191</v>
      </c>
      <c r="C21" s="4" t="s">
        <v>192</v>
      </c>
      <c r="D21" s="4" t="s">
        <v>335</v>
      </c>
      <c r="E21" s="24" t="s">
        <v>336</v>
      </c>
    </row>
    <row r="23" spans="1:5" ht="14.25">
      <c r="A23" s="21"/>
      <c r="B23" s="22" t="s">
        <v>173</v>
      </c>
    </row>
    <row r="24" spans="1:5" ht="15">
      <c r="A24" s="23" t="s">
        <v>174</v>
      </c>
      <c r="B24" s="23" t="s">
        <v>175</v>
      </c>
      <c r="C24" s="23" t="s">
        <v>176</v>
      </c>
      <c r="D24" s="23" t="s">
        <v>177</v>
      </c>
      <c r="E24" s="23" t="s">
        <v>178</v>
      </c>
    </row>
    <row r="25" spans="1:5">
      <c r="A25" s="20" t="s">
        <v>330</v>
      </c>
      <c r="B25" s="4" t="s">
        <v>308</v>
      </c>
      <c r="C25" s="4" t="s">
        <v>192</v>
      </c>
      <c r="D25" s="4" t="s">
        <v>335</v>
      </c>
      <c r="E25" s="24" t="s">
        <v>337</v>
      </c>
    </row>
  </sheetData>
  <mergeCells count="14">
    <mergeCell ref="S3:S4"/>
    <mergeCell ref="T3:T4"/>
    <mergeCell ref="U3:U4"/>
    <mergeCell ref="A5:T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37"/>
  <sheetViews>
    <sheetView workbookViewId="0">
      <selection activeCell="A17" sqref="A17:L17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6.710937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5.85546875" style="4" bestFit="1" customWidth="1"/>
    <col min="14" max="16384" width="9.140625" style="3"/>
  </cols>
  <sheetData>
    <row r="1" spans="1:13" s="2" customFormat="1" ht="29.1" customHeight="1">
      <c r="A1" s="42" t="s">
        <v>1929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11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391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5" t="s">
        <v>783</v>
      </c>
      <c r="B6" s="5" t="s">
        <v>784</v>
      </c>
      <c r="C6" s="5" t="s">
        <v>785</v>
      </c>
      <c r="D6" s="5" t="str">
        <f>"1,1325"</f>
        <v>1,1325</v>
      </c>
      <c r="E6" s="5" t="s">
        <v>18</v>
      </c>
      <c r="F6" s="5" t="s">
        <v>384</v>
      </c>
      <c r="G6" s="7" t="s">
        <v>347</v>
      </c>
      <c r="H6" s="7" t="s">
        <v>226</v>
      </c>
      <c r="I6" s="6" t="s">
        <v>227</v>
      </c>
      <c r="J6" s="6"/>
      <c r="K6" s="5" t="str">
        <f>"45,0"</f>
        <v>45,0</v>
      </c>
      <c r="L6" s="7" t="str">
        <f>"50,9625"</f>
        <v>50,9625</v>
      </c>
      <c r="M6" s="5" t="s">
        <v>386</v>
      </c>
    </row>
    <row r="8" spans="1:13" ht="15">
      <c r="A8" s="41" t="s">
        <v>13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8" t="s">
        <v>787</v>
      </c>
      <c r="B9" s="8" t="s">
        <v>788</v>
      </c>
      <c r="C9" s="8" t="s">
        <v>789</v>
      </c>
      <c r="D9" s="8" t="str">
        <f>"1,0455"</f>
        <v>1,0455</v>
      </c>
      <c r="E9" s="8" t="s">
        <v>18</v>
      </c>
      <c r="F9" s="8" t="s">
        <v>790</v>
      </c>
      <c r="G9" s="10" t="s">
        <v>180</v>
      </c>
      <c r="H9" s="9" t="s">
        <v>24</v>
      </c>
      <c r="I9" s="10" t="s">
        <v>25</v>
      </c>
      <c r="J9" s="10"/>
      <c r="K9" s="8" t="str">
        <f>"70,0"</f>
        <v>70,0</v>
      </c>
      <c r="L9" s="9" t="str">
        <f>"73,1850"</f>
        <v>73,1850</v>
      </c>
      <c r="M9" s="8" t="s">
        <v>791</v>
      </c>
    </row>
    <row r="10" spans="1:13">
      <c r="A10" s="11" t="s">
        <v>793</v>
      </c>
      <c r="B10" s="11" t="s">
        <v>794</v>
      </c>
      <c r="C10" s="11" t="s">
        <v>399</v>
      </c>
      <c r="D10" s="11" t="str">
        <f>"1,0503"</f>
        <v>1,0503</v>
      </c>
      <c r="E10" s="11" t="s">
        <v>18</v>
      </c>
      <c r="F10" s="11" t="s">
        <v>48</v>
      </c>
      <c r="G10" s="12" t="s">
        <v>378</v>
      </c>
      <c r="H10" s="12" t="s">
        <v>23</v>
      </c>
      <c r="I10" s="13" t="s">
        <v>795</v>
      </c>
      <c r="J10" s="13"/>
      <c r="K10" s="11" t="str">
        <f>"62,5"</f>
        <v>62,5</v>
      </c>
      <c r="L10" s="12" t="str">
        <f>"66,9566"</f>
        <v>66,9566</v>
      </c>
      <c r="M10" s="11"/>
    </row>
    <row r="12" spans="1:13" ht="15">
      <c r="A12" s="41" t="s">
        <v>29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5" t="s">
        <v>797</v>
      </c>
      <c r="B13" s="5" t="s">
        <v>798</v>
      </c>
      <c r="C13" s="5" t="s">
        <v>799</v>
      </c>
      <c r="D13" s="5" t="str">
        <f>"0,9156"</f>
        <v>0,9156</v>
      </c>
      <c r="E13" s="5" t="s">
        <v>18</v>
      </c>
      <c r="F13" s="5" t="s">
        <v>800</v>
      </c>
      <c r="G13" s="7" t="s">
        <v>26</v>
      </c>
      <c r="H13" s="6" t="s">
        <v>252</v>
      </c>
      <c r="I13" s="7" t="s">
        <v>409</v>
      </c>
      <c r="J13" s="6"/>
      <c r="K13" s="5" t="str">
        <f>"117,5"</f>
        <v>117,5</v>
      </c>
      <c r="L13" s="7" t="str">
        <f>"107,5830"</f>
        <v>107,5830</v>
      </c>
      <c r="M13" s="5" t="s">
        <v>801</v>
      </c>
    </row>
    <row r="15" spans="1:13" ht="15">
      <c r="A15" s="41" t="s">
        <v>391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3">
      <c r="A16" s="8" t="s">
        <v>803</v>
      </c>
      <c r="B16" s="8" t="s">
        <v>804</v>
      </c>
      <c r="C16" s="8" t="s">
        <v>805</v>
      </c>
      <c r="D16" s="8" t="str">
        <f>"0,8581"</f>
        <v>0,8581</v>
      </c>
      <c r="E16" s="8" t="s">
        <v>34</v>
      </c>
      <c r="F16" s="8" t="s">
        <v>35</v>
      </c>
      <c r="G16" s="9" t="s">
        <v>579</v>
      </c>
      <c r="H16" s="9" t="s">
        <v>611</v>
      </c>
      <c r="I16" s="10" t="s">
        <v>236</v>
      </c>
      <c r="J16" s="10"/>
      <c r="K16" s="8" t="str">
        <f>"132,5"</f>
        <v>132,5</v>
      </c>
      <c r="L16" s="9" t="str">
        <f>"113,6982"</f>
        <v>113,6982</v>
      </c>
      <c r="M16" s="8"/>
    </row>
    <row r="17" spans="1:13">
      <c r="A17" s="11" t="s">
        <v>807</v>
      </c>
      <c r="B17" s="11" t="s">
        <v>808</v>
      </c>
      <c r="C17" s="11" t="s">
        <v>809</v>
      </c>
      <c r="D17" s="11" t="str">
        <f>"0,8568"</f>
        <v>0,8568</v>
      </c>
      <c r="E17" s="11" t="s">
        <v>34</v>
      </c>
      <c r="F17" s="11" t="s">
        <v>35</v>
      </c>
      <c r="G17" s="12" t="s">
        <v>247</v>
      </c>
      <c r="H17" s="12" t="s">
        <v>192</v>
      </c>
      <c r="I17" s="13" t="s">
        <v>252</v>
      </c>
      <c r="J17" s="13"/>
      <c r="K17" s="11" t="str">
        <f>"110,0"</f>
        <v>110,0</v>
      </c>
      <c r="L17" s="12" t="str">
        <f>"94,2480"</f>
        <v>94,2480</v>
      </c>
      <c r="M17" s="11"/>
    </row>
    <row r="19" spans="1:13" ht="15">
      <c r="A19" s="41" t="s">
        <v>13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3">
      <c r="A20" s="5" t="s">
        <v>811</v>
      </c>
      <c r="B20" s="5" t="s">
        <v>812</v>
      </c>
      <c r="C20" s="5" t="s">
        <v>813</v>
      </c>
      <c r="D20" s="5" t="str">
        <f>"0,7862"</f>
        <v>0,7862</v>
      </c>
      <c r="E20" s="5" t="s">
        <v>18</v>
      </c>
      <c r="F20" s="5" t="s">
        <v>814</v>
      </c>
      <c r="G20" s="7" t="s">
        <v>49</v>
      </c>
      <c r="H20" s="7" t="s">
        <v>50</v>
      </c>
      <c r="I20" s="6" t="s">
        <v>425</v>
      </c>
      <c r="J20" s="6"/>
      <c r="K20" s="5" t="str">
        <f>"145,0"</f>
        <v>145,0</v>
      </c>
      <c r="L20" s="7" t="str">
        <f>"113,9990"</f>
        <v>113,9990</v>
      </c>
      <c r="M20" s="5" t="s">
        <v>815</v>
      </c>
    </row>
    <row r="22" spans="1:13" ht="15">
      <c r="A22" s="41" t="s">
        <v>237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3">
      <c r="A23" s="8" t="s">
        <v>817</v>
      </c>
      <c r="B23" s="8" t="s">
        <v>818</v>
      </c>
      <c r="C23" s="8" t="s">
        <v>819</v>
      </c>
      <c r="D23" s="8" t="str">
        <f>"0,7494"</f>
        <v>0,7494</v>
      </c>
      <c r="E23" s="8" t="s">
        <v>18</v>
      </c>
      <c r="F23" s="8" t="s">
        <v>48</v>
      </c>
      <c r="G23" s="9" t="s">
        <v>53</v>
      </c>
      <c r="H23" s="9" t="s">
        <v>21</v>
      </c>
      <c r="I23" s="10" t="s">
        <v>26</v>
      </c>
      <c r="J23" s="10"/>
      <c r="K23" s="8" t="str">
        <f>"100,0"</f>
        <v>100,0</v>
      </c>
      <c r="L23" s="9" t="str">
        <f>"74,9400"</f>
        <v>74,9400</v>
      </c>
      <c r="M23" s="8" t="s">
        <v>229</v>
      </c>
    </row>
    <row r="24" spans="1:13">
      <c r="A24" s="11" t="s">
        <v>821</v>
      </c>
      <c r="B24" s="11" t="s">
        <v>822</v>
      </c>
      <c r="C24" s="11" t="s">
        <v>823</v>
      </c>
      <c r="D24" s="11" t="str">
        <f>"0,7437"</f>
        <v>0,7437</v>
      </c>
      <c r="E24" s="11" t="s">
        <v>18</v>
      </c>
      <c r="F24" s="11" t="s">
        <v>824</v>
      </c>
      <c r="G24" s="12" t="s">
        <v>52</v>
      </c>
      <c r="H24" s="12" t="s">
        <v>357</v>
      </c>
      <c r="I24" s="13" t="s">
        <v>192</v>
      </c>
      <c r="J24" s="13"/>
      <c r="K24" s="11" t="str">
        <f>"107,5"</f>
        <v>107,5</v>
      </c>
      <c r="L24" s="12" t="str">
        <f>"79,9478"</f>
        <v>79,9478</v>
      </c>
      <c r="M24" s="11" t="s">
        <v>825</v>
      </c>
    </row>
    <row r="26" spans="1:13" ht="15">
      <c r="A26" s="41" t="s">
        <v>29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>
      <c r="A27" s="8" t="s">
        <v>827</v>
      </c>
      <c r="B27" s="8" t="s">
        <v>828</v>
      </c>
      <c r="C27" s="8" t="s">
        <v>829</v>
      </c>
      <c r="D27" s="8" t="str">
        <f>"0,6729"</f>
        <v>0,6729</v>
      </c>
      <c r="E27" s="8" t="s">
        <v>830</v>
      </c>
      <c r="F27" s="8" t="s">
        <v>831</v>
      </c>
      <c r="G27" s="9" t="s">
        <v>152</v>
      </c>
      <c r="H27" s="10" t="s">
        <v>41</v>
      </c>
      <c r="I27" s="10"/>
      <c r="J27" s="10"/>
      <c r="K27" s="8" t="str">
        <f>"235,0"</f>
        <v>235,0</v>
      </c>
      <c r="L27" s="9" t="str">
        <f>"158,1315"</f>
        <v>158,1315</v>
      </c>
      <c r="M27" s="8"/>
    </row>
    <row r="28" spans="1:13">
      <c r="A28" s="14" t="s">
        <v>833</v>
      </c>
      <c r="B28" s="14" t="s">
        <v>834</v>
      </c>
      <c r="C28" s="14" t="s">
        <v>835</v>
      </c>
      <c r="D28" s="14" t="str">
        <f>"0,6739"</f>
        <v>0,6739</v>
      </c>
      <c r="E28" s="14" t="s">
        <v>34</v>
      </c>
      <c r="F28" s="14" t="s">
        <v>35</v>
      </c>
      <c r="G28" s="16" t="s">
        <v>679</v>
      </c>
      <c r="H28" s="15" t="s">
        <v>39</v>
      </c>
      <c r="I28" s="16" t="s">
        <v>39</v>
      </c>
      <c r="J28" s="15"/>
      <c r="K28" s="14" t="str">
        <f>"167,5"</f>
        <v>167,5</v>
      </c>
      <c r="L28" s="16" t="str">
        <f>"112,8783"</f>
        <v>112,8783</v>
      </c>
      <c r="M28" s="14"/>
    </row>
    <row r="29" spans="1:13">
      <c r="A29" s="14" t="s">
        <v>837</v>
      </c>
      <c r="B29" s="14" t="s">
        <v>838</v>
      </c>
      <c r="C29" s="14" t="s">
        <v>835</v>
      </c>
      <c r="D29" s="14" t="str">
        <f>"0,6739"</f>
        <v>0,6739</v>
      </c>
      <c r="E29" s="14" t="s">
        <v>18</v>
      </c>
      <c r="F29" s="14" t="s">
        <v>315</v>
      </c>
      <c r="G29" s="16" t="s">
        <v>469</v>
      </c>
      <c r="H29" s="16" t="s">
        <v>55</v>
      </c>
      <c r="I29" s="15" t="s">
        <v>39</v>
      </c>
      <c r="J29" s="15"/>
      <c r="K29" s="14" t="str">
        <f>"160,0"</f>
        <v>160,0</v>
      </c>
      <c r="L29" s="16" t="str">
        <f>"107,8240"</f>
        <v>107,8240</v>
      </c>
      <c r="M29" s="14" t="s">
        <v>426</v>
      </c>
    </row>
    <row r="30" spans="1:13">
      <c r="A30" s="14" t="s">
        <v>840</v>
      </c>
      <c r="B30" s="14" t="s">
        <v>841</v>
      </c>
      <c r="C30" s="14" t="s">
        <v>245</v>
      </c>
      <c r="D30" s="14" t="str">
        <f>"0,6709"</f>
        <v>0,6709</v>
      </c>
      <c r="E30" s="14" t="s">
        <v>34</v>
      </c>
      <c r="F30" s="14" t="s">
        <v>35</v>
      </c>
      <c r="G30" s="16" t="s">
        <v>192</v>
      </c>
      <c r="H30" s="15" t="s">
        <v>234</v>
      </c>
      <c r="I30" s="15" t="s">
        <v>234</v>
      </c>
      <c r="J30" s="15"/>
      <c r="K30" s="14" t="str">
        <f>"110,0"</f>
        <v>110,0</v>
      </c>
      <c r="L30" s="16" t="str">
        <f>"73,7990"</f>
        <v>73,7990</v>
      </c>
      <c r="M30" s="14"/>
    </row>
    <row r="31" spans="1:13">
      <c r="A31" s="11" t="s">
        <v>842</v>
      </c>
      <c r="B31" s="11" t="s">
        <v>843</v>
      </c>
      <c r="C31" s="11" t="s">
        <v>844</v>
      </c>
      <c r="D31" s="11" t="str">
        <f>"0,6749"</f>
        <v>0,6749</v>
      </c>
      <c r="E31" s="11" t="s">
        <v>34</v>
      </c>
      <c r="F31" s="11" t="s">
        <v>35</v>
      </c>
      <c r="G31" s="13" t="s">
        <v>50</v>
      </c>
      <c r="H31" s="13" t="s">
        <v>50</v>
      </c>
      <c r="I31" s="13" t="s">
        <v>50</v>
      </c>
      <c r="J31" s="13"/>
      <c r="K31" s="11" t="str">
        <f>"0.00"</f>
        <v>0.00</v>
      </c>
      <c r="L31" s="12" t="str">
        <f>"0,0000"</f>
        <v>0,0000</v>
      </c>
      <c r="M31" s="11"/>
    </row>
    <row r="33" spans="1:13" ht="15">
      <c r="A33" s="41" t="s">
        <v>56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3">
      <c r="A34" s="8" t="s">
        <v>846</v>
      </c>
      <c r="B34" s="8" t="s">
        <v>847</v>
      </c>
      <c r="C34" s="8" t="s">
        <v>848</v>
      </c>
      <c r="D34" s="8" t="str">
        <f>"0,6483"</f>
        <v>0,6483</v>
      </c>
      <c r="E34" s="8" t="s">
        <v>34</v>
      </c>
      <c r="F34" s="8" t="s">
        <v>35</v>
      </c>
      <c r="G34" s="9" t="s">
        <v>55</v>
      </c>
      <c r="H34" s="10" t="s">
        <v>93</v>
      </c>
      <c r="I34" s="9" t="s">
        <v>93</v>
      </c>
      <c r="J34" s="10"/>
      <c r="K34" s="8" t="str">
        <f>"170,0"</f>
        <v>170,0</v>
      </c>
      <c r="L34" s="9" t="str">
        <f>"110,2110"</f>
        <v>110,2110</v>
      </c>
      <c r="M34" s="8"/>
    </row>
    <row r="35" spans="1:13">
      <c r="A35" s="14" t="s">
        <v>850</v>
      </c>
      <c r="B35" s="14" t="s">
        <v>851</v>
      </c>
      <c r="C35" s="14" t="s">
        <v>658</v>
      </c>
      <c r="D35" s="14" t="str">
        <f>"0,6428"</f>
        <v>0,6428</v>
      </c>
      <c r="E35" s="14" t="s">
        <v>34</v>
      </c>
      <c r="F35" s="14" t="s">
        <v>35</v>
      </c>
      <c r="G35" s="16" t="s">
        <v>55</v>
      </c>
      <c r="H35" s="15" t="s">
        <v>93</v>
      </c>
      <c r="I35" s="15" t="s">
        <v>93</v>
      </c>
      <c r="J35" s="15"/>
      <c r="K35" s="14" t="str">
        <f>"160,0"</f>
        <v>160,0</v>
      </c>
      <c r="L35" s="16" t="str">
        <f>"102,8480"</f>
        <v>102,8480</v>
      </c>
      <c r="M35" s="14" t="s">
        <v>852</v>
      </c>
    </row>
    <row r="36" spans="1:13">
      <c r="A36" s="14" t="s">
        <v>854</v>
      </c>
      <c r="B36" s="14" t="s">
        <v>855</v>
      </c>
      <c r="C36" s="14" t="s">
        <v>856</v>
      </c>
      <c r="D36" s="14" t="str">
        <f>"0,6588"</f>
        <v>0,6588</v>
      </c>
      <c r="E36" s="14" t="s">
        <v>18</v>
      </c>
      <c r="F36" s="14" t="s">
        <v>857</v>
      </c>
      <c r="G36" s="16" t="s">
        <v>93</v>
      </c>
      <c r="H36" s="16" t="s">
        <v>106</v>
      </c>
      <c r="I36" s="16" t="s">
        <v>84</v>
      </c>
      <c r="J36" s="15"/>
      <c r="K36" s="14" t="str">
        <f>"185,0"</f>
        <v>185,0</v>
      </c>
      <c r="L36" s="16" t="str">
        <f>"139,7941"</f>
        <v>139,7941</v>
      </c>
      <c r="M36" s="14" t="s">
        <v>858</v>
      </c>
    </row>
    <row r="37" spans="1:13">
      <c r="A37" s="11" t="s">
        <v>860</v>
      </c>
      <c r="B37" s="11" t="s">
        <v>861</v>
      </c>
      <c r="C37" s="11" t="s">
        <v>862</v>
      </c>
      <c r="D37" s="11" t="str">
        <f>"0,6432"</f>
        <v>0,6432</v>
      </c>
      <c r="E37" s="11" t="s">
        <v>73</v>
      </c>
      <c r="F37" s="11" t="s">
        <v>863</v>
      </c>
      <c r="G37" s="13" t="s">
        <v>93</v>
      </c>
      <c r="H37" s="12" t="s">
        <v>93</v>
      </c>
      <c r="I37" s="13" t="s">
        <v>40</v>
      </c>
      <c r="J37" s="13"/>
      <c r="K37" s="11" t="str">
        <f>"170,0"</f>
        <v>170,0</v>
      </c>
      <c r="L37" s="12" t="str">
        <f>"136,2426"</f>
        <v>136,2426</v>
      </c>
      <c r="M37" s="11"/>
    </row>
    <row r="39" spans="1:13" ht="15">
      <c r="A39" s="41" t="s">
        <v>86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3">
      <c r="A40" s="8" t="s">
        <v>865</v>
      </c>
      <c r="B40" s="8" t="s">
        <v>866</v>
      </c>
      <c r="C40" s="8" t="s">
        <v>867</v>
      </c>
      <c r="D40" s="8" t="str">
        <f>"0,6254"</f>
        <v>0,6254</v>
      </c>
      <c r="E40" s="8" t="s">
        <v>61</v>
      </c>
      <c r="F40" s="8" t="s">
        <v>868</v>
      </c>
      <c r="G40" s="9" t="s">
        <v>136</v>
      </c>
      <c r="H40" s="9" t="s">
        <v>137</v>
      </c>
      <c r="I40" s="9" t="s">
        <v>106</v>
      </c>
      <c r="J40" s="10"/>
      <c r="K40" s="8" t="str">
        <f>"180,0"</f>
        <v>180,0</v>
      </c>
      <c r="L40" s="9" t="str">
        <f>"112,5720"</f>
        <v>112,5720</v>
      </c>
      <c r="M40" s="8" t="s">
        <v>869</v>
      </c>
    </row>
    <row r="41" spans="1:13">
      <c r="A41" s="14" t="s">
        <v>871</v>
      </c>
      <c r="B41" s="14" t="s">
        <v>872</v>
      </c>
      <c r="C41" s="14" t="s">
        <v>873</v>
      </c>
      <c r="D41" s="14" t="str">
        <f>"0,6116"</f>
        <v>0,6116</v>
      </c>
      <c r="E41" s="14" t="s">
        <v>18</v>
      </c>
      <c r="F41" s="14" t="s">
        <v>874</v>
      </c>
      <c r="G41" s="16" t="s">
        <v>94</v>
      </c>
      <c r="H41" s="16" t="s">
        <v>84</v>
      </c>
      <c r="I41" s="15" t="s">
        <v>82</v>
      </c>
      <c r="J41" s="15"/>
      <c r="K41" s="14" t="str">
        <f>"185,0"</f>
        <v>185,0</v>
      </c>
      <c r="L41" s="16" t="str">
        <f>"113,1460"</f>
        <v>113,1460</v>
      </c>
      <c r="M41" s="14" t="s">
        <v>875</v>
      </c>
    </row>
    <row r="42" spans="1:13">
      <c r="A42" s="14" t="s">
        <v>877</v>
      </c>
      <c r="B42" s="14" t="s">
        <v>878</v>
      </c>
      <c r="C42" s="14" t="s">
        <v>879</v>
      </c>
      <c r="D42" s="14" t="str">
        <f>"0,6142"</f>
        <v>0,6142</v>
      </c>
      <c r="E42" s="14" t="s">
        <v>34</v>
      </c>
      <c r="F42" s="14" t="s">
        <v>35</v>
      </c>
      <c r="G42" s="16" t="s">
        <v>27</v>
      </c>
      <c r="H42" s="16" t="s">
        <v>49</v>
      </c>
      <c r="I42" s="16" t="s">
        <v>50</v>
      </c>
      <c r="J42" s="15"/>
      <c r="K42" s="14" t="str">
        <f>"145,0"</f>
        <v>145,0</v>
      </c>
      <c r="L42" s="16" t="str">
        <f>"89,0590"</f>
        <v>89,0590</v>
      </c>
      <c r="M42" s="14"/>
    </row>
    <row r="43" spans="1:13">
      <c r="A43" s="14" t="s">
        <v>881</v>
      </c>
      <c r="B43" s="14" t="s">
        <v>882</v>
      </c>
      <c r="C43" s="14" t="s">
        <v>883</v>
      </c>
      <c r="D43" s="14" t="str">
        <f>"0,6295"</f>
        <v>0,6295</v>
      </c>
      <c r="E43" s="14" t="s">
        <v>34</v>
      </c>
      <c r="F43" s="14" t="s">
        <v>35</v>
      </c>
      <c r="G43" s="16" t="s">
        <v>136</v>
      </c>
      <c r="H43" s="16" t="s">
        <v>40</v>
      </c>
      <c r="I43" s="16" t="s">
        <v>94</v>
      </c>
      <c r="J43" s="16" t="s">
        <v>106</v>
      </c>
      <c r="K43" s="14" t="str">
        <f>"177,5"</f>
        <v>177,5</v>
      </c>
      <c r="L43" s="16" t="str">
        <f>"122,5747"</f>
        <v>122,5747</v>
      </c>
      <c r="M43" s="14"/>
    </row>
    <row r="44" spans="1:13">
      <c r="A44" s="14" t="s">
        <v>885</v>
      </c>
      <c r="B44" s="14" t="s">
        <v>886</v>
      </c>
      <c r="C44" s="14" t="s">
        <v>887</v>
      </c>
      <c r="D44" s="14" t="str">
        <f>"0,6214"</f>
        <v>0,6214</v>
      </c>
      <c r="E44" s="14" t="s">
        <v>103</v>
      </c>
      <c r="F44" s="14" t="s">
        <v>888</v>
      </c>
      <c r="G44" s="16" t="s">
        <v>136</v>
      </c>
      <c r="H44" s="16" t="s">
        <v>40</v>
      </c>
      <c r="I44" s="16" t="s">
        <v>137</v>
      </c>
      <c r="J44" s="15"/>
      <c r="K44" s="14" t="str">
        <f>"175,0"</f>
        <v>175,0</v>
      </c>
      <c r="L44" s="16" t="str">
        <f>"122,8818"</f>
        <v>122,8818</v>
      </c>
      <c r="M44" s="14"/>
    </row>
    <row r="45" spans="1:13">
      <c r="A45" s="11" t="s">
        <v>890</v>
      </c>
      <c r="B45" s="11" t="s">
        <v>891</v>
      </c>
      <c r="C45" s="11" t="s">
        <v>892</v>
      </c>
      <c r="D45" s="11" t="str">
        <f>"0,6129"</f>
        <v>0,6129</v>
      </c>
      <c r="E45" s="11" t="s">
        <v>34</v>
      </c>
      <c r="F45" s="11" t="s">
        <v>35</v>
      </c>
      <c r="G45" s="12" t="s">
        <v>93</v>
      </c>
      <c r="H45" s="13" t="s">
        <v>137</v>
      </c>
      <c r="I45" s="12" t="s">
        <v>137</v>
      </c>
      <c r="J45" s="13"/>
      <c r="K45" s="11" t="str">
        <f>"175,0"</f>
        <v>175,0</v>
      </c>
      <c r="L45" s="12" t="str">
        <f>"121,2010"</f>
        <v>121,2010</v>
      </c>
      <c r="M45" s="11" t="s">
        <v>893</v>
      </c>
    </row>
    <row r="47" spans="1:13" ht="15">
      <c r="A47" s="41" t="s">
        <v>122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3">
      <c r="A48" s="8" t="s">
        <v>895</v>
      </c>
      <c r="B48" s="8" t="s">
        <v>896</v>
      </c>
      <c r="C48" s="8" t="s">
        <v>897</v>
      </c>
      <c r="D48" s="8" t="str">
        <f>"0,5933"</f>
        <v>0,5933</v>
      </c>
      <c r="E48" s="8" t="s">
        <v>18</v>
      </c>
      <c r="F48" s="8" t="s">
        <v>653</v>
      </c>
      <c r="G48" s="9" t="s">
        <v>83</v>
      </c>
      <c r="H48" s="9" t="s">
        <v>76</v>
      </c>
      <c r="I48" s="9" t="s">
        <v>120</v>
      </c>
      <c r="J48" s="10"/>
      <c r="K48" s="8" t="str">
        <f>"225,0"</f>
        <v>225,0</v>
      </c>
      <c r="L48" s="9" t="str">
        <f>"133,4925"</f>
        <v>133,4925</v>
      </c>
      <c r="M48" s="8" t="s">
        <v>898</v>
      </c>
    </row>
    <row r="49" spans="1:13">
      <c r="A49" s="14" t="s">
        <v>900</v>
      </c>
      <c r="B49" s="14" t="s">
        <v>901</v>
      </c>
      <c r="C49" s="14" t="s">
        <v>902</v>
      </c>
      <c r="D49" s="14" t="str">
        <f>"0,5900"</f>
        <v>0,5900</v>
      </c>
      <c r="E49" s="14" t="s">
        <v>34</v>
      </c>
      <c r="F49" s="14" t="s">
        <v>35</v>
      </c>
      <c r="G49" s="16" t="s">
        <v>93</v>
      </c>
      <c r="H49" s="15" t="s">
        <v>283</v>
      </c>
      <c r="I49" s="16" t="s">
        <v>283</v>
      </c>
      <c r="J49" s="15"/>
      <c r="K49" s="14" t="str">
        <f>"195,0"</f>
        <v>195,0</v>
      </c>
      <c r="L49" s="16" t="str">
        <f>"115,0500"</f>
        <v>115,0500</v>
      </c>
      <c r="M49" s="14"/>
    </row>
    <row r="50" spans="1:13">
      <c r="A50" s="14" t="s">
        <v>904</v>
      </c>
      <c r="B50" s="14" t="s">
        <v>905</v>
      </c>
      <c r="C50" s="14" t="s">
        <v>897</v>
      </c>
      <c r="D50" s="14" t="str">
        <f>"0,5933"</f>
        <v>0,5933</v>
      </c>
      <c r="E50" s="14" t="s">
        <v>18</v>
      </c>
      <c r="F50" s="14" t="s">
        <v>315</v>
      </c>
      <c r="G50" s="16" t="s">
        <v>106</v>
      </c>
      <c r="H50" s="15" t="s">
        <v>283</v>
      </c>
      <c r="I50" s="15" t="s">
        <v>283</v>
      </c>
      <c r="J50" s="15"/>
      <c r="K50" s="14" t="str">
        <f>"180,0"</f>
        <v>180,0</v>
      </c>
      <c r="L50" s="16" t="str">
        <f>"106,7940"</f>
        <v>106,7940</v>
      </c>
      <c r="M50" s="14"/>
    </row>
    <row r="51" spans="1:13">
      <c r="A51" s="14" t="s">
        <v>907</v>
      </c>
      <c r="B51" s="14" t="s">
        <v>908</v>
      </c>
      <c r="C51" s="14" t="s">
        <v>909</v>
      </c>
      <c r="D51" s="14" t="str">
        <f>"0,6044"</f>
        <v>0,6044</v>
      </c>
      <c r="E51" s="14" t="s">
        <v>73</v>
      </c>
      <c r="F51" s="14" t="s">
        <v>910</v>
      </c>
      <c r="G51" s="16" t="s">
        <v>136</v>
      </c>
      <c r="H51" s="16" t="s">
        <v>93</v>
      </c>
      <c r="I51" s="16" t="s">
        <v>137</v>
      </c>
      <c r="J51" s="15"/>
      <c r="K51" s="14" t="str">
        <f>"175,0"</f>
        <v>175,0</v>
      </c>
      <c r="L51" s="16" t="str">
        <f>"107,8854"</f>
        <v>107,8854</v>
      </c>
      <c r="M51" s="14"/>
    </row>
    <row r="52" spans="1:13">
      <c r="A52" s="14" t="s">
        <v>912</v>
      </c>
      <c r="B52" s="14" t="s">
        <v>913</v>
      </c>
      <c r="C52" s="14" t="s">
        <v>914</v>
      </c>
      <c r="D52" s="14" t="str">
        <f>"0,5956"</f>
        <v>0,5956</v>
      </c>
      <c r="E52" s="14" t="s">
        <v>18</v>
      </c>
      <c r="F52" s="14" t="s">
        <v>915</v>
      </c>
      <c r="G52" s="16" t="s">
        <v>93</v>
      </c>
      <c r="H52" s="16" t="s">
        <v>94</v>
      </c>
      <c r="I52" s="15" t="s">
        <v>95</v>
      </c>
      <c r="J52" s="15"/>
      <c r="K52" s="14" t="str">
        <f>"177,5"</f>
        <v>177,5</v>
      </c>
      <c r="L52" s="16" t="str">
        <f>"112,9079"</f>
        <v>112,9079</v>
      </c>
      <c r="M52" s="14" t="s">
        <v>916</v>
      </c>
    </row>
    <row r="53" spans="1:13">
      <c r="A53" s="14" t="s">
        <v>918</v>
      </c>
      <c r="B53" s="14" t="s">
        <v>919</v>
      </c>
      <c r="C53" s="14" t="s">
        <v>333</v>
      </c>
      <c r="D53" s="14" t="str">
        <f>"0,5919"</f>
        <v>0,5919</v>
      </c>
      <c r="E53" s="14" t="s">
        <v>34</v>
      </c>
      <c r="F53" s="14" t="s">
        <v>35</v>
      </c>
      <c r="G53" s="16" t="s">
        <v>64</v>
      </c>
      <c r="H53" s="16" t="s">
        <v>54</v>
      </c>
      <c r="I53" s="15" t="s">
        <v>55</v>
      </c>
      <c r="J53" s="15"/>
      <c r="K53" s="14" t="str">
        <f>"155,0"</f>
        <v>155,0</v>
      </c>
      <c r="L53" s="16" t="str">
        <f>"97,9831"</f>
        <v>97,9831</v>
      </c>
      <c r="M53" s="14"/>
    </row>
    <row r="54" spans="1:13">
      <c r="A54" s="11" t="s">
        <v>921</v>
      </c>
      <c r="B54" s="11" t="s">
        <v>922</v>
      </c>
      <c r="C54" s="11" t="s">
        <v>923</v>
      </c>
      <c r="D54" s="11" t="str">
        <f>"0,5994"</f>
        <v>0,5994</v>
      </c>
      <c r="E54" s="11" t="s">
        <v>103</v>
      </c>
      <c r="F54" s="11" t="s">
        <v>104</v>
      </c>
      <c r="G54" s="12" t="s">
        <v>84</v>
      </c>
      <c r="H54" s="12" t="s">
        <v>316</v>
      </c>
      <c r="I54" s="12" t="s">
        <v>283</v>
      </c>
      <c r="J54" s="13"/>
      <c r="K54" s="11" t="str">
        <f>"195,0"</f>
        <v>195,0</v>
      </c>
      <c r="L54" s="12" t="str">
        <f>"148,2076"</f>
        <v>148,2076</v>
      </c>
      <c r="M54" s="11" t="s">
        <v>924</v>
      </c>
    </row>
    <row r="56" spans="1:13" ht="15">
      <c r="A56" s="41" t="s">
        <v>153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3">
      <c r="A57" s="8" t="s">
        <v>926</v>
      </c>
      <c r="B57" s="8" t="s">
        <v>927</v>
      </c>
      <c r="C57" s="8" t="s">
        <v>928</v>
      </c>
      <c r="D57" s="8" t="str">
        <f>"0,5790"</f>
        <v>0,5790</v>
      </c>
      <c r="E57" s="8" t="s">
        <v>34</v>
      </c>
      <c r="F57" s="8" t="s">
        <v>35</v>
      </c>
      <c r="G57" s="9" t="s">
        <v>152</v>
      </c>
      <c r="H57" s="9" t="s">
        <v>41</v>
      </c>
      <c r="I57" s="9" t="s">
        <v>117</v>
      </c>
      <c r="J57" s="10"/>
      <c r="K57" s="8" t="str">
        <f>"250,0"</f>
        <v>250,0</v>
      </c>
      <c r="L57" s="9" t="str">
        <f>"144,7500"</f>
        <v>144,7500</v>
      </c>
      <c r="M57" s="8"/>
    </row>
    <row r="58" spans="1:13">
      <c r="A58" s="14" t="s">
        <v>930</v>
      </c>
      <c r="B58" s="14" t="s">
        <v>931</v>
      </c>
      <c r="C58" s="14" t="s">
        <v>932</v>
      </c>
      <c r="D58" s="14" t="str">
        <f>"0,5753"</f>
        <v>0,5753</v>
      </c>
      <c r="E58" s="14" t="s">
        <v>34</v>
      </c>
      <c r="F58" s="14" t="s">
        <v>35</v>
      </c>
      <c r="G58" s="16" t="s">
        <v>82</v>
      </c>
      <c r="H58" s="16" t="s">
        <v>85</v>
      </c>
      <c r="I58" s="16" t="s">
        <v>83</v>
      </c>
      <c r="J58" s="15"/>
      <c r="K58" s="14" t="str">
        <f>"210,0"</f>
        <v>210,0</v>
      </c>
      <c r="L58" s="16" t="str">
        <f>"120,8130"</f>
        <v>120,8130</v>
      </c>
      <c r="M58" s="14"/>
    </row>
    <row r="59" spans="1:13">
      <c r="A59" s="14" t="s">
        <v>934</v>
      </c>
      <c r="B59" s="14" t="s">
        <v>935</v>
      </c>
      <c r="C59" s="14" t="s">
        <v>936</v>
      </c>
      <c r="D59" s="14" t="str">
        <f>"0,5717"</f>
        <v>0,5717</v>
      </c>
      <c r="E59" s="14" t="s">
        <v>18</v>
      </c>
      <c r="F59" s="14" t="s">
        <v>937</v>
      </c>
      <c r="G59" s="16" t="s">
        <v>82</v>
      </c>
      <c r="H59" s="15" t="s">
        <v>283</v>
      </c>
      <c r="I59" s="16" t="s">
        <v>283</v>
      </c>
      <c r="J59" s="15"/>
      <c r="K59" s="14" t="str">
        <f>"195,0"</f>
        <v>195,0</v>
      </c>
      <c r="L59" s="16" t="str">
        <f>"111,4815"</f>
        <v>111,4815</v>
      </c>
      <c r="M59" s="14" t="s">
        <v>938</v>
      </c>
    </row>
    <row r="60" spans="1:13">
      <c r="A60" s="14" t="s">
        <v>940</v>
      </c>
      <c r="B60" s="14" t="s">
        <v>941</v>
      </c>
      <c r="C60" s="14" t="s">
        <v>942</v>
      </c>
      <c r="D60" s="14" t="str">
        <f>"0,5701"</f>
        <v>0,5701</v>
      </c>
      <c r="E60" s="14" t="s">
        <v>18</v>
      </c>
      <c r="F60" s="14" t="s">
        <v>943</v>
      </c>
      <c r="G60" s="16" t="s">
        <v>64</v>
      </c>
      <c r="H60" s="16" t="s">
        <v>55</v>
      </c>
      <c r="I60" s="16" t="s">
        <v>93</v>
      </c>
      <c r="J60" s="15"/>
      <c r="K60" s="14" t="str">
        <f>"170,0"</f>
        <v>170,0</v>
      </c>
      <c r="L60" s="16" t="str">
        <f>"96,9170"</f>
        <v>96,9170</v>
      </c>
      <c r="M60" s="14"/>
    </row>
    <row r="61" spans="1:13">
      <c r="A61" s="14" t="s">
        <v>944</v>
      </c>
      <c r="B61" s="14" t="s">
        <v>945</v>
      </c>
      <c r="C61" s="14" t="s">
        <v>494</v>
      </c>
      <c r="D61" s="14" t="str">
        <f>"0,5750"</f>
        <v>0,5750</v>
      </c>
      <c r="E61" s="14" t="s">
        <v>103</v>
      </c>
      <c r="F61" s="14" t="s">
        <v>104</v>
      </c>
      <c r="G61" s="15" t="s">
        <v>41</v>
      </c>
      <c r="H61" s="15" t="s">
        <v>41</v>
      </c>
      <c r="I61" s="15" t="s">
        <v>41</v>
      </c>
      <c r="J61" s="15"/>
      <c r="K61" s="14" t="str">
        <f>"0.00"</f>
        <v>0.00</v>
      </c>
      <c r="L61" s="16" t="str">
        <f>"0,0000"</f>
        <v>0,0000</v>
      </c>
      <c r="M61" s="14"/>
    </row>
    <row r="62" spans="1:13">
      <c r="A62" s="11" t="s">
        <v>947</v>
      </c>
      <c r="B62" s="11" t="s">
        <v>948</v>
      </c>
      <c r="C62" s="11" t="s">
        <v>949</v>
      </c>
      <c r="D62" s="11" t="str">
        <f>"0,5703"</f>
        <v>0,5703</v>
      </c>
      <c r="E62" s="11" t="s">
        <v>34</v>
      </c>
      <c r="F62" s="11" t="s">
        <v>34</v>
      </c>
      <c r="G62" s="12" t="s">
        <v>84</v>
      </c>
      <c r="H62" s="12" t="s">
        <v>283</v>
      </c>
      <c r="I62" s="13" t="s">
        <v>112</v>
      </c>
      <c r="J62" s="13"/>
      <c r="K62" s="11" t="str">
        <f>"195,0"</f>
        <v>195,0</v>
      </c>
      <c r="L62" s="12" t="str">
        <f>"115,9905"</f>
        <v>115,9905</v>
      </c>
      <c r="M62" s="11" t="s">
        <v>950</v>
      </c>
    </row>
    <row r="64" spans="1:13" ht="15">
      <c r="A64" s="41" t="s">
        <v>160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1:13">
      <c r="A65" s="8" t="s">
        <v>952</v>
      </c>
      <c r="B65" s="8" t="s">
        <v>953</v>
      </c>
      <c r="C65" s="8" t="s">
        <v>954</v>
      </c>
      <c r="D65" s="8" t="str">
        <f>"0,5644"</f>
        <v>0,5644</v>
      </c>
      <c r="E65" s="8" t="s">
        <v>18</v>
      </c>
      <c r="F65" s="8" t="s">
        <v>955</v>
      </c>
      <c r="G65" s="9" t="s">
        <v>85</v>
      </c>
      <c r="H65" s="10" t="s">
        <v>423</v>
      </c>
      <c r="I65" s="10" t="s">
        <v>423</v>
      </c>
      <c r="J65" s="10"/>
      <c r="K65" s="8" t="str">
        <f>"205,0"</f>
        <v>205,0</v>
      </c>
      <c r="L65" s="9" t="str">
        <f>"115,7020"</f>
        <v>115,7020</v>
      </c>
      <c r="M65" s="8" t="s">
        <v>28</v>
      </c>
    </row>
    <row r="66" spans="1:13">
      <c r="A66" s="11" t="s">
        <v>709</v>
      </c>
      <c r="B66" s="11" t="s">
        <v>956</v>
      </c>
      <c r="C66" s="11" t="s">
        <v>957</v>
      </c>
      <c r="D66" s="11" t="str">
        <f>"0,5614"</f>
        <v>0,5614</v>
      </c>
      <c r="E66" s="11" t="s">
        <v>34</v>
      </c>
      <c r="F66" s="11" t="s">
        <v>35</v>
      </c>
      <c r="G66" s="12" t="s">
        <v>82</v>
      </c>
      <c r="H66" s="12" t="s">
        <v>112</v>
      </c>
      <c r="I66" s="12" t="s">
        <v>83</v>
      </c>
      <c r="J66" s="13"/>
      <c r="K66" s="11" t="str">
        <f>"210,0"</f>
        <v>210,0</v>
      </c>
      <c r="L66" s="12" t="str">
        <f>"137,3465"</f>
        <v>137,3465</v>
      </c>
      <c r="M66" s="11" t="s">
        <v>28</v>
      </c>
    </row>
    <row r="68" spans="1:13" ht="15">
      <c r="A68" s="41" t="s">
        <v>958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1:13">
      <c r="A69" s="5" t="s">
        <v>960</v>
      </c>
      <c r="B69" s="5" t="s">
        <v>961</v>
      </c>
      <c r="C69" s="5" t="s">
        <v>962</v>
      </c>
      <c r="D69" s="5" t="str">
        <f>"0,5439"</f>
        <v>0,5439</v>
      </c>
      <c r="E69" s="5" t="s">
        <v>34</v>
      </c>
      <c r="F69" s="5" t="s">
        <v>35</v>
      </c>
      <c r="G69" s="7" t="s">
        <v>83</v>
      </c>
      <c r="H69" s="7" t="s">
        <v>76</v>
      </c>
      <c r="I69" s="7" t="s">
        <v>143</v>
      </c>
      <c r="J69" s="6"/>
      <c r="K69" s="5" t="str">
        <f>"230,0"</f>
        <v>230,0</v>
      </c>
      <c r="L69" s="7" t="str">
        <f>"125,0970"</f>
        <v>125,0970</v>
      </c>
      <c r="M69" s="5" t="s">
        <v>28</v>
      </c>
    </row>
    <row r="71" spans="1:13" ht="15">
      <c r="E71" s="17" t="s">
        <v>166</v>
      </c>
    </row>
    <row r="72" spans="1:13" ht="15">
      <c r="E72" s="17" t="s">
        <v>167</v>
      </c>
    </row>
    <row r="73" spans="1:13" ht="15">
      <c r="E73" s="17" t="s">
        <v>168</v>
      </c>
    </row>
    <row r="74" spans="1:13" ht="15">
      <c r="E74" s="17" t="s">
        <v>169</v>
      </c>
    </row>
    <row r="75" spans="1:13" ht="15">
      <c r="E75" s="17" t="s">
        <v>169</v>
      </c>
    </row>
    <row r="76" spans="1:13" ht="15">
      <c r="E76" s="17" t="s">
        <v>170</v>
      </c>
    </row>
    <row r="77" spans="1:13" ht="15">
      <c r="E77" s="17"/>
    </row>
    <row r="79" spans="1:13" ht="18">
      <c r="A79" s="18" t="s">
        <v>171</v>
      </c>
      <c r="B79" s="18"/>
    </row>
    <row r="80" spans="1:13" ht="15">
      <c r="A80" s="19" t="s">
        <v>172</v>
      </c>
      <c r="B80" s="19"/>
    </row>
    <row r="81" spans="1:5" ht="14.25">
      <c r="A81" s="21"/>
      <c r="B81" s="22" t="s">
        <v>191</v>
      </c>
    </row>
    <row r="82" spans="1:5" ht="15">
      <c r="A82" s="23" t="s">
        <v>174</v>
      </c>
      <c r="B82" s="23" t="s">
        <v>175</v>
      </c>
      <c r="C82" s="23" t="s">
        <v>176</v>
      </c>
      <c r="D82" s="23" t="s">
        <v>177</v>
      </c>
      <c r="E82" s="23" t="s">
        <v>178</v>
      </c>
    </row>
    <row r="83" spans="1:5">
      <c r="A83" s="20" t="s">
        <v>796</v>
      </c>
      <c r="B83" s="4" t="s">
        <v>191</v>
      </c>
      <c r="C83" s="4" t="s">
        <v>200</v>
      </c>
      <c r="D83" s="4" t="s">
        <v>409</v>
      </c>
      <c r="E83" s="24" t="s">
        <v>963</v>
      </c>
    </row>
    <row r="84" spans="1:5">
      <c r="A84" s="20" t="s">
        <v>786</v>
      </c>
      <c r="B84" s="4" t="s">
        <v>191</v>
      </c>
      <c r="C84" s="4" t="s">
        <v>180</v>
      </c>
      <c r="D84" s="4" t="s">
        <v>24</v>
      </c>
      <c r="E84" s="24" t="s">
        <v>964</v>
      </c>
    </row>
    <row r="85" spans="1:5">
      <c r="A85" s="20" t="s">
        <v>782</v>
      </c>
      <c r="B85" s="4" t="s">
        <v>191</v>
      </c>
      <c r="C85" s="4" t="s">
        <v>378</v>
      </c>
      <c r="D85" s="4" t="s">
        <v>226</v>
      </c>
      <c r="E85" s="24" t="s">
        <v>965</v>
      </c>
    </row>
    <row r="87" spans="1:5" ht="14.25">
      <c r="A87" s="21"/>
      <c r="B87" s="22" t="s">
        <v>173</v>
      </c>
    </row>
    <row r="88" spans="1:5" ht="15">
      <c r="A88" s="23" t="s">
        <v>174</v>
      </c>
      <c r="B88" s="23" t="s">
        <v>175</v>
      </c>
      <c r="C88" s="23" t="s">
        <v>176</v>
      </c>
      <c r="D88" s="23" t="s">
        <v>177</v>
      </c>
      <c r="E88" s="23" t="s">
        <v>178</v>
      </c>
    </row>
    <row r="89" spans="1:5">
      <c r="A89" s="20" t="s">
        <v>792</v>
      </c>
      <c r="B89" s="4" t="s">
        <v>217</v>
      </c>
      <c r="C89" s="4" t="s">
        <v>180</v>
      </c>
      <c r="D89" s="4" t="s">
        <v>23</v>
      </c>
      <c r="E89" s="24" t="s">
        <v>966</v>
      </c>
    </row>
    <row r="92" spans="1:5" ht="15">
      <c r="A92" s="19" t="s">
        <v>183</v>
      </c>
      <c r="B92" s="19"/>
    </row>
    <row r="93" spans="1:5" ht="14.25">
      <c r="A93" s="21"/>
      <c r="B93" s="22" t="s">
        <v>511</v>
      </c>
    </row>
    <row r="94" spans="1:5" ht="15">
      <c r="A94" s="23" t="s">
        <v>174</v>
      </c>
      <c r="B94" s="23" t="s">
        <v>175</v>
      </c>
      <c r="C94" s="23" t="s">
        <v>176</v>
      </c>
      <c r="D94" s="23" t="s">
        <v>177</v>
      </c>
      <c r="E94" s="23" t="s">
        <v>178</v>
      </c>
    </row>
    <row r="95" spans="1:5">
      <c r="A95" s="20" t="s">
        <v>816</v>
      </c>
      <c r="B95" s="4" t="s">
        <v>500</v>
      </c>
      <c r="C95" s="4" t="s">
        <v>25</v>
      </c>
      <c r="D95" s="4" t="s">
        <v>21</v>
      </c>
      <c r="E95" s="24" t="s">
        <v>967</v>
      </c>
    </row>
    <row r="97" spans="1:5" ht="14.25">
      <c r="A97" s="21"/>
      <c r="B97" s="22" t="s">
        <v>184</v>
      </c>
    </row>
    <row r="98" spans="1:5" ht="15">
      <c r="A98" s="23" t="s">
        <v>174</v>
      </c>
      <c r="B98" s="23" t="s">
        <v>175</v>
      </c>
      <c r="C98" s="23" t="s">
        <v>176</v>
      </c>
      <c r="D98" s="23" t="s">
        <v>177</v>
      </c>
      <c r="E98" s="23" t="s">
        <v>178</v>
      </c>
    </row>
    <row r="99" spans="1:5">
      <c r="A99" s="20" t="s">
        <v>864</v>
      </c>
      <c r="B99" s="4" t="s">
        <v>185</v>
      </c>
      <c r="C99" s="4" t="s">
        <v>21</v>
      </c>
      <c r="D99" s="4" t="s">
        <v>106</v>
      </c>
      <c r="E99" s="24" t="s">
        <v>968</v>
      </c>
    </row>
    <row r="101" spans="1:5" ht="14.25">
      <c r="A101" s="21"/>
      <c r="B101" s="22" t="s">
        <v>191</v>
      </c>
    </row>
    <row r="102" spans="1:5" ht="15">
      <c r="A102" s="23" t="s">
        <v>174</v>
      </c>
      <c r="B102" s="23" t="s">
        <v>175</v>
      </c>
      <c r="C102" s="23" t="s">
        <v>176</v>
      </c>
      <c r="D102" s="23" t="s">
        <v>177</v>
      </c>
      <c r="E102" s="23" t="s">
        <v>178</v>
      </c>
    </row>
    <row r="103" spans="1:5">
      <c r="A103" s="20" t="s">
        <v>826</v>
      </c>
      <c r="B103" s="4" t="s">
        <v>191</v>
      </c>
      <c r="C103" s="4" t="s">
        <v>200</v>
      </c>
      <c r="D103" s="4" t="s">
        <v>152</v>
      </c>
      <c r="E103" s="24" t="s">
        <v>969</v>
      </c>
    </row>
    <row r="104" spans="1:5">
      <c r="A104" s="20" t="s">
        <v>925</v>
      </c>
      <c r="B104" s="4" t="s">
        <v>191</v>
      </c>
      <c r="C104" s="4" t="s">
        <v>186</v>
      </c>
      <c r="D104" s="4" t="s">
        <v>117</v>
      </c>
      <c r="E104" s="24" t="s">
        <v>970</v>
      </c>
    </row>
    <row r="105" spans="1:5">
      <c r="A105" s="20" t="s">
        <v>894</v>
      </c>
      <c r="B105" s="4" t="s">
        <v>191</v>
      </c>
      <c r="C105" s="4" t="s">
        <v>192</v>
      </c>
      <c r="D105" s="4" t="s">
        <v>120</v>
      </c>
      <c r="E105" s="24" t="s">
        <v>971</v>
      </c>
    </row>
    <row r="106" spans="1:5">
      <c r="A106" s="20" t="s">
        <v>959</v>
      </c>
      <c r="B106" s="4" t="s">
        <v>191</v>
      </c>
      <c r="C106" s="4" t="s">
        <v>972</v>
      </c>
      <c r="D106" s="4" t="s">
        <v>143</v>
      </c>
      <c r="E106" s="24" t="s">
        <v>973</v>
      </c>
    </row>
    <row r="107" spans="1:5">
      <c r="A107" s="20" t="s">
        <v>929</v>
      </c>
      <c r="B107" s="4" t="s">
        <v>191</v>
      </c>
      <c r="C107" s="4" t="s">
        <v>186</v>
      </c>
      <c r="D107" s="4" t="s">
        <v>83</v>
      </c>
      <c r="E107" s="24" t="s">
        <v>974</v>
      </c>
    </row>
    <row r="108" spans="1:5">
      <c r="A108" s="20" t="s">
        <v>951</v>
      </c>
      <c r="B108" s="4" t="s">
        <v>191</v>
      </c>
      <c r="C108" s="4" t="s">
        <v>49</v>
      </c>
      <c r="D108" s="4" t="s">
        <v>85</v>
      </c>
      <c r="E108" s="24" t="s">
        <v>975</v>
      </c>
    </row>
    <row r="109" spans="1:5">
      <c r="A109" s="20" t="s">
        <v>899</v>
      </c>
      <c r="B109" s="4" t="s">
        <v>191</v>
      </c>
      <c r="C109" s="4" t="s">
        <v>192</v>
      </c>
      <c r="D109" s="4" t="s">
        <v>283</v>
      </c>
      <c r="E109" s="24" t="s">
        <v>976</v>
      </c>
    </row>
    <row r="110" spans="1:5">
      <c r="A110" s="20" t="s">
        <v>810</v>
      </c>
      <c r="B110" s="4" t="s">
        <v>191</v>
      </c>
      <c r="C110" s="4" t="s">
        <v>180</v>
      </c>
      <c r="D110" s="4" t="s">
        <v>50</v>
      </c>
      <c r="E110" s="24" t="s">
        <v>977</v>
      </c>
    </row>
    <row r="111" spans="1:5">
      <c r="A111" s="20" t="s">
        <v>802</v>
      </c>
      <c r="B111" s="4" t="s">
        <v>191</v>
      </c>
      <c r="C111" s="4" t="s">
        <v>378</v>
      </c>
      <c r="D111" s="4" t="s">
        <v>611</v>
      </c>
      <c r="E111" s="24" t="s">
        <v>978</v>
      </c>
    </row>
    <row r="112" spans="1:5">
      <c r="A112" s="20" t="s">
        <v>870</v>
      </c>
      <c r="B112" s="4" t="s">
        <v>191</v>
      </c>
      <c r="C112" s="4" t="s">
        <v>21</v>
      </c>
      <c r="D112" s="4" t="s">
        <v>84</v>
      </c>
      <c r="E112" s="24" t="s">
        <v>979</v>
      </c>
    </row>
    <row r="113" spans="1:5">
      <c r="A113" s="20" t="s">
        <v>832</v>
      </c>
      <c r="B113" s="4" t="s">
        <v>191</v>
      </c>
      <c r="C113" s="4" t="s">
        <v>200</v>
      </c>
      <c r="D113" s="4" t="s">
        <v>39</v>
      </c>
      <c r="E113" s="24" t="s">
        <v>980</v>
      </c>
    </row>
    <row r="114" spans="1:5">
      <c r="A114" s="20" t="s">
        <v>933</v>
      </c>
      <c r="B114" s="4" t="s">
        <v>191</v>
      </c>
      <c r="C114" s="4" t="s">
        <v>186</v>
      </c>
      <c r="D114" s="4" t="s">
        <v>283</v>
      </c>
      <c r="E114" s="24" t="s">
        <v>981</v>
      </c>
    </row>
    <row r="115" spans="1:5">
      <c r="A115" s="20" t="s">
        <v>845</v>
      </c>
      <c r="B115" s="4" t="s">
        <v>191</v>
      </c>
      <c r="C115" s="4" t="s">
        <v>52</v>
      </c>
      <c r="D115" s="4" t="s">
        <v>93</v>
      </c>
      <c r="E115" s="24" t="s">
        <v>982</v>
      </c>
    </row>
    <row r="116" spans="1:5">
      <c r="A116" s="20" t="s">
        <v>836</v>
      </c>
      <c r="B116" s="4" t="s">
        <v>191</v>
      </c>
      <c r="C116" s="4" t="s">
        <v>200</v>
      </c>
      <c r="D116" s="4" t="s">
        <v>55</v>
      </c>
      <c r="E116" s="24" t="s">
        <v>983</v>
      </c>
    </row>
    <row r="117" spans="1:5">
      <c r="A117" s="20" t="s">
        <v>903</v>
      </c>
      <c r="B117" s="4" t="s">
        <v>191</v>
      </c>
      <c r="C117" s="4" t="s">
        <v>192</v>
      </c>
      <c r="D117" s="4" t="s">
        <v>106</v>
      </c>
      <c r="E117" s="24" t="s">
        <v>984</v>
      </c>
    </row>
    <row r="118" spans="1:5">
      <c r="A118" s="20" t="s">
        <v>849</v>
      </c>
      <c r="B118" s="4" t="s">
        <v>191</v>
      </c>
      <c r="C118" s="4" t="s">
        <v>52</v>
      </c>
      <c r="D118" s="4" t="s">
        <v>55</v>
      </c>
      <c r="E118" s="24" t="s">
        <v>985</v>
      </c>
    </row>
    <row r="119" spans="1:5">
      <c r="A119" s="20" t="s">
        <v>939</v>
      </c>
      <c r="B119" s="4" t="s">
        <v>191</v>
      </c>
      <c r="C119" s="4" t="s">
        <v>186</v>
      </c>
      <c r="D119" s="4" t="s">
        <v>93</v>
      </c>
      <c r="E119" s="24" t="s">
        <v>986</v>
      </c>
    </row>
    <row r="120" spans="1:5">
      <c r="A120" s="20" t="s">
        <v>806</v>
      </c>
      <c r="B120" s="4" t="s">
        <v>191</v>
      </c>
      <c r="C120" s="4" t="s">
        <v>378</v>
      </c>
      <c r="D120" s="4" t="s">
        <v>192</v>
      </c>
      <c r="E120" s="24" t="s">
        <v>987</v>
      </c>
    </row>
    <row r="121" spans="1:5">
      <c r="A121" s="20" t="s">
        <v>876</v>
      </c>
      <c r="B121" s="4" t="s">
        <v>191</v>
      </c>
      <c r="C121" s="4" t="s">
        <v>21</v>
      </c>
      <c r="D121" s="4" t="s">
        <v>50</v>
      </c>
      <c r="E121" s="24" t="s">
        <v>988</v>
      </c>
    </row>
    <row r="122" spans="1:5">
      <c r="A122" s="20" t="s">
        <v>820</v>
      </c>
      <c r="B122" s="4" t="s">
        <v>191</v>
      </c>
      <c r="C122" s="4" t="s">
        <v>25</v>
      </c>
      <c r="D122" s="4" t="s">
        <v>357</v>
      </c>
      <c r="E122" s="24" t="s">
        <v>989</v>
      </c>
    </row>
    <row r="123" spans="1:5">
      <c r="A123" s="20" t="s">
        <v>839</v>
      </c>
      <c r="B123" s="4" t="s">
        <v>191</v>
      </c>
      <c r="C123" s="4" t="s">
        <v>200</v>
      </c>
      <c r="D123" s="4" t="s">
        <v>192</v>
      </c>
      <c r="E123" s="24" t="s">
        <v>990</v>
      </c>
    </row>
    <row r="125" spans="1:5" ht="14.25">
      <c r="A125" s="21"/>
      <c r="B125" s="22" t="s">
        <v>173</v>
      </c>
    </row>
    <row r="126" spans="1:5" ht="15">
      <c r="A126" s="23" t="s">
        <v>174</v>
      </c>
      <c r="B126" s="23" t="s">
        <v>175</v>
      </c>
      <c r="C126" s="23" t="s">
        <v>176</v>
      </c>
      <c r="D126" s="23" t="s">
        <v>177</v>
      </c>
      <c r="E126" s="23" t="s">
        <v>178</v>
      </c>
    </row>
    <row r="127" spans="1:5">
      <c r="A127" s="20" t="s">
        <v>920</v>
      </c>
      <c r="B127" s="4" t="s">
        <v>991</v>
      </c>
      <c r="C127" s="4" t="s">
        <v>192</v>
      </c>
      <c r="D127" s="4" t="s">
        <v>283</v>
      </c>
      <c r="E127" s="24" t="s">
        <v>992</v>
      </c>
    </row>
    <row r="128" spans="1:5">
      <c r="A128" s="20" t="s">
        <v>853</v>
      </c>
      <c r="B128" s="4" t="s">
        <v>308</v>
      </c>
      <c r="C128" s="4" t="s">
        <v>52</v>
      </c>
      <c r="D128" s="4" t="s">
        <v>84</v>
      </c>
      <c r="E128" s="24" t="s">
        <v>993</v>
      </c>
    </row>
    <row r="129" spans="1:5">
      <c r="A129" s="20" t="s">
        <v>708</v>
      </c>
      <c r="B129" s="4" t="s">
        <v>308</v>
      </c>
      <c r="C129" s="4" t="s">
        <v>49</v>
      </c>
      <c r="D129" s="4" t="s">
        <v>83</v>
      </c>
      <c r="E129" s="24" t="s">
        <v>994</v>
      </c>
    </row>
    <row r="130" spans="1:5">
      <c r="A130" s="20" t="s">
        <v>859</v>
      </c>
      <c r="B130" s="4" t="s">
        <v>991</v>
      </c>
      <c r="C130" s="4" t="s">
        <v>52</v>
      </c>
      <c r="D130" s="4" t="s">
        <v>93</v>
      </c>
      <c r="E130" s="24" t="s">
        <v>995</v>
      </c>
    </row>
    <row r="131" spans="1:5">
      <c r="A131" s="20" t="s">
        <v>884</v>
      </c>
      <c r="B131" s="4" t="s">
        <v>308</v>
      </c>
      <c r="C131" s="4" t="s">
        <v>21</v>
      </c>
      <c r="D131" s="4" t="s">
        <v>137</v>
      </c>
      <c r="E131" s="24" t="s">
        <v>996</v>
      </c>
    </row>
    <row r="132" spans="1:5">
      <c r="A132" s="20" t="s">
        <v>880</v>
      </c>
      <c r="B132" s="4" t="s">
        <v>179</v>
      </c>
      <c r="C132" s="4" t="s">
        <v>21</v>
      </c>
      <c r="D132" s="4" t="s">
        <v>94</v>
      </c>
      <c r="E132" s="24" t="s">
        <v>997</v>
      </c>
    </row>
    <row r="133" spans="1:5">
      <c r="A133" s="20" t="s">
        <v>889</v>
      </c>
      <c r="B133" s="4" t="s">
        <v>308</v>
      </c>
      <c r="C133" s="4" t="s">
        <v>21</v>
      </c>
      <c r="D133" s="4" t="s">
        <v>137</v>
      </c>
      <c r="E133" s="24" t="s">
        <v>998</v>
      </c>
    </row>
    <row r="134" spans="1:5">
      <c r="A134" s="20" t="s">
        <v>946</v>
      </c>
      <c r="B134" s="4" t="s">
        <v>217</v>
      </c>
      <c r="C134" s="4" t="s">
        <v>186</v>
      </c>
      <c r="D134" s="4" t="s">
        <v>283</v>
      </c>
      <c r="E134" s="24" t="s">
        <v>999</v>
      </c>
    </row>
    <row r="135" spans="1:5">
      <c r="A135" s="20" t="s">
        <v>911</v>
      </c>
      <c r="B135" s="4" t="s">
        <v>179</v>
      </c>
      <c r="C135" s="4" t="s">
        <v>192</v>
      </c>
      <c r="D135" s="4" t="s">
        <v>94</v>
      </c>
      <c r="E135" s="24" t="s">
        <v>1000</v>
      </c>
    </row>
    <row r="136" spans="1:5">
      <c r="A136" s="20" t="s">
        <v>906</v>
      </c>
      <c r="B136" s="4" t="s">
        <v>217</v>
      </c>
      <c r="C136" s="4" t="s">
        <v>192</v>
      </c>
      <c r="D136" s="4" t="s">
        <v>137</v>
      </c>
      <c r="E136" s="24" t="s">
        <v>1001</v>
      </c>
    </row>
    <row r="137" spans="1:5">
      <c r="A137" s="20" t="s">
        <v>917</v>
      </c>
      <c r="B137" s="4" t="s">
        <v>179</v>
      </c>
      <c r="C137" s="4" t="s">
        <v>192</v>
      </c>
      <c r="D137" s="4" t="s">
        <v>54</v>
      </c>
      <c r="E137" s="24" t="s">
        <v>1002</v>
      </c>
    </row>
  </sheetData>
  <mergeCells count="24">
    <mergeCell ref="A47:L47"/>
    <mergeCell ref="A56:L56"/>
    <mergeCell ref="A64:L64"/>
    <mergeCell ref="A68:L68"/>
    <mergeCell ref="A15:L15"/>
    <mergeCell ref="A19:L19"/>
    <mergeCell ref="A22:L22"/>
    <mergeCell ref="A26:L26"/>
    <mergeCell ref="A33:L33"/>
    <mergeCell ref="A39:L39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selection activeCell="A17" sqref="A17:L17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2.28515625" style="4" bestFit="1" customWidth="1"/>
    <col min="14" max="16384" width="9.140625" style="3"/>
  </cols>
  <sheetData>
    <row r="1" spans="1:13" s="2" customFormat="1" ht="29.1" customHeight="1">
      <c r="A1" s="42" t="s">
        <v>1928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11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237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8" t="s">
        <v>1005</v>
      </c>
      <c r="B6" s="8" t="s">
        <v>1006</v>
      </c>
      <c r="C6" s="8" t="s">
        <v>1007</v>
      </c>
      <c r="D6" s="8" t="str">
        <f>"0,7256"</f>
        <v>0,7256</v>
      </c>
      <c r="E6" s="8" t="s">
        <v>34</v>
      </c>
      <c r="F6" s="8" t="s">
        <v>35</v>
      </c>
      <c r="G6" s="9" t="s">
        <v>567</v>
      </c>
      <c r="H6" s="9" t="s">
        <v>20</v>
      </c>
      <c r="I6" s="10"/>
      <c r="J6" s="10"/>
      <c r="K6" s="8" t="str">
        <f>"80,0"</f>
        <v>80,0</v>
      </c>
      <c r="L6" s="9" t="str">
        <f>"58,0480"</f>
        <v>58,0480</v>
      </c>
      <c r="M6" s="8"/>
    </row>
    <row r="7" spans="1:13">
      <c r="A7" s="11" t="s">
        <v>1005</v>
      </c>
      <c r="B7" s="11" t="s">
        <v>1008</v>
      </c>
      <c r="C7" s="11" t="s">
        <v>1007</v>
      </c>
      <c r="D7" s="11" t="str">
        <f>"0,7256"</f>
        <v>0,7256</v>
      </c>
      <c r="E7" s="11" t="s">
        <v>34</v>
      </c>
      <c r="F7" s="11" t="s">
        <v>35</v>
      </c>
      <c r="G7" s="12" t="s">
        <v>567</v>
      </c>
      <c r="H7" s="12" t="s">
        <v>20</v>
      </c>
      <c r="I7" s="13"/>
      <c r="J7" s="13"/>
      <c r="K7" s="11" t="str">
        <f>"80,0"</f>
        <v>80,0</v>
      </c>
      <c r="L7" s="12" t="str">
        <f>"82,4862"</f>
        <v>82,4862</v>
      </c>
      <c r="M7" s="11"/>
    </row>
    <row r="9" spans="1:13" ht="15">
      <c r="A9" s="41" t="s">
        <v>86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3">
      <c r="A10" s="8" t="s">
        <v>1010</v>
      </c>
      <c r="B10" s="8" t="s">
        <v>1011</v>
      </c>
      <c r="C10" s="8" t="s">
        <v>1012</v>
      </c>
      <c r="D10" s="8" t="str">
        <f>"0,6241"</f>
        <v>0,6241</v>
      </c>
      <c r="E10" s="8" t="s">
        <v>18</v>
      </c>
      <c r="F10" s="8" t="s">
        <v>384</v>
      </c>
      <c r="G10" s="9" t="s">
        <v>41</v>
      </c>
      <c r="H10" s="9" t="s">
        <v>42</v>
      </c>
      <c r="I10" s="10" t="s">
        <v>92</v>
      </c>
      <c r="J10" s="10"/>
      <c r="K10" s="8" t="str">
        <f>"252,5"</f>
        <v>252,5</v>
      </c>
      <c r="L10" s="9" t="str">
        <f>"157,5853"</f>
        <v>157,5853</v>
      </c>
      <c r="M10" s="8" t="s">
        <v>386</v>
      </c>
    </row>
    <row r="11" spans="1:13">
      <c r="A11" s="14" t="s">
        <v>1014</v>
      </c>
      <c r="B11" s="14" t="s">
        <v>1015</v>
      </c>
      <c r="C11" s="14" t="s">
        <v>1016</v>
      </c>
      <c r="D11" s="14" t="str">
        <f>"0,6139"</f>
        <v>0,6139</v>
      </c>
      <c r="E11" s="14" t="s">
        <v>18</v>
      </c>
      <c r="F11" s="14" t="s">
        <v>943</v>
      </c>
      <c r="G11" s="16" t="s">
        <v>75</v>
      </c>
      <c r="H11" s="16" t="s">
        <v>143</v>
      </c>
      <c r="I11" s="15" t="s">
        <v>91</v>
      </c>
      <c r="J11" s="15"/>
      <c r="K11" s="14" t="str">
        <f>"230,0"</f>
        <v>230,0</v>
      </c>
      <c r="L11" s="16" t="str">
        <f>"141,1970"</f>
        <v>141,1970</v>
      </c>
      <c r="M11" s="14" t="s">
        <v>386</v>
      </c>
    </row>
    <row r="12" spans="1:13">
      <c r="A12" s="14" t="s">
        <v>1018</v>
      </c>
      <c r="B12" s="14" t="s">
        <v>1019</v>
      </c>
      <c r="C12" s="14" t="s">
        <v>1020</v>
      </c>
      <c r="D12" s="14" t="str">
        <f>"0,6166"</f>
        <v>0,6166</v>
      </c>
      <c r="E12" s="14" t="s">
        <v>34</v>
      </c>
      <c r="F12" s="14" t="s">
        <v>35</v>
      </c>
      <c r="G12" s="16" t="s">
        <v>55</v>
      </c>
      <c r="H12" s="16" t="s">
        <v>93</v>
      </c>
      <c r="I12" s="16" t="s">
        <v>137</v>
      </c>
      <c r="J12" s="15"/>
      <c r="K12" s="14" t="str">
        <f>"175,0"</f>
        <v>175,0</v>
      </c>
      <c r="L12" s="16" t="str">
        <f>"107,9050"</f>
        <v>107,9050</v>
      </c>
      <c r="M12" s="14"/>
    </row>
    <row r="13" spans="1:13">
      <c r="A13" s="14" t="s">
        <v>1021</v>
      </c>
      <c r="B13" s="14" t="s">
        <v>1022</v>
      </c>
      <c r="C13" s="14" t="s">
        <v>1023</v>
      </c>
      <c r="D13" s="14" t="str">
        <f>"0,6086"</f>
        <v>0,6086</v>
      </c>
      <c r="E13" s="14" t="s">
        <v>18</v>
      </c>
      <c r="F13" s="14" t="s">
        <v>1024</v>
      </c>
      <c r="G13" s="15" t="s">
        <v>316</v>
      </c>
      <c r="H13" s="15" t="s">
        <v>316</v>
      </c>
      <c r="I13" s="15" t="s">
        <v>112</v>
      </c>
      <c r="J13" s="15"/>
      <c r="K13" s="14" t="str">
        <f>"0.00"</f>
        <v>0.00</v>
      </c>
      <c r="L13" s="16" t="str">
        <f>"0,0000"</f>
        <v>0,0000</v>
      </c>
      <c r="M13" s="14" t="s">
        <v>1025</v>
      </c>
    </row>
    <row r="14" spans="1:13">
      <c r="A14" s="11" t="s">
        <v>1010</v>
      </c>
      <c r="B14" s="11" t="s">
        <v>1026</v>
      </c>
      <c r="C14" s="11" t="s">
        <v>1012</v>
      </c>
      <c r="D14" s="11" t="str">
        <f>"0,6241"</f>
        <v>0,6241</v>
      </c>
      <c r="E14" s="11" t="s">
        <v>18</v>
      </c>
      <c r="F14" s="11" t="s">
        <v>384</v>
      </c>
      <c r="G14" s="12" t="s">
        <v>41</v>
      </c>
      <c r="H14" s="12" t="s">
        <v>42</v>
      </c>
      <c r="I14" s="13" t="s">
        <v>92</v>
      </c>
      <c r="J14" s="13"/>
      <c r="K14" s="11" t="str">
        <f>"252,5"</f>
        <v>252,5</v>
      </c>
      <c r="L14" s="12" t="str">
        <f>"166,2524"</f>
        <v>166,2524</v>
      </c>
      <c r="M14" s="11" t="s">
        <v>386</v>
      </c>
    </row>
    <row r="16" spans="1:13" ht="15">
      <c r="A16" s="41" t="s">
        <v>122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3">
      <c r="A17" s="5" t="s">
        <v>1028</v>
      </c>
      <c r="B17" s="5" t="s">
        <v>1029</v>
      </c>
      <c r="C17" s="5" t="s">
        <v>1030</v>
      </c>
      <c r="D17" s="5" t="str">
        <f>"0,5905"</f>
        <v>0,5905</v>
      </c>
      <c r="E17" s="5" t="s">
        <v>18</v>
      </c>
      <c r="F17" s="5" t="s">
        <v>384</v>
      </c>
      <c r="G17" s="7" t="s">
        <v>42</v>
      </c>
      <c r="H17" s="7" t="s">
        <v>508</v>
      </c>
      <c r="I17" s="6" t="s">
        <v>1031</v>
      </c>
      <c r="J17" s="6"/>
      <c r="K17" s="5" t="str">
        <f>"262,5"</f>
        <v>262,5</v>
      </c>
      <c r="L17" s="7" t="str">
        <f>"155,0062"</f>
        <v>155,0062</v>
      </c>
      <c r="M17" s="5" t="s">
        <v>1032</v>
      </c>
    </row>
    <row r="19" spans="1:13" ht="15">
      <c r="E19" s="17" t="s">
        <v>166</v>
      </c>
    </row>
    <row r="20" spans="1:13" ht="15">
      <c r="E20" s="17" t="s">
        <v>167</v>
      </c>
    </row>
    <row r="21" spans="1:13" ht="15">
      <c r="E21" s="17" t="s">
        <v>168</v>
      </c>
    </row>
    <row r="22" spans="1:13" ht="15">
      <c r="E22" s="17" t="s">
        <v>169</v>
      </c>
    </row>
    <row r="23" spans="1:13" ht="15">
      <c r="E23" s="17" t="s">
        <v>169</v>
      </c>
    </row>
    <row r="24" spans="1:13" ht="15">
      <c r="E24" s="17" t="s">
        <v>170</v>
      </c>
    </row>
    <row r="25" spans="1:13" ht="15">
      <c r="E25" s="17"/>
    </row>
    <row r="27" spans="1:13" ht="18">
      <c r="A27" s="18" t="s">
        <v>171</v>
      </c>
      <c r="B27" s="18"/>
    </row>
    <row r="28" spans="1:13" ht="15">
      <c r="A28" s="19" t="s">
        <v>183</v>
      </c>
      <c r="B28" s="19"/>
    </row>
    <row r="29" spans="1:13" ht="14.25">
      <c r="A29" s="21"/>
      <c r="B29" s="22" t="s">
        <v>191</v>
      </c>
    </row>
    <row r="30" spans="1:13" ht="15">
      <c r="A30" s="23" t="s">
        <v>174</v>
      </c>
      <c r="B30" s="23" t="s">
        <v>175</v>
      </c>
      <c r="C30" s="23" t="s">
        <v>176</v>
      </c>
      <c r="D30" s="23" t="s">
        <v>177</v>
      </c>
      <c r="E30" s="23" t="s">
        <v>178</v>
      </c>
    </row>
    <row r="31" spans="1:13">
      <c r="A31" s="20" t="s">
        <v>1009</v>
      </c>
      <c r="B31" s="4" t="s">
        <v>191</v>
      </c>
      <c r="C31" s="4" t="s">
        <v>21</v>
      </c>
      <c r="D31" s="4" t="s">
        <v>42</v>
      </c>
      <c r="E31" s="24" t="s">
        <v>1033</v>
      </c>
    </row>
    <row r="32" spans="1:13">
      <c r="A32" s="20" t="s">
        <v>1027</v>
      </c>
      <c r="B32" s="4" t="s">
        <v>191</v>
      </c>
      <c r="C32" s="4" t="s">
        <v>192</v>
      </c>
      <c r="D32" s="4" t="s">
        <v>508</v>
      </c>
      <c r="E32" s="24" t="s">
        <v>1034</v>
      </c>
    </row>
    <row r="33" spans="1:5">
      <c r="A33" s="20" t="s">
        <v>1013</v>
      </c>
      <c r="B33" s="4" t="s">
        <v>191</v>
      </c>
      <c r="C33" s="4" t="s">
        <v>21</v>
      </c>
      <c r="D33" s="4" t="s">
        <v>143</v>
      </c>
      <c r="E33" s="24" t="s">
        <v>1035</v>
      </c>
    </row>
    <row r="34" spans="1:5">
      <c r="A34" s="20" t="s">
        <v>1017</v>
      </c>
      <c r="B34" s="4" t="s">
        <v>191</v>
      </c>
      <c r="C34" s="4" t="s">
        <v>21</v>
      </c>
      <c r="D34" s="4" t="s">
        <v>137</v>
      </c>
      <c r="E34" s="24" t="s">
        <v>1036</v>
      </c>
    </row>
    <row r="35" spans="1:5">
      <c r="A35" s="20" t="s">
        <v>1004</v>
      </c>
      <c r="B35" s="4" t="s">
        <v>191</v>
      </c>
      <c r="C35" s="4" t="s">
        <v>25</v>
      </c>
      <c r="D35" s="4" t="s">
        <v>20</v>
      </c>
      <c r="E35" s="24" t="s">
        <v>1037</v>
      </c>
    </row>
    <row r="37" spans="1:5" ht="14.25">
      <c r="A37" s="21"/>
      <c r="B37" s="22" t="s">
        <v>173</v>
      </c>
    </row>
    <row r="38" spans="1:5" ht="15">
      <c r="A38" s="23" t="s">
        <v>174</v>
      </c>
      <c r="B38" s="23" t="s">
        <v>175</v>
      </c>
      <c r="C38" s="23" t="s">
        <v>176</v>
      </c>
      <c r="D38" s="23" t="s">
        <v>177</v>
      </c>
      <c r="E38" s="23" t="s">
        <v>178</v>
      </c>
    </row>
    <row r="39" spans="1:5">
      <c r="A39" s="20" t="s">
        <v>1009</v>
      </c>
      <c r="B39" s="4" t="s">
        <v>179</v>
      </c>
      <c r="C39" s="4" t="s">
        <v>21</v>
      </c>
      <c r="D39" s="4" t="s">
        <v>42</v>
      </c>
      <c r="E39" s="24" t="s">
        <v>1038</v>
      </c>
    </row>
    <row r="40" spans="1:5">
      <c r="A40" s="20" t="s">
        <v>1004</v>
      </c>
      <c r="B40" s="4" t="s">
        <v>545</v>
      </c>
      <c r="C40" s="4" t="s">
        <v>25</v>
      </c>
      <c r="D40" s="4" t="s">
        <v>20</v>
      </c>
      <c r="E40" s="24" t="s">
        <v>1039</v>
      </c>
    </row>
  </sheetData>
  <mergeCells count="14">
    <mergeCell ref="A16:L16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A17" sqref="A17:L17"/>
    </sheetView>
  </sheetViews>
  <sheetFormatPr defaultRowHeight="12.75"/>
  <cols>
    <col min="1" max="1" width="26" style="4" bestFit="1" customWidth="1"/>
    <col min="2" max="2" width="28.42578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2.8554687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42" t="s">
        <v>1927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11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5" t="s">
        <v>1041</v>
      </c>
      <c r="B6" s="5" t="s">
        <v>1042</v>
      </c>
      <c r="C6" s="5" t="s">
        <v>1043</v>
      </c>
      <c r="D6" s="5" t="str">
        <f>"0,6963"</f>
        <v>0,6963</v>
      </c>
      <c r="E6" s="5" t="s">
        <v>1044</v>
      </c>
      <c r="F6" s="5" t="s">
        <v>1045</v>
      </c>
      <c r="G6" s="7" t="s">
        <v>234</v>
      </c>
      <c r="H6" s="7" t="s">
        <v>27</v>
      </c>
      <c r="I6" s="6" t="s">
        <v>49</v>
      </c>
      <c r="J6" s="6"/>
      <c r="K6" s="5" t="str">
        <f>"130,0"</f>
        <v>130,0</v>
      </c>
      <c r="L6" s="7" t="str">
        <f>"90,5190"</f>
        <v>90,5190</v>
      </c>
      <c r="M6" s="5"/>
    </row>
    <row r="8" spans="1:13" ht="15">
      <c r="A8" s="41" t="s">
        <v>56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5" t="s">
        <v>1047</v>
      </c>
      <c r="B9" s="5" t="s">
        <v>1048</v>
      </c>
      <c r="C9" s="5" t="s">
        <v>1049</v>
      </c>
      <c r="D9" s="5" t="str">
        <f>"0,6583"</f>
        <v>0,6583</v>
      </c>
      <c r="E9" s="5" t="s">
        <v>18</v>
      </c>
      <c r="F9" s="5" t="s">
        <v>943</v>
      </c>
      <c r="G9" s="7" t="s">
        <v>117</v>
      </c>
      <c r="H9" s="6" t="s">
        <v>43</v>
      </c>
      <c r="I9" s="6" t="s">
        <v>43</v>
      </c>
      <c r="J9" s="6"/>
      <c r="K9" s="5" t="str">
        <f>"250,0"</f>
        <v>250,0</v>
      </c>
      <c r="L9" s="7" t="str">
        <f>"164,5750"</f>
        <v>164,5750</v>
      </c>
      <c r="M9" s="5"/>
    </row>
    <row r="11" spans="1:13" ht="15">
      <c r="E11" s="17" t="s">
        <v>166</v>
      </c>
    </row>
    <row r="12" spans="1:13" ht="15">
      <c r="E12" s="17" t="s">
        <v>167</v>
      </c>
    </row>
    <row r="13" spans="1:13" ht="15">
      <c r="E13" s="17" t="s">
        <v>168</v>
      </c>
    </row>
    <row r="14" spans="1:13" ht="15">
      <c r="E14" s="17" t="s">
        <v>169</v>
      </c>
    </row>
    <row r="15" spans="1:13" ht="15">
      <c r="E15" s="17" t="s">
        <v>169</v>
      </c>
    </row>
    <row r="16" spans="1:13" ht="15">
      <c r="E16" s="17" t="s">
        <v>170</v>
      </c>
    </row>
    <row r="17" spans="1:5" ht="15">
      <c r="E17" s="17"/>
    </row>
    <row r="19" spans="1:5" ht="18">
      <c r="A19" s="18" t="s">
        <v>171</v>
      </c>
      <c r="B19" s="18"/>
    </row>
    <row r="20" spans="1:5" ht="15">
      <c r="A20" s="19" t="s">
        <v>183</v>
      </c>
      <c r="B20" s="19"/>
    </row>
    <row r="21" spans="1:5" ht="14.25">
      <c r="A21" s="21"/>
      <c r="B21" s="22" t="s">
        <v>184</v>
      </c>
    </row>
    <row r="22" spans="1:5" ht="15">
      <c r="A22" s="23" t="s">
        <v>174</v>
      </c>
      <c r="B22" s="23" t="s">
        <v>175</v>
      </c>
      <c r="C22" s="23" t="s">
        <v>176</v>
      </c>
      <c r="D22" s="23" t="s">
        <v>177</v>
      </c>
      <c r="E22" s="23" t="s">
        <v>178</v>
      </c>
    </row>
    <row r="23" spans="1:5">
      <c r="A23" s="20" t="s">
        <v>1040</v>
      </c>
      <c r="B23" s="4" t="s">
        <v>185</v>
      </c>
      <c r="C23" s="4" t="s">
        <v>200</v>
      </c>
      <c r="D23" s="4" t="s">
        <v>27</v>
      </c>
      <c r="E23" s="24" t="s">
        <v>1050</v>
      </c>
    </row>
    <row r="25" spans="1:5" ht="14.25">
      <c r="A25" s="21"/>
      <c r="B25" s="22" t="s">
        <v>191</v>
      </c>
    </row>
    <row r="26" spans="1:5" ht="15">
      <c r="A26" s="23" t="s">
        <v>174</v>
      </c>
      <c r="B26" s="23" t="s">
        <v>175</v>
      </c>
      <c r="C26" s="23" t="s">
        <v>176</v>
      </c>
      <c r="D26" s="23" t="s">
        <v>177</v>
      </c>
      <c r="E26" s="23" t="s">
        <v>178</v>
      </c>
    </row>
    <row r="27" spans="1:5">
      <c r="A27" s="20" t="s">
        <v>1046</v>
      </c>
      <c r="B27" s="4" t="s">
        <v>191</v>
      </c>
      <c r="C27" s="4" t="s">
        <v>52</v>
      </c>
      <c r="D27" s="4" t="s">
        <v>117</v>
      </c>
      <c r="E27" s="24" t="s">
        <v>1051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7"/>
  <sheetViews>
    <sheetView topLeftCell="A7" workbookViewId="0">
      <selection activeCell="A17" sqref="A17:L17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5.425781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8.85546875" style="4" bestFit="1" customWidth="1"/>
    <col min="14" max="16384" width="9.140625" style="3"/>
  </cols>
  <sheetData>
    <row r="1" spans="1:13" s="2" customFormat="1" ht="29.1" customHeight="1">
      <c r="A1" s="42" t="s">
        <v>1922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2" customFormat="1" ht="62.1" customHeight="1" thickBot="1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1" customFormat="1" ht="12.75" customHeight="1">
      <c r="A3" s="48" t="s">
        <v>0</v>
      </c>
      <c r="B3" s="50" t="s">
        <v>6</v>
      </c>
      <c r="C3" s="50" t="s">
        <v>7</v>
      </c>
      <c r="D3" s="52" t="s">
        <v>9</v>
      </c>
      <c r="E3" s="52" t="s">
        <v>4</v>
      </c>
      <c r="F3" s="52" t="s">
        <v>8</v>
      </c>
      <c r="G3" s="52" t="s">
        <v>12</v>
      </c>
      <c r="H3" s="52"/>
      <c r="I3" s="52"/>
      <c r="J3" s="52"/>
      <c r="K3" s="52" t="s">
        <v>1003</v>
      </c>
      <c r="L3" s="52" t="s">
        <v>3</v>
      </c>
      <c r="M3" s="38" t="s">
        <v>2</v>
      </c>
    </row>
    <row r="4" spans="1:13" s="1" customFormat="1" ht="21" customHeight="1" thickBot="1">
      <c r="A4" s="49"/>
      <c r="B4" s="51"/>
      <c r="C4" s="51"/>
      <c r="D4" s="51"/>
      <c r="E4" s="51"/>
      <c r="F4" s="51"/>
      <c r="G4" s="25">
        <v>1</v>
      </c>
      <c r="H4" s="25">
        <v>2</v>
      </c>
      <c r="I4" s="25">
        <v>3</v>
      </c>
      <c r="J4" s="25" t="s">
        <v>5</v>
      </c>
      <c r="K4" s="51"/>
      <c r="L4" s="51"/>
      <c r="M4" s="39"/>
    </row>
    <row r="5" spans="1:13" ht="15">
      <c r="A5" s="40" t="s">
        <v>13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3">
      <c r="A6" s="5" t="s">
        <v>787</v>
      </c>
      <c r="B6" s="5" t="s">
        <v>788</v>
      </c>
      <c r="C6" s="5" t="s">
        <v>789</v>
      </c>
      <c r="D6" s="5" t="str">
        <f>"1,0455"</f>
        <v>1,0455</v>
      </c>
      <c r="E6" s="5" t="s">
        <v>18</v>
      </c>
      <c r="F6" s="5" t="s">
        <v>790</v>
      </c>
      <c r="G6" s="7" t="s">
        <v>409</v>
      </c>
      <c r="H6" s="7" t="s">
        <v>578</v>
      </c>
      <c r="I6" s="7" t="s">
        <v>27</v>
      </c>
      <c r="J6" s="6"/>
      <c r="K6" s="5" t="str">
        <f>"130,0"</f>
        <v>130,0</v>
      </c>
      <c r="L6" s="7" t="str">
        <f>"135,9150"</f>
        <v>135,9150</v>
      </c>
      <c r="M6" s="5" t="s">
        <v>791</v>
      </c>
    </row>
    <row r="8" spans="1:13" ht="15">
      <c r="A8" s="41" t="s">
        <v>29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>
      <c r="A9" s="8" t="s">
        <v>1591</v>
      </c>
      <c r="B9" s="8" t="s">
        <v>1592</v>
      </c>
      <c r="C9" s="8" t="s">
        <v>844</v>
      </c>
      <c r="D9" s="8" t="str">
        <f>"0,6749"</f>
        <v>0,6749</v>
      </c>
      <c r="E9" s="8" t="s">
        <v>18</v>
      </c>
      <c r="F9" s="8" t="s">
        <v>165</v>
      </c>
      <c r="G9" s="9" t="s">
        <v>92</v>
      </c>
      <c r="H9" s="9" t="s">
        <v>66</v>
      </c>
      <c r="I9" s="9" t="s">
        <v>107</v>
      </c>
      <c r="J9" s="10" t="s">
        <v>128</v>
      </c>
      <c r="K9" s="8" t="str">
        <f>"285,0"</f>
        <v>285,0</v>
      </c>
      <c r="L9" s="9" t="str">
        <f>"192,3465"</f>
        <v>192,3465</v>
      </c>
      <c r="M9" s="8" t="s">
        <v>1593</v>
      </c>
    </row>
    <row r="10" spans="1:13">
      <c r="A10" s="11" t="s">
        <v>842</v>
      </c>
      <c r="B10" s="11" t="s">
        <v>843</v>
      </c>
      <c r="C10" s="11" t="s">
        <v>844</v>
      </c>
      <c r="D10" s="11" t="str">
        <f>"0,6749"</f>
        <v>0,6749</v>
      </c>
      <c r="E10" s="11" t="s">
        <v>34</v>
      </c>
      <c r="F10" s="11" t="s">
        <v>35</v>
      </c>
      <c r="G10" s="13" t="s">
        <v>83</v>
      </c>
      <c r="H10" s="13"/>
      <c r="I10" s="13"/>
      <c r="J10" s="13"/>
      <c r="K10" s="11" t="str">
        <f>"0.00"</f>
        <v>0.00</v>
      </c>
      <c r="L10" s="12" t="str">
        <f>"0,0000"</f>
        <v>0,0000</v>
      </c>
      <c r="M10" s="11"/>
    </row>
    <row r="12" spans="1:13" ht="15">
      <c r="A12" s="41" t="s">
        <v>56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3">
      <c r="A13" s="8" t="s">
        <v>1595</v>
      </c>
      <c r="B13" s="8" t="s">
        <v>1596</v>
      </c>
      <c r="C13" s="8" t="s">
        <v>1299</v>
      </c>
      <c r="D13" s="8" t="str">
        <f>"0,6384"</f>
        <v>0,6384</v>
      </c>
      <c r="E13" s="8" t="s">
        <v>34</v>
      </c>
      <c r="F13" s="8" t="s">
        <v>35</v>
      </c>
      <c r="G13" s="9" t="s">
        <v>67</v>
      </c>
      <c r="H13" s="9" t="s">
        <v>325</v>
      </c>
      <c r="I13" s="10"/>
      <c r="J13" s="10"/>
      <c r="K13" s="8" t="str">
        <f>"302,5"</f>
        <v>302,5</v>
      </c>
      <c r="L13" s="9" t="str">
        <f>"193,1160"</f>
        <v>193,1160</v>
      </c>
      <c r="M13" s="8" t="s">
        <v>1597</v>
      </c>
    </row>
    <row r="14" spans="1:13">
      <c r="A14" s="14" t="s">
        <v>1599</v>
      </c>
      <c r="B14" s="14" t="s">
        <v>1600</v>
      </c>
      <c r="C14" s="14" t="s">
        <v>1601</v>
      </c>
      <c r="D14" s="14" t="str">
        <f>"0,6410"</f>
        <v>0,6410</v>
      </c>
      <c r="E14" s="14" t="s">
        <v>18</v>
      </c>
      <c r="F14" s="14" t="s">
        <v>1602</v>
      </c>
      <c r="G14" s="16" t="s">
        <v>143</v>
      </c>
      <c r="H14" s="16" t="s">
        <v>91</v>
      </c>
      <c r="I14" s="16" t="s">
        <v>117</v>
      </c>
      <c r="J14" s="15"/>
      <c r="K14" s="14" t="str">
        <f>"250,0"</f>
        <v>250,0</v>
      </c>
      <c r="L14" s="16" t="str">
        <f>"160,2500"</f>
        <v>160,2500</v>
      </c>
      <c r="M14" s="14" t="s">
        <v>1603</v>
      </c>
    </row>
    <row r="15" spans="1:13">
      <c r="A15" s="11" t="s">
        <v>1605</v>
      </c>
      <c r="B15" s="11" t="s">
        <v>1606</v>
      </c>
      <c r="C15" s="11" t="s">
        <v>1303</v>
      </c>
      <c r="D15" s="11" t="str">
        <f>"0,6406"</f>
        <v>0,6406</v>
      </c>
      <c r="E15" s="11" t="s">
        <v>18</v>
      </c>
      <c r="F15" s="11" t="s">
        <v>384</v>
      </c>
      <c r="G15" s="12" t="s">
        <v>64</v>
      </c>
      <c r="H15" s="12" t="s">
        <v>55</v>
      </c>
      <c r="I15" s="13" t="s">
        <v>136</v>
      </c>
      <c r="J15" s="13"/>
      <c r="K15" s="11" t="str">
        <f>"160,0"</f>
        <v>160,0</v>
      </c>
      <c r="L15" s="12" t="str">
        <f>"102,4960"</f>
        <v>102,4960</v>
      </c>
      <c r="M15" s="11" t="s">
        <v>386</v>
      </c>
    </row>
    <row r="17" spans="1:13" ht="15">
      <c r="A17" s="41" t="s">
        <v>86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3">
      <c r="A18" s="8" t="s">
        <v>1608</v>
      </c>
      <c r="B18" s="8" t="s">
        <v>1609</v>
      </c>
      <c r="C18" s="8" t="s">
        <v>1012</v>
      </c>
      <c r="D18" s="8" t="str">
        <f>"0,6241"</f>
        <v>0,6241</v>
      </c>
      <c r="E18" s="8" t="s">
        <v>278</v>
      </c>
      <c r="F18" s="8" t="s">
        <v>1610</v>
      </c>
      <c r="G18" s="10" t="s">
        <v>323</v>
      </c>
      <c r="H18" s="9" t="s">
        <v>323</v>
      </c>
      <c r="I18" s="10" t="s">
        <v>324</v>
      </c>
      <c r="J18" s="10"/>
      <c r="K18" s="8" t="str">
        <f>"355,0"</f>
        <v>355,0</v>
      </c>
      <c r="L18" s="9" t="str">
        <f>"221,5555"</f>
        <v>221,5555</v>
      </c>
      <c r="M18" s="8"/>
    </row>
    <row r="19" spans="1:13">
      <c r="A19" s="11" t="s">
        <v>1611</v>
      </c>
      <c r="B19" s="11" t="s">
        <v>1612</v>
      </c>
      <c r="C19" s="11" t="s">
        <v>1613</v>
      </c>
      <c r="D19" s="11" t="str">
        <f>"0,6147"</f>
        <v>0,6147</v>
      </c>
      <c r="E19" s="11" t="s">
        <v>34</v>
      </c>
      <c r="F19" s="11" t="s">
        <v>35</v>
      </c>
      <c r="G19" s="13" t="s">
        <v>265</v>
      </c>
      <c r="H19" s="13" t="s">
        <v>265</v>
      </c>
      <c r="I19" s="13" t="s">
        <v>265</v>
      </c>
      <c r="J19" s="13"/>
      <c r="K19" s="11" t="str">
        <f>"0.00"</f>
        <v>0.00</v>
      </c>
      <c r="L19" s="12" t="str">
        <f>"0,0000"</f>
        <v>0,0000</v>
      </c>
      <c r="M19" s="11"/>
    </row>
    <row r="21" spans="1:13" ht="15">
      <c r="A21" s="41" t="s">
        <v>122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</row>
    <row r="22" spans="1:13">
      <c r="A22" s="8" t="s">
        <v>1615</v>
      </c>
      <c r="B22" s="8" t="s">
        <v>851</v>
      </c>
      <c r="C22" s="8" t="s">
        <v>1616</v>
      </c>
      <c r="D22" s="8" t="str">
        <f>"0,6041"</f>
        <v>0,6041</v>
      </c>
      <c r="E22" s="8" t="s">
        <v>34</v>
      </c>
      <c r="F22" s="8" t="s">
        <v>35</v>
      </c>
      <c r="G22" s="9" t="s">
        <v>67</v>
      </c>
      <c r="H22" s="9" t="s">
        <v>285</v>
      </c>
      <c r="I22" s="10" t="s">
        <v>286</v>
      </c>
      <c r="J22" s="10"/>
      <c r="K22" s="8" t="str">
        <f>"310,0"</f>
        <v>310,0</v>
      </c>
      <c r="L22" s="9" t="str">
        <f>"187,2710"</f>
        <v>187,2710</v>
      </c>
      <c r="M22" s="8"/>
    </row>
    <row r="23" spans="1:13">
      <c r="A23" s="14" t="s">
        <v>1618</v>
      </c>
      <c r="B23" s="14" t="s">
        <v>1619</v>
      </c>
      <c r="C23" s="14" t="s">
        <v>1620</v>
      </c>
      <c r="D23" s="14" t="str">
        <f>"0,5924"</f>
        <v>0,5924</v>
      </c>
      <c r="E23" s="14" t="s">
        <v>34</v>
      </c>
      <c r="F23" s="14" t="s">
        <v>35</v>
      </c>
      <c r="G23" s="16" t="s">
        <v>92</v>
      </c>
      <c r="H23" s="15" t="s">
        <v>271</v>
      </c>
      <c r="I23" s="15" t="s">
        <v>271</v>
      </c>
      <c r="J23" s="15"/>
      <c r="K23" s="14" t="str">
        <f>"260,0"</f>
        <v>260,0</v>
      </c>
      <c r="L23" s="16" t="str">
        <f>"154,0240"</f>
        <v>154,0240</v>
      </c>
      <c r="M23" s="14" t="s">
        <v>1621</v>
      </c>
    </row>
    <row r="24" spans="1:13">
      <c r="A24" s="14" t="s">
        <v>1623</v>
      </c>
      <c r="B24" s="14" t="s">
        <v>702</v>
      </c>
      <c r="C24" s="14" t="s">
        <v>1624</v>
      </c>
      <c r="D24" s="14" t="str">
        <f>"0,6067"</f>
        <v>0,6067</v>
      </c>
      <c r="E24" s="14" t="s">
        <v>18</v>
      </c>
      <c r="F24" s="14" t="s">
        <v>422</v>
      </c>
      <c r="G24" s="16" t="s">
        <v>63</v>
      </c>
      <c r="H24" s="16" t="s">
        <v>1625</v>
      </c>
      <c r="I24" s="15" t="s">
        <v>285</v>
      </c>
      <c r="J24" s="15"/>
      <c r="K24" s="14" t="str">
        <f>"297,5"</f>
        <v>297,5</v>
      </c>
      <c r="L24" s="16" t="str">
        <f>"184,1031"</f>
        <v>184,1031</v>
      </c>
      <c r="M24" s="14"/>
    </row>
    <row r="25" spans="1:13">
      <c r="A25" s="14" t="s">
        <v>1627</v>
      </c>
      <c r="B25" s="14" t="s">
        <v>1628</v>
      </c>
      <c r="C25" s="14" t="s">
        <v>1406</v>
      </c>
      <c r="D25" s="14" t="str">
        <f>"0,5958"</f>
        <v>0,5958</v>
      </c>
      <c r="E25" s="14" t="s">
        <v>34</v>
      </c>
      <c r="F25" s="14" t="s">
        <v>35</v>
      </c>
      <c r="G25" s="16" t="s">
        <v>76</v>
      </c>
      <c r="H25" s="16" t="s">
        <v>91</v>
      </c>
      <c r="I25" s="16" t="s">
        <v>42</v>
      </c>
      <c r="J25" s="15"/>
      <c r="K25" s="14" t="str">
        <f>"252,5"</f>
        <v>252,5</v>
      </c>
      <c r="L25" s="16" t="str">
        <f>"156,9084"</f>
        <v>156,9084</v>
      </c>
      <c r="M25" s="14"/>
    </row>
    <row r="26" spans="1:13">
      <c r="A26" s="14" t="s">
        <v>1629</v>
      </c>
      <c r="B26" s="14" t="s">
        <v>919</v>
      </c>
      <c r="C26" s="14" t="s">
        <v>333</v>
      </c>
      <c r="D26" s="14" t="str">
        <f>"0,5919"</f>
        <v>0,5919</v>
      </c>
      <c r="E26" s="14" t="s">
        <v>34</v>
      </c>
      <c r="F26" s="14" t="s">
        <v>35</v>
      </c>
      <c r="G26" s="16" t="s">
        <v>91</v>
      </c>
      <c r="H26" s="16" t="s">
        <v>117</v>
      </c>
      <c r="I26" s="16" t="s">
        <v>92</v>
      </c>
      <c r="J26" s="15"/>
      <c r="K26" s="14" t="str">
        <f>"260,0"</f>
        <v>260,0</v>
      </c>
      <c r="L26" s="16" t="str">
        <f>"164,3588"</f>
        <v>164,3588</v>
      </c>
      <c r="M26" s="14"/>
    </row>
    <row r="27" spans="1:13">
      <c r="A27" s="11" t="s">
        <v>1631</v>
      </c>
      <c r="B27" s="11" t="s">
        <v>1632</v>
      </c>
      <c r="C27" s="11" t="s">
        <v>1633</v>
      </c>
      <c r="D27" s="11" t="str">
        <f>"0,5939"</f>
        <v>0,5939</v>
      </c>
      <c r="E27" s="11" t="s">
        <v>18</v>
      </c>
      <c r="F27" s="11" t="s">
        <v>384</v>
      </c>
      <c r="G27" s="12" t="s">
        <v>82</v>
      </c>
      <c r="H27" s="12" t="s">
        <v>441</v>
      </c>
      <c r="I27" s="13" t="s">
        <v>159</v>
      </c>
      <c r="J27" s="13"/>
      <c r="K27" s="11" t="str">
        <f>"202,5"</f>
        <v>202,5</v>
      </c>
      <c r="L27" s="12" t="str">
        <f>"133,8547"</f>
        <v>133,8547</v>
      </c>
      <c r="M27" s="11"/>
    </row>
    <row r="29" spans="1:13" ht="15">
      <c r="A29" s="41" t="s">
        <v>160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3">
      <c r="A30" s="5" t="s">
        <v>1635</v>
      </c>
      <c r="B30" s="5" t="s">
        <v>1636</v>
      </c>
      <c r="C30" s="5" t="s">
        <v>954</v>
      </c>
      <c r="D30" s="5" t="str">
        <f>"0,5644"</f>
        <v>0,5644</v>
      </c>
      <c r="E30" s="5" t="s">
        <v>34</v>
      </c>
      <c r="F30" s="5" t="s">
        <v>35</v>
      </c>
      <c r="G30" s="7" t="s">
        <v>117</v>
      </c>
      <c r="H30" s="7" t="s">
        <v>65</v>
      </c>
      <c r="I30" s="7" t="s">
        <v>66</v>
      </c>
      <c r="J30" s="6"/>
      <c r="K30" s="5" t="str">
        <f>"275,0"</f>
        <v>275,0</v>
      </c>
      <c r="L30" s="7" t="str">
        <f>"156,7621"</f>
        <v>156,7621</v>
      </c>
      <c r="M30" s="5" t="s">
        <v>1637</v>
      </c>
    </row>
    <row r="32" spans="1:13" ht="15">
      <c r="E32" s="17" t="s">
        <v>166</v>
      </c>
    </row>
    <row r="33" spans="1:5" ht="15">
      <c r="E33" s="17" t="s">
        <v>167</v>
      </c>
    </row>
    <row r="34" spans="1:5" ht="15">
      <c r="E34" s="17" t="s">
        <v>168</v>
      </c>
    </row>
    <row r="35" spans="1:5" ht="15">
      <c r="E35" s="17" t="s">
        <v>169</v>
      </c>
    </row>
    <row r="36" spans="1:5" ht="15">
      <c r="E36" s="17" t="s">
        <v>169</v>
      </c>
    </row>
    <row r="37" spans="1:5" ht="15">
      <c r="E37" s="17" t="s">
        <v>170</v>
      </c>
    </row>
    <row r="38" spans="1:5" ht="15">
      <c r="E38" s="17"/>
    </row>
    <row r="40" spans="1:5" ht="18">
      <c r="A40" s="18" t="s">
        <v>171</v>
      </c>
      <c r="B40" s="18"/>
    </row>
    <row r="41" spans="1:5" ht="15">
      <c r="A41" s="19" t="s">
        <v>172</v>
      </c>
      <c r="B41" s="19"/>
    </row>
    <row r="42" spans="1:5" ht="14.25">
      <c r="A42" s="21"/>
      <c r="B42" s="22" t="s">
        <v>191</v>
      </c>
    </row>
    <row r="43" spans="1:5" ht="15">
      <c r="A43" s="23" t="s">
        <v>174</v>
      </c>
      <c r="B43" s="23" t="s">
        <v>175</v>
      </c>
      <c r="C43" s="23" t="s">
        <v>176</v>
      </c>
      <c r="D43" s="23" t="s">
        <v>177</v>
      </c>
      <c r="E43" s="23" t="s">
        <v>178</v>
      </c>
    </row>
    <row r="44" spans="1:5">
      <c r="A44" s="20" t="s">
        <v>786</v>
      </c>
      <c r="B44" s="4" t="s">
        <v>191</v>
      </c>
      <c r="C44" s="4" t="s">
        <v>180</v>
      </c>
      <c r="D44" s="4" t="s">
        <v>27</v>
      </c>
      <c r="E44" s="24" t="s">
        <v>1638</v>
      </c>
    </row>
    <row r="47" spans="1:5" ht="15">
      <c r="A47" s="19" t="s">
        <v>183</v>
      </c>
      <c r="B47" s="19"/>
    </row>
    <row r="48" spans="1:5" ht="14.25">
      <c r="A48" s="21"/>
      <c r="B48" s="22" t="s">
        <v>184</v>
      </c>
    </row>
    <row r="49" spans="1:5" ht="15">
      <c r="A49" s="23" t="s">
        <v>174</v>
      </c>
      <c r="B49" s="23" t="s">
        <v>175</v>
      </c>
      <c r="C49" s="23" t="s">
        <v>176</v>
      </c>
      <c r="D49" s="23" t="s">
        <v>177</v>
      </c>
      <c r="E49" s="23" t="s">
        <v>178</v>
      </c>
    </row>
    <row r="50" spans="1:5">
      <c r="A50" s="20" t="s">
        <v>1590</v>
      </c>
      <c r="B50" s="4" t="s">
        <v>185</v>
      </c>
      <c r="C50" s="4" t="s">
        <v>200</v>
      </c>
      <c r="D50" s="4" t="s">
        <v>107</v>
      </c>
      <c r="E50" s="24" t="s">
        <v>1639</v>
      </c>
    </row>
    <row r="52" spans="1:5" ht="14.25">
      <c r="A52" s="21"/>
      <c r="B52" s="22" t="s">
        <v>191</v>
      </c>
    </row>
    <row r="53" spans="1:5" ht="15">
      <c r="A53" s="23" t="s">
        <v>174</v>
      </c>
      <c r="B53" s="23" t="s">
        <v>175</v>
      </c>
      <c r="C53" s="23" t="s">
        <v>176</v>
      </c>
      <c r="D53" s="23" t="s">
        <v>177</v>
      </c>
      <c r="E53" s="23" t="s">
        <v>178</v>
      </c>
    </row>
    <row r="54" spans="1:5">
      <c r="A54" s="20" t="s">
        <v>1607</v>
      </c>
      <c r="B54" s="4" t="s">
        <v>191</v>
      </c>
      <c r="C54" s="4" t="s">
        <v>21</v>
      </c>
      <c r="D54" s="4" t="s">
        <v>323</v>
      </c>
      <c r="E54" s="24" t="s">
        <v>1640</v>
      </c>
    </row>
    <row r="55" spans="1:5">
      <c r="A55" s="20" t="s">
        <v>1594</v>
      </c>
      <c r="B55" s="4" t="s">
        <v>191</v>
      </c>
      <c r="C55" s="4" t="s">
        <v>52</v>
      </c>
      <c r="D55" s="4" t="s">
        <v>325</v>
      </c>
      <c r="E55" s="24" t="s">
        <v>1641</v>
      </c>
    </row>
    <row r="56" spans="1:5">
      <c r="A56" s="20" t="s">
        <v>1614</v>
      </c>
      <c r="B56" s="4" t="s">
        <v>191</v>
      </c>
      <c r="C56" s="4" t="s">
        <v>192</v>
      </c>
      <c r="D56" s="4" t="s">
        <v>285</v>
      </c>
      <c r="E56" s="24" t="s">
        <v>1642</v>
      </c>
    </row>
    <row r="57" spans="1:5">
      <c r="A57" s="20" t="s">
        <v>1598</v>
      </c>
      <c r="B57" s="4" t="s">
        <v>191</v>
      </c>
      <c r="C57" s="4" t="s">
        <v>52</v>
      </c>
      <c r="D57" s="4" t="s">
        <v>117</v>
      </c>
      <c r="E57" s="24" t="s">
        <v>1643</v>
      </c>
    </row>
    <row r="58" spans="1:5">
      <c r="A58" s="20" t="s">
        <v>1617</v>
      </c>
      <c r="B58" s="4" t="s">
        <v>191</v>
      </c>
      <c r="C58" s="4" t="s">
        <v>192</v>
      </c>
      <c r="D58" s="4" t="s">
        <v>92</v>
      </c>
      <c r="E58" s="24" t="s">
        <v>1644</v>
      </c>
    </row>
    <row r="60" spans="1:5" ht="14.25">
      <c r="A60" s="21"/>
      <c r="B60" s="22" t="s">
        <v>173</v>
      </c>
    </row>
    <row r="61" spans="1:5" ht="15">
      <c r="A61" s="23" t="s">
        <v>174</v>
      </c>
      <c r="B61" s="23" t="s">
        <v>175</v>
      </c>
      <c r="C61" s="23" t="s">
        <v>176</v>
      </c>
      <c r="D61" s="23" t="s">
        <v>177</v>
      </c>
      <c r="E61" s="23" t="s">
        <v>178</v>
      </c>
    </row>
    <row r="62" spans="1:5">
      <c r="A62" s="20" t="s">
        <v>1622</v>
      </c>
      <c r="B62" s="4" t="s">
        <v>217</v>
      </c>
      <c r="C62" s="4" t="s">
        <v>192</v>
      </c>
      <c r="D62" s="4" t="s">
        <v>1625</v>
      </c>
      <c r="E62" s="24" t="s">
        <v>1645</v>
      </c>
    </row>
    <row r="63" spans="1:5">
      <c r="A63" s="20" t="s">
        <v>917</v>
      </c>
      <c r="B63" s="4" t="s">
        <v>179</v>
      </c>
      <c r="C63" s="4" t="s">
        <v>192</v>
      </c>
      <c r="D63" s="4" t="s">
        <v>92</v>
      </c>
      <c r="E63" s="24" t="s">
        <v>1646</v>
      </c>
    </row>
    <row r="64" spans="1:5">
      <c r="A64" s="20" t="s">
        <v>1626</v>
      </c>
      <c r="B64" s="4" t="s">
        <v>217</v>
      </c>
      <c r="C64" s="4" t="s">
        <v>192</v>
      </c>
      <c r="D64" s="4" t="s">
        <v>42</v>
      </c>
      <c r="E64" s="24" t="s">
        <v>1647</v>
      </c>
    </row>
    <row r="65" spans="1:5">
      <c r="A65" s="20" t="s">
        <v>1634</v>
      </c>
      <c r="B65" s="4" t="s">
        <v>217</v>
      </c>
      <c r="C65" s="4" t="s">
        <v>49</v>
      </c>
      <c r="D65" s="4" t="s">
        <v>66</v>
      </c>
      <c r="E65" s="24" t="s">
        <v>1648</v>
      </c>
    </row>
    <row r="66" spans="1:5">
      <c r="A66" s="20" t="s">
        <v>1630</v>
      </c>
      <c r="B66" s="4" t="s">
        <v>179</v>
      </c>
      <c r="C66" s="4" t="s">
        <v>192</v>
      </c>
      <c r="D66" s="4" t="s">
        <v>441</v>
      </c>
      <c r="E66" s="24" t="s">
        <v>1649</v>
      </c>
    </row>
    <row r="67" spans="1:5">
      <c r="A67" s="20" t="s">
        <v>1604</v>
      </c>
      <c r="B67" s="4" t="s">
        <v>217</v>
      </c>
      <c r="C67" s="4" t="s">
        <v>52</v>
      </c>
      <c r="D67" s="4" t="s">
        <v>55</v>
      </c>
      <c r="E67" s="24" t="s">
        <v>1650</v>
      </c>
    </row>
  </sheetData>
  <mergeCells count="17">
    <mergeCell ref="A17:L17"/>
    <mergeCell ref="A21:L21"/>
    <mergeCell ref="A29:L29"/>
    <mergeCell ref="K3:K4"/>
    <mergeCell ref="L3:L4"/>
    <mergeCell ref="M3:M4"/>
    <mergeCell ref="A5:L5"/>
    <mergeCell ref="A8:L8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WPF PRO Элита ПЛ классик.</vt:lpstr>
      <vt:lpstr>WPF PRO ПЛ безэк.</vt:lpstr>
      <vt:lpstr>WPF PRO ПЛ классик.</vt:lpstr>
      <vt:lpstr>WPF PRO ПЛ в 1-сл. эк.</vt:lpstr>
      <vt:lpstr>WPF PRO ПЛ в мн сл. эк.</vt:lpstr>
      <vt:lpstr>WPF PRO Жим безэк.</vt:lpstr>
      <vt:lpstr>WPF PRO Жим в 1-сл. эк.</vt:lpstr>
      <vt:lpstr>WPF PRO Жим в мн сл. эк.</vt:lpstr>
      <vt:lpstr>WPF PRO Тяга безэк.</vt:lpstr>
      <vt:lpstr>WPF PRO НЖ 1 вес</vt:lpstr>
      <vt:lpstr>WPF AM ПЛ безэк.</vt:lpstr>
      <vt:lpstr>WPF AM ПЛ классик.</vt:lpstr>
      <vt:lpstr>WPF AM ПЛ в 1-сл. эк.</vt:lpstr>
      <vt:lpstr>WPF AM Жим безэк.</vt:lpstr>
      <vt:lpstr>WPF AM Жим в 1-сл. эк.</vt:lpstr>
      <vt:lpstr>WPF AM Тяга безэк.</vt:lpstr>
      <vt:lpstr>WPF AM Тяга в 1-сл. эк.</vt:lpstr>
      <vt:lpstr>WPF AM НЖ 1 вес</vt:lpstr>
      <vt:lpstr>WPF AM НЖ 1_2 вес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Оля</cp:lastModifiedBy>
  <cp:lastPrinted>2015-07-16T19:10:53Z</cp:lastPrinted>
  <dcterms:created xsi:type="dcterms:W3CDTF">2002-06-16T13:36:44Z</dcterms:created>
  <dcterms:modified xsi:type="dcterms:W3CDTF">2019-03-22T20:21:10Z</dcterms:modified>
</cp:coreProperties>
</file>