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5" windowWidth="11340" windowHeight="9690" tabRatio="694" activeTab="5"/>
  </bookViews>
  <sheets>
    <sheet name="WPF c ДК жим безэк." sheetId="6" r:id="rId1"/>
    <sheet name="WPF жим безэк." sheetId="5" r:id="rId2"/>
    <sheet name="WPF жим в одн сл. эк." sheetId="7" r:id="rId3"/>
    <sheet name="WPF НЖ 1_2 вес д.к." sheetId="8" r:id="rId4"/>
    <sheet name="WPF НЖ 1 вес д.к." sheetId="9" r:id="rId5"/>
    <sheet name="WPF НЖ 1 вес" sheetId="10" r:id="rId6"/>
  </sheets>
  <definedNames>
    <definedName name="_FilterDatabase" localSheetId="1" hidden="1">'WPF жим безэк.'!$A$1:$K$3</definedName>
    <definedName name="_FilterDatabase" localSheetId="5" hidden="1">'WPF НЖ 1 вес'!$A$1:$I$3</definedName>
  </definedNames>
  <calcPr calcId="125725" refMode="R1C1"/>
</workbook>
</file>

<file path=xl/calcChain.xml><?xml version="1.0" encoding="utf-8"?>
<calcChain xmlns="http://schemas.openxmlformats.org/spreadsheetml/2006/main">
  <c r="J14" i="10"/>
  <c r="I14"/>
  <c r="D14"/>
  <c r="J11"/>
  <c r="I11"/>
  <c r="D11"/>
  <c r="J10"/>
  <c r="I10"/>
  <c r="D10"/>
  <c r="J9"/>
  <c r="I9"/>
  <c r="D9"/>
  <c r="J6"/>
  <c r="I6"/>
  <c r="D6"/>
  <c r="J16" i="9"/>
  <c r="I16"/>
  <c r="D16"/>
  <c r="J13"/>
  <c r="I13"/>
  <c r="D13"/>
  <c r="J12"/>
  <c r="I12"/>
  <c r="D12"/>
  <c r="J9"/>
  <c r="I9"/>
  <c r="D9"/>
  <c r="J6"/>
  <c r="I6"/>
  <c r="D6"/>
  <c r="J6" i="8"/>
  <c r="I6"/>
  <c r="D6"/>
  <c r="L13" i="7"/>
  <c r="K13"/>
  <c r="D13"/>
  <c r="L10"/>
  <c r="K10"/>
  <c r="D10"/>
  <c r="L7"/>
  <c r="K7"/>
  <c r="D7"/>
  <c r="L6"/>
  <c r="K6"/>
  <c r="D6"/>
  <c r="L65" i="6"/>
  <c r="K65"/>
  <c r="D65"/>
  <c r="L62"/>
  <c r="K62"/>
  <c r="D62"/>
  <c r="L61"/>
  <c r="K61"/>
  <c r="D61"/>
  <c r="L60"/>
  <c r="K60"/>
  <c r="D60"/>
  <c r="L59"/>
  <c r="K59"/>
  <c r="D59"/>
  <c r="L58"/>
  <c r="K58"/>
  <c r="D58"/>
  <c r="L57"/>
  <c r="K57"/>
  <c r="D57"/>
  <c r="L56"/>
  <c r="K56"/>
  <c r="D56"/>
  <c r="L53"/>
  <c r="K53"/>
  <c r="D53"/>
  <c r="L52"/>
  <c r="K52"/>
  <c r="D52"/>
  <c r="L51"/>
  <c r="K51"/>
  <c r="D51"/>
  <c r="L50"/>
  <c r="K50"/>
  <c r="D50"/>
  <c r="L49"/>
  <c r="K49"/>
  <c r="D49"/>
  <c r="L46"/>
  <c r="K46"/>
  <c r="D46"/>
  <c r="L45"/>
  <c r="K45"/>
  <c r="D45"/>
  <c r="L44"/>
  <c r="K44"/>
  <c r="D44"/>
  <c r="L43"/>
  <c r="K43"/>
  <c r="D43"/>
  <c r="L42"/>
  <c r="K42"/>
  <c r="D42"/>
  <c r="L41"/>
  <c r="K41"/>
  <c r="D41"/>
  <c r="L40"/>
  <c r="K40"/>
  <c r="D40"/>
  <c r="L37"/>
  <c r="K37"/>
  <c r="D37"/>
  <c r="L34"/>
  <c r="K34"/>
  <c r="D34"/>
  <c r="L33"/>
  <c r="K33"/>
  <c r="D33"/>
  <c r="L32"/>
  <c r="K32"/>
  <c r="D32"/>
  <c r="L29"/>
  <c r="K29"/>
  <c r="D29"/>
  <c r="L28"/>
  <c r="K28"/>
  <c r="D28"/>
  <c r="L27"/>
  <c r="K27"/>
  <c r="D27"/>
  <c r="L24"/>
  <c r="K24"/>
  <c r="D24"/>
  <c r="L21"/>
  <c r="K21"/>
  <c r="D21"/>
  <c r="L18"/>
  <c r="K18"/>
  <c r="D18"/>
  <c r="L17"/>
  <c r="K17"/>
  <c r="D17"/>
  <c r="L14"/>
  <c r="K14"/>
  <c r="D14"/>
  <c r="L11"/>
  <c r="K11"/>
  <c r="D11"/>
  <c r="L10"/>
  <c r="K10"/>
  <c r="D10"/>
  <c r="L9"/>
  <c r="K9"/>
  <c r="D9"/>
  <c r="L6"/>
  <c r="K6"/>
  <c r="D6"/>
  <c r="L21" i="5"/>
  <c r="K21"/>
  <c r="D21"/>
  <c r="L18"/>
  <c r="K18"/>
  <c r="D18"/>
  <c r="L17"/>
  <c r="K17"/>
  <c r="D17"/>
  <c r="L14"/>
  <c r="K14"/>
  <c r="D14"/>
  <c r="L13"/>
  <c r="K13"/>
  <c r="D13"/>
  <c r="L10"/>
  <c r="K10"/>
  <c r="D10"/>
  <c r="L9"/>
  <c r="K9"/>
  <c r="D9"/>
  <c r="L6"/>
  <c r="K6"/>
  <c r="D6"/>
</calcChain>
</file>

<file path=xl/sharedStrings.xml><?xml version="1.0" encoding="utf-8"?>
<sst xmlns="http://schemas.openxmlformats.org/spreadsheetml/2006/main" count="1066" uniqueCount="446">
  <si>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</si>
  <si>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</si>
  <si>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</si>
  <si>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</si>
  <si>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</si>
  <si>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</si>
  <si>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</si>
  <si>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</si>
  <si>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Wilks</t>
  </si>
  <si>
    <t>Жим лёжа</t>
  </si>
  <si>
    <t>ВЕСОВАЯ КАТЕГОРИЯ   67.5</t>
  </si>
  <si>
    <t>Соколова Ольга</t>
  </si>
  <si>
    <t>1. Соколова Ольга</t>
  </si>
  <si>
    <t>Открытая (05.10.1981)/37</t>
  </si>
  <si>
    <t>65,70</t>
  </si>
  <si>
    <t xml:space="preserve">лично </t>
  </si>
  <si>
    <t xml:space="preserve">Москва </t>
  </si>
  <si>
    <t>82,5</t>
  </si>
  <si>
    <t>87,5</t>
  </si>
  <si>
    <t xml:space="preserve"> </t>
  </si>
  <si>
    <t>ВЕСОВАЯ КАТЕГОРИЯ   90</t>
  </si>
  <si>
    <t>Сосунов Антон</t>
  </si>
  <si>
    <t>1. Сосунов Антон</t>
  </si>
  <si>
    <t>Открытая (14.12.1980)/38</t>
  </si>
  <si>
    <t>86,80</t>
  </si>
  <si>
    <t>140,0</t>
  </si>
  <si>
    <t>145,0</t>
  </si>
  <si>
    <t>147,5</t>
  </si>
  <si>
    <t>Червенко Михаил</t>
  </si>
  <si>
    <t>1. Червенко Михаил</t>
  </si>
  <si>
    <t>Ветераны 55 - 59 (13.07.1961)/57</t>
  </si>
  <si>
    <t>83,00</t>
  </si>
  <si>
    <t>80,0</t>
  </si>
  <si>
    <t>85,0</t>
  </si>
  <si>
    <t>ВЕСОВАЯ КАТЕГОРИЯ   100</t>
  </si>
  <si>
    <t>Снежков Илья</t>
  </si>
  <si>
    <t>1. Снежков Илья</t>
  </si>
  <si>
    <t>Открытая (06.12.1989)/29</t>
  </si>
  <si>
    <t>95,80</t>
  </si>
  <si>
    <t>190,0</t>
  </si>
  <si>
    <t>195,0</t>
  </si>
  <si>
    <t>200,0</t>
  </si>
  <si>
    <t>Матюшин Денис</t>
  </si>
  <si>
    <t>2. Матюшин Денис</t>
  </si>
  <si>
    <t>Открытая (10.05.1984)/34</t>
  </si>
  <si>
    <t>100,00</t>
  </si>
  <si>
    <t>170,0</t>
  </si>
  <si>
    <t>177,5</t>
  </si>
  <si>
    <t>180,0</t>
  </si>
  <si>
    <t>ВЕСОВАЯ КАТЕГОРИЯ   110</t>
  </si>
  <si>
    <t>Упоров Егор</t>
  </si>
  <si>
    <t>1. Упоров Егор</t>
  </si>
  <si>
    <t>Открытая (01.03.1988)/31</t>
  </si>
  <si>
    <t>108,30</t>
  </si>
  <si>
    <t xml:space="preserve">Зеленоград/Московская область </t>
  </si>
  <si>
    <t>Якушев Олег</t>
  </si>
  <si>
    <t>2. Якушев Олег</t>
  </si>
  <si>
    <t>Открытая (28.07.1989)/29</t>
  </si>
  <si>
    <t>102,50</t>
  </si>
  <si>
    <t>165,0</t>
  </si>
  <si>
    <t>172,5</t>
  </si>
  <si>
    <t>ВЕСОВАЯ КАТЕГОРИЯ   125</t>
  </si>
  <si>
    <t>Беляев Владимир</t>
  </si>
  <si>
    <t>1. Беляев Владимир</t>
  </si>
  <si>
    <t>Ветераны 70 - 74 (14.07.1946)/72</t>
  </si>
  <si>
    <t>114,80</t>
  </si>
  <si>
    <t>90,0</t>
  </si>
  <si>
    <t>100,0</t>
  </si>
  <si>
    <t>105,0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</si>
  <si>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</si>
  <si>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</si>
  <si>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</si>
  <si>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</si>
  <si>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</si>
  <si>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</si>
  <si>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</si>
  <si>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</si>
  <si>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</si>
  <si>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</si>
  <si>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</si>
  <si>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</si>
  <si>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</si>
  <si>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</si>
  <si>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>91,0700</t>
  </si>
  <si>
    <t xml:space="preserve">Мужчины </t>
  </si>
  <si>
    <t>100</t>
  </si>
  <si>
    <t>123,9400</t>
  </si>
  <si>
    <t>110</t>
  </si>
  <si>
    <t>115,3230</t>
  </si>
  <si>
    <t>108,0265</t>
  </si>
  <si>
    <t>103,9830</t>
  </si>
  <si>
    <t>90</t>
  </si>
  <si>
    <t>94,3515</t>
  </si>
  <si>
    <t xml:space="preserve">Ветераны </t>
  </si>
  <si>
    <t xml:space="preserve">Ветераны 70 - 74 </t>
  </si>
  <si>
    <t>125</t>
  </si>
  <si>
    <t>104,8607</t>
  </si>
  <si>
    <t xml:space="preserve">Ветераны 55 - 59 </t>
  </si>
  <si>
    <t>71,9432</t>
  </si>
  <si>
    <t>Результат</t>
  </si>
  <si>
    <t>ВЕСОВАЯ КАТЕГОРИЯ   52</t>
  </si>
  <si>
    <t>Гарифуллина Гульнара</t>
  </si>
  <si>
    <t>1. Гарифуллина Гульнара</t>
  </si>
  <si>
    <t>Открытая (20.03.1975)/44</t>
  </si>
  <si>
    <t>50,70</t>
  </si>
  <si>
    <t xml:space="preserve">Щёлково/Московская область </t>
  </si>
  <si>
    <t>60,0</t>
  </si>
  <si>
    <t>62,5</t>
  </si>
  <si>
    <t>ВЕСОВАЯ КАТЕГОРИЯ   56</t>
  </si>
  <si>
    <t>Коршунова Анастасия</t>
  </si>
  <si>
    <t>1. Коршунова Анастасия</t>
  </si>
  <si>
    <t>Девушки 16 - 19 (29.12.2002)/16</t>
  </si>
  <si>
    <t>54,40</t>
  </si>
  <si>
    <t>50,0</t>
  </si>
  <si>
    <t>Кукушкина Анна</t>
  </si>
  <si>
    <t>1. Кукушкина Анна</t>
  </si>
  <si>
    <t>Юниорки 20 - 23 (20.12.1995)/23</t>
  </si>
  <si>
    <t>54,80</t>
  </si>
  <si>
    <t>45,0</t>
  </si>
  <si>
    <t>47,5</t>
  </si>
  <si>
    <t>Сенькина Лина</t>
  </si>
  <si>
    <t>2. Сенькина Лина</t>
  </si>
  <si>
    <t>Юниорки 20 - 23 (28.04.1995)/23</t>
  </si>
  <si>
    <t>54,60</t>
  </si>
  <si>
    <t>42,5</t>
  </si>
  <si>
    <t>Межевикина Ирина</t>
  </si>
  <si>
    <t>1. Межевикина Ирина</t>
  </si>
  <si>
    <t>Ветераны 40 - 44 (06.11.1977)/41</t>
  </si>
  <si>
    <t>66,50</t>
  </si>
  <si>
    <t>37,5</t>
  </si>
  <si>
    <t>40,0</t>
  </si>
  <si>
    <t>ВЕСОВАЯ КАТЕГОРИЯ   75</t>
  </si>
  <si>
    <t>Викторова Наталья</t>
  </si>
  <si>
    <t>1. Викторова Наталья</t>
  </si>
  <si>
    <t>Открытая (29.12.1985)/33</t>
  </si>
  <si>
    <t>70,20</t>
  </si>
  <si>
    <t xml:space="preserve">Краснозаводск/Московская область </t>
  </si>
  <si>
    <t>Мишина Ирина</t>
  </si>
  <si>
    <t>2. Мишина Ирина</t>
  </si>
  <si>
    <t>Открытая (08.08.1979)/39</t>
  </si>
  <si>
    <t>73,70</t>
  </si>
  <si>
    <t>55,0</t>
  </si>
  <si>
    <t>57,5</t>
  </si>
  <si>
    <t>Лобанов Григорий</t>
  </si>
  <si>
    <t>1. Лобанов Григорий</t>
  </si>
  <si>
    <t>Открытая (23.01.1991)/28</t>
  </si>
  <si>
    <t>53,90</t>
  </si>
  <si>
    <t xml:space="preserve">Балашиха/Московская область </t>
  </si>
  <si>
    <t>92,5</t>
  </si>
  <si>
    <t>ВЕСОВАЯ КАТЕГОРИЯ   60</t>
  </si>
  <si>
    <t>Мешков Даниил</t>
  </si>
  <si>
    <t>1. Мешков Даниил</t>
  </si>
  <si>
    <t>Юноши 16 - 19 (04.04.2003)/15</t>
  </si>
  <si>
    <t>58,70</t>
  </si>
  <si>
    <t>Гумеров Петр</t>
  </si>
  <si>
    <t>1. Гумеров Петр</t>
  </si>
  <si>
    <t>Юноши 16 - 19 (05.01.2002)/17</t>
  </si>
  <si>
    <t>64,20</t>
  </si>
  <si>
    <t>Архаров Егор</t>
  </si>
  <si>
    <t>1. Архаров Егор</t>
  </si>
  <si>
    <t>Юниоры 20 - 23 (24.12.1998)/20</t>
  </si>
  <si>
    <t>66,90</t>
  </si>
  <si>
    <t>110,0</t>
  </si>
  <si>
    <t>Жуков Даниил</t>
  </si>
  <si>
    <t>1. Жуков Даниил</t>
  </si>
  <si>
    <t>Открытая (23.12.1990)/28</t>
  </si>
  <si>
    <t>67,30</t>
  </si>
  <si>
    <t>97,5</t>
  </si>
  <si>
    <t>102,5</t>
  </si>
  <si>
    <t>Ходкин Дмитрий</t>
  </si>
  <si>
    <t>1. Ходкин Дмитрий</t>
  </si>
  <si>
    <t>Юноши 16 - 19 (20.12.2002)/16</t>
  </si>
  <si>
    <t>71,50</t>
  </si>
  <si>
    <t xml:space="preserve">Дедовск/Московская область </t>
  </si>
  <si>
    <t>70,0</t>
  </si>
  <si>
    <t>75,0</t>
  </si>
  <si>
    <t>77,5</t>
  </si>
  <si>
    <t>Пекарский Николай</t>
  </si>
  <si>
    <t>1. Пекарский Николай</t>
  </si>
  <si>
    <t>Открытая (16.12.1989)/29</t>
  </si>
  <si>
    <t>73,10</t>
  </si>
  <si>
    <t>107,5</t>
  </si>
  <si>
    <t>112,5</t>
  </si>
  <si>
    <t>Тарасов Дмитрий</t>
  </si>
  <si>
    <t>2. Тарасов Дмитрий</t>
  </si>
  <si>
    <t>Открытая (25.01.1991)/28</t>
  </si>
  <si>
    <t>68,80</t>
  </si>
  <si>
    <t>95,0</t>
  </si>
  <si>
    <t>ВЕСОВАЯ КАТЕГОРИЯ   82.5</t>
  </si>
  <si>
    <t>Арапов Алексей</t>
  </si>
  <si>
    <t>1. Арапов Алексей</t>
  </si>
  <si>
    <t>Ветераны 45 - 49 (03.06.1969)/49</t>
  </si>
  <si>
    <t>82,00</t>
  </si>
  <si>
    <t>130,0</t>
  </si>
  <si>
    <t>135,0</t>
  </si>
  <si>
    <t>Талдыкин Алексей</t>
  </si>
  <si>
    <t>1. Талдыкин Алексей</t>
  </si>
  <si>
    <t>Открытая (29.03.1980)/38</t>
  </si>
  <si>
    <t>89,10</t>
  </si>
  <si>
    <t xml:space="preserve">Липецк/Липецкая область </t>
  </si>
  <si>
    <t>150,0</t>
  </si>
  <si>
    <t>155,0</t>
  </si>
  <si>
    <t>162,5</t>
  </si>
  <si>
    <t>Гатиатулин Владислав</t>
  </si>
  <si>
    <t>2. Гатиатулин Владислав</t>
  </si>
  <si>
    <t>Открытая (15.02.1988)/31</t>
  </si>
  <si>
    <t>88,60</t>
  </si>
  <si>
    <t>160,0</t>
  </si>
  <si>
    <t>Кабанов Илья</t>
  </si>
  <si>
    <t>3. Кабанов Илья</t>
  </si>
  <si>
    <t>Открытая (03.08.1986)/32</t>
  </si>
  <si>
    <t>87,80</t>
  </si>
  <si>
    <t>Ряховский Сергей</t>
  </si>
  <si>
    <t>4. Ряховский Сергей</t>
  </si>
  <si>
    <t>Открытая (03.04.1982)/36</t>
  </si>
  <si>
    <t>88,50</t>
  </si>
  <si>
    <t xml:space="preserve">Обухово/Московская область </t>
  </si>
  <si>
    <t>Мозгалов Андрей</t>
  </si>
  <si>
    <t>5. Мозгалов Андрей</t>
  </si>
  <si>
    <t>Открытая (30.06.1988)/30</t>
  </si>
  <si>
    <t>-. Сербин Владимир</t>
  </si>
  <si>
    <t>Открытая (30.06.1990)/28</t>
  </si>
  <si>
    <t>83,80</t>
  </si>
  <si>
    <t>120,0</t>
  </si>
  <si>
    <t>Архандеев Владимир</t>
  </si>
  <si>
    <t>1. Архандеев Владимир</t>
  </si>
  <si>
    <t>Ветераны 60 - 64 (26.01.1955)/64</t>
  </si>
  <si>
    <t>86,90</t>
  </si>
  <si>
    <t>115,0</t>
  </si>
  <si>
    <t>Исмоилов Джовидон</t>
  </si>
  <si>
    <t>1. Исмоилов Джовидон</t>
  </si>
  <si>
    <t>Юниоры 20 - 23 (21.07.1998)/20</t>
  </si>
  <si>
    <t>97,90</t>
  </si>
  <si>
    <t>Манаенков Александр</t>
  </si>
  <si>
    <t>1. Манаенков Александр</t>
  </si>
  <si>
    <t>Открытая (19.04.1992)/26</t>
  </si>
  <si>
    <t>94,40</t>
  </si>
  <si>
    <t xml:space="preserve">Красково/Московская область </t>
  </si>
  <si>
    <t>152,5</t>
  </si>
  <si>
    <t>Кривов Александр</t>
  </si>
  <si>
    <t>2. Кривов Александр</t>
  </si>
  <si>
    <t>Открытая (27.06.1988)/30</t>
  </si>
  <si>
    <t>96,20</t>
  </si>
  <si>
    <t xml:space="preserve">Королёв/Московская область </t>
  </si>
  <si>
    <t>127,5</t>
  </si>
  <si>
    <t>142,5</t>
  </si>
  <si>
    <t>Ижеев Артур</t>
  </si>
  <si>
    <t>3. Ижеев Артур</t>
  </si>
  <si>
    <t>Открытая (06.09.1980)/38</t>
  </si>
  <si>
    <t>99,80</t>
  </si>
  <si>
    <t xml:space="preserve">Истра/Московская область </t>
  </si>
  <si>
    <t>Максимов Сергей</t>
  </si>
  <si>
    <t>1. Максимов Сергей</t>
  </si>
  <si>
    <t>Ветераны 40 - 44 (15.09.1975)/43</t>
  </si>
  <si>
    <t>99,40</t>
  </si>
  <si>
    <t>Лещенко Иван</t>
  </si>
  <si>
    <t>1. Лещенко Иван</t>
  </si>
  <si>
    <t>Открытая (10.07.1986)/32</t>
  </si>
  <si>
    <t>106,60</t>
  </si>
  <si>
    <t>185,0</t>
  </si>
  <si>
    <t>187,5</t>
  </si>
  <si>
    <t>Теплый Иван</t>
  </si>
  <si>
    <t>2. Теплый Иван</t>
  </si>
  <si>
    <t>Открытая (27.08.1988)/30</t>
  </si>
  <si>
    <t>109,90</t>
  </si>
  <si>
    <t>175,0</t>
  </si>
  <si>
    <t>Хабаров Артем</t>
  </si>
  <si>
    <t>3. Хабаров Артем</t>
  </si>
  <si>
    <t>Открытая (27.09.1988)/30</t>
  </si>
  <si>
    <t>108,50</t>
  </si>
  <si>
    <t>Коньков Александр</t>
  </si>
  <si>
    <t>4. Коньков Александр</t>
  </si>
  <si>
    <t>Открытая (12.04.1985)/33</t>
  </si>
  <si>
    <t>106,30</t>
  </si>
  <si>
    <t>Ремин Кирилл</t>
  </si>
  <si>
    <t>1. Ремин Кирилл</t>
  </si>
  <si>
    <t>Ветераны 40 - 44 (13.08.1975)/43</t>
  </si>
  <si>
    <t>103,40</t>
  </si>
  <si>
    <t xml:space="preserve">Сергиев Посад/Московская область </t>
  </si>
  <si>
    <t>Кондратьев Валерий</t>
  </si>
  <si>
    <t>1. Кондратьев Валерий</t>
  </si>
  <si>
    <t>Ветераны 55 - 59 (15.01.1964)/55</t>
  </si>
  <si>
    <t>104,40</t>
  </si>
  <si>
    <t>Кожаринов Евгений</t>
  </si>
  <si>
    <t>1. Кожаринов Евгений</t>
  </si>
  <si>
    <t>Ветераны 70 - 74 (04.11.1945)/73</t>
  </si>
  <si>
    <t>105,20</t>
  </si>
  <si>
    <t xml:space="preserve">Воркута/Коми республика </t>
  </si>
  <si>
    <t>132,5</t>
  </si>
  <si>
    <t>Мишин Станислав</t>
  </si>
  <si>
    <t>1. Мишин Станислав</t>
  </si>
  <si>
    <t>Ветераны 40 - 44 (02.11.1978)/40</t>
  </si>
  <si>
    <t>111,70</t>
  </si>
  <si>
    <t xml:space="preserve">Девушки </t>
  </si>
  <si>
    <t xml:space="preserve">Юноши 16 - 19 </t>
  </si>
  <si>
    <t>56</t>
  </si>
  <si>
    <t>60,1800</t>
  </si>
  <si>
    <t xml:space="preserve">Юниорки </t>
  </si>
  <si>
    <t xml:space="preserve">Юниоры 20 - 23 </t>
  </si>
  <si>
    <t>56,8432</t>
  </si>
  <si>
    <t>54,0090</t>
  </si>
  <si>
    <t>52</t>
  </si>
  <si>
    <t>76,2660</t>
  </si>
  <si>
    <t>75</t>
  </si>
  <si>
    <t>59,5740</t>
  </si>
  <si>
    <t>55,2748</t>
  </si>
  <si>
    <t xml:space="preserve">Ветераны 40 - 44 </t>
  </si>
  <si>
    <t>39,0756</t>
  </si>
  <si>
    <t xml:space="preserve">Юноши </t>
  </si>
  <si>
    <t>60</t>
  </si>
  <si>
    <t>78,3270</t>
  </si>
  <si>
    <t>68,2975</t>
  </si>
  <si>
    <t>57,1563</t>
  </si>
  <si>
    <t xml:space="preserve">Юниоры </t>
  </si>
  <si>
    <t>104,3630</t>
  </si>
  <si>
    <t>81,5430</t>
  </si>
  <si>
    <t>109,9825</t>
  </si>
  <si>
    <t>104,2763</t>
  </si>
  <si>
    <t>100,0790</t>
  </si>
  <si>
    <t>99,7580</t>
  </si>
  <si>
    <t>99,2985</t>
  </si>
  <si>
    <t>95,1295</t>
  </si>
  <si>
    <t>94,5600</t>
  </si>
  <si>
    <t>92,2250</t>
  </si>
  <si>
    <t>90,5380</t>
  </si>
  <si>
    <t>88,1505</t>
  </si>
  <si>
    <t>86,9400</t>
  </si>
  <si>
    <t>86,7967</t>
  </si>
  <si>
    <t>81,1545</t>
  </si>
  <si>
    <t>78,0020</t>
  </si>
  <si>
    <t>68,3550</t>
  </si>
  <si>
    <t>68,3235</t>
  </si>
  <si>
    <t>138,9505</t>
  </si>
  <si>
    <t>106,8686</t>
  </si>
  <si>
    <t>105,4440</t>
  </si>
  <si>
    <t>103,7872</t>
  </si>
  <si>
    <t xml:space="preserve">Ветераны 60 - 64 </t>
  </si>
  <si>
    <t>103,7229</t>
  </si>
  <si>
    <t>102,6942</t>
  </si>
  <si>
    <t xml:space="preserve">Ветераны 45 - 49 </t>
  </si>
  <si>
    <t>82.5</t>
  </si>
  <si>
    <t>97,2896</t>
  </si>
  <si>
    <t>Кулаков Владимир</t>
  </si>
  <si>
    <t>1. Кулаков Владимир</t>
  </si>
  <si>
    <t>Открытая (24.12.1955)/63</t>
  </si>
  <si>
    <t>74,30</t>
  </si>
  <si>
    <t>72,5</t>
  </si>
  <si>
    <t>Ветераны 60 - 64 (24.12.1955)/63</t>
  </si>
  <si>
    <t>Невежин Станислав</t>
  </si>
  <si>
    <t>1. Невежин Станислав</t>
  </si>
  <si>
    <t>Открытая (03.03.1993)/26</t>
  </si>
  <si>
    <t>88,90</t>
  </si>
  <si>
    <t>182,5</t>
  </si>
  <si>
    <t>Жёлудев Виталий</t>
  </si>
  <si>
    <t>1. Жёлудев Виталий</t>
  </si>
  <si>
    <t>Открытая (09.02.1985)/34</t>
  </si>
  <si>
    <t>93,40</t>
  </si>
  <si>
    <t>119,1110</t>
  </si>
  <si>
    <t>118,8440</t>
  </si>
  <si>
    <t>60,9705</t>
  </si>
  <si>
    <t>86,6391</t>
  </si>
  <si>
    <t>Открытый Мастерский турнир WPF "X-LINE MASTERS"
WPF c ДК Жим лежа Безэкипировочный
Москва/Москва 24 марта 2019 г.</t>
  </si>
  <si>
    <t>Открытый Мастерский турнир WPF "X-LINE MASTERS"
WPF Жим лежа Безэкипировочный
Москва/Москва 24 марта 2019 г.</t>
  </si>
  <si>
    <t>Открытый Мастерский турнир WPF "X-LINE MASTERS"
WPF Жим лежа в Однослойной экипировке
Москва/Москва 24 марта 2019 г.</t>
  </si>
  <si>
    <t>Открытый Мастерский турнир WPF "X-LINE MASTERS"
WPF Народный жим (1/2 вес) д.к.
Москва/Москва 24 марта 2019 г.</t>
  </si>
  <si>
    <t>Gloss</t>
  </si>
  <si>
    <t>Жим мн. повт.</t>
  </si>
  <si>
    <t>Тоннаж</t>
  </si>
  <si>
    <t>Вес</t>
  </si>
  <si>
    <t>Повторы</t>
  </si>
  <si>
    <t>1. Федюнина Яна</t>
  </si>
  <si>
    <t>Мастера 40 - 49 (15.11.1975)/43</t>
  </si>
  <si>
    <t>65,90</t>
  </si>
  <si>
    <t>35,0</t>
  </si>
  <si>
    <t>34,0</t>
  </si>
  <si>
    <t xml:space="preserve">Мастера </t>
  </si>
  <si>
    <t xml:space="preserve">Gloss </t>
  </si>
  <si>
    <t>Федюнина Яна</t>
  </si>
  <si>
    <t xml:space="preserve">Мастера 40 - 49 </t>
  </si>
  <si>
    <t>1190,0</t>
  </si>
  <si>
    <t>1124,6287</t>
  </si>
  <si>
    <t>Открытый Мастерский турнир WPF "X-LINE MASTERS"
WPF Народный жим (1 вес) д.к.
Москва/Москва 24 марта 2019 г.</t>
  </si>
  <si>
    <t>1. Лазуткин Андрей</t>
  </si>
  <si>
    <t>Мастера 50 - 59 (27.11.1962)/56</t>
  </si>
  <si>
    <t>80,50</t>
  </si>
  <si>
    <t>17,0</t>
  </si>
  <si>
    <t>28,0</t>
  </si>
  <si>
    <t>1. Сабанов Анатолий</t>
  </si>
  <si>
    <t>Открытая (12.11.1989)/29</t>
  </si>
  <si>
    <t>91,50</t>
  </si>
  <si>
    <t>26,0</t>
  </si>
  <si>
    <t>2. Наумов Андрей</t>
  </si>
  <si>
    <t>Открытая (07.10.1981)/37</t>
  </si>
  <si>
    <t>99,20</t>
  </si>
  <si>
    <t>25,0</t>
  </si>
  <si>
    <t>1. Макаров Андрей</t>
  </si>
  <si>
    <t>Открытая (18.09.1979)/39</t>
  </si>
  <si>
    <t>100,60</t>
  </si>
  <si>
    <t>18,0</t>
  </si>
  <si>
    <t>2520,0</t>
  </si>
  <si>
    <t>1550,5560</t>
  </si>
  <si>
    <t>Сабанов Анатолий</t>
  </si>
  <si>
    <t>2405,0</t>
  </si>
  <si>
    <t>1458,3920</t>
  </si>
  <si>
    <t>Наумов Андрей</t>
  </si>
  <si>
    <t>2500,0</t>
  </si>
  <si>
    <t>1458,2500</t>
  </si>
  <si>
    <t>Макаров Андрей</t>
  </si>
  <si>
    <t>1845,0</t>
  </si>
  <si>
    <t>1069,8233</t>
  </si>
  <si>
    <t>Лазуткин Андрей</t>
  </si>
  <si>
    <t xml:space="preserve">Мастера 50 - 59 </t>
  </si>
  <si>
    <t>1402,5</t>
  </si>
  <si>
    <t>1144,7097</t>
  </si>
  <si>
    <t>Открытый Мастерский турнир WPF "X-LINE MASTERS"
WPF Народный жим (1 вес)
Москва/Москва марта 2019 г.</t>
  </si>
  <si>
    <t>1. Лашин Антон</t>
  </si>
  <si>
    <t>Открытая (03.02.1995)/24</t>
  </si>
  <si>
    <t>77,20</t>
  </si>
  <si>
    <t>16,0</t>
  </si>
  <si>
    <t>1. Прагин Роман</t>
  </si>
  <si>
    <t>Открытая (02.06.1986)/32</t>
  </si>
  <si>
    <t>86,10</t>
  </si>
  <si>
    <t>33,0</t>
  </si>
  <si>
    <t>2. Кругликов Алексей</t>
  </si>
  <si>
    <t>Открытая (02.06.1981)/37</t>
  </si>
  <si>
    <t>83,30</t>
  </si>
  <si>
    <t>27,0</t>
  </si>
  <si>
    <t>3. Галыняк Александр</t>
  </si>
  <si>
    <t>Открытая (28.09.1994)/24</t>
  </si>
  <si>
    <t xml:space="preserve">Железнодорожный/Московская область </t>
  </si>
  <si>
    <t>1. Якушев Олег</t>
  </si>
  <si>
    <t>23,0</t>
  </si>
  <si>
    <t>Прагин Роман</t>
  </si>
  <si>
    <t>2887,5</t>
  </si>
  <si>
    <t>1812,4837</t>
  </si>
  <si>
    <t>Кругликов Алексей</t>
  </si>
  <si>
    <t>2295,0</t>
  </si>
  <si>
    <t>1470,2917</t>
  </si>
  <si>
    <t>Галыняк Александр</t>
  </si>
  <si>
    <t>2250,0</t>
  </si>
  <si>
    <t>1389,8250</t>
  </si>
  <si>
    <t>2357,5</t>
  </si>
  <si>
    <t>1357,0948</t>
  </si>
  <si>
    <t>Лашин Антон</t>
  </si>
  <si>
    <t>1240,0</t>
  </si>
  <si>
    <t>836,0700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</si>
</sst>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6"/>
  <sheetViews>
    <sheetView topLeftCell="A46" workbookViewId="0">
      <selection activeCell="K56" sqref="K56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3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33" t="s">
        <v>361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>
      <c r="A3" s="39" t="s">
        <v>0</v>
      </c>
      <c r="B3" s="41" t="s">
        <v>5</v>
      </c>
      <c r="C3" s="41" t="s">
        <v>6</v>
      </c>
      <c r="D3" s="27" t="s">
        <v>8</v>
      </c>
      <c r="E3" s="27" t="s">
        <v>3</v>
      </c>
      <c r="F3" s="27" t="s">
        <v>7</v>
      </c>
      <c r="G3" s="27" t="s">
        <v>9</v>
      </c>
      <c r="H3" s="27"/>
      <c r="I3" s="27"/>
      <c r="J3" s="27"/>
      <c r="K3" s="27" t="s">
        <v>99</v>
      </c>
      <c r="L3" s="27" t="s">
        <v>2</v>
      </c>
      <c r="M3" s="29" t="s">
        <v>1</v>
      </c>
    </row>
    <row r="4" spans="1:13" s="1" customFormat="1" ht="21" customHeight="1" thickBot="1">
      <c r="A4" s="40"/>
      <c r="B4" s="28"/>
      <c r="C4" s="28"/>
      <c r="D4" s="28"/>
      <c r="E4" s="28"/>
      <c r="F4" s="28"/>
      <c r="G4" s="5">
        <v>1</v>
      </c>
      <c r="H4" s="5">
        <v>2</v>
      </c>
      <c r="I4" s="5">
        <v>3</v>
      </c>
      <c r="J4" s="5" t="s">
        <v>4</v>
      </c>
      <c r="K4" s="28"/>
      <c r="L4" s="28"/>
      <c r="M4" s="30"/>
    </row>
    <row r="5" spans="1:13" ht="15">
      <c r="A5" s="31" t="s">
        <v>100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>
      <c r="A6" s="7" t="s">
        <v>102</v>
      </c>
      <c r="B6" s="7" t="s">
        <v>103</v>
      </c>
      <c r="C6" s="7" t="s">
        <v>104</v>
      </c>
      <c r="D6" s="7" t="str">
        <f>"1,2711"</f>
        <v>1,2711</v>
      </c>
      <c r="E6" s="7" t="s">
        <v>15</v>
      </c>
      <c r="F6" s="7" t="s">
        <v>105</v>
      </c>
      <c r="G6" s="9" t="s">
        <v>106</v>
      </c>
      <c r="H6" s="8" t="s">
        <v>107</v>
      </c>
      <c r="I6" s="8" t="s">
        <v>107</v>
      </c>
      <c r="J6" s="8"/>
      <c r="K6" s="7" t="str">
        <f>"60,0"</f>
        <v>60,0</v>
      </c>
      <c r="L6" s="9" t="str">
        <f>"76,2660"</f>
        <v>76,2660</v>
      </c>
      <c r="M6" s="7" t="s">
        <v>19</v>
      </c>
    </row>
    <row r="8" spans="1:13" ht="15">
      <c r="A8" s="32" t="s">
        <v>108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>
      <c r="A9" s="10" t="s">
        <v>110</v>
      </c>
      <c r="B9" s="10" t="s">
        <v>111</v>
      </c>
      <c r="C9" s="10" t="s">
        <v>112</v>
      </c>
      <c r="D9" s="10" t="str">
        <f>"1,2036"</f>
        <v>1,2036</v>
      </c>
      <c r="E9" s="10" t="s">
        <v>15</v>
      </c>
      <c r="F9" s="10" t="s">
        <v>16</v>
      </c>
      <c r="G9" s="11" t="s">
        <v>113</v>
      </c>
      <c r="H9" s="11" t="s">
        <v>113</v>
      </c>
      <c r="I9" s="12" t="s">
        <v>113</v>
      </c>
      <c r="J9" s="11"/>
      <c r="K9" s="10" t="str">
        <f>"50,0"</f>
        <v>50,0</v>
      </c>
      <c r="L9" s="12" t="str">
        <f>"60,1800"</f>
        <v>60,1800</v>
      </c>
      <c r="M9" s="10" t="s">
        <v>19</v>
      </c>
    </row>
    <row r="10" spans="1:13">
      <c r="A10" s="24" t="s">
        <v>115</v>
      </c>
      <c r="B10" s="24" t="s">
        <v>116</v>
      </c>
      <c r="C10" s="24" t="s">
        <v>117</v>
      </c>
      <c r="D10" s="24" t="str">
        <f>"1,1967"</f>
        <v>1,1967</v>
      </c>
      <c r="E10" s="24" t="s">
        <v>15</v>
      </c>
      <c r="F10" s="24" t="s">
        <v>16</v>
      </c>
      <c r="G10" s="26" t="s">
        <v>118</v>
      </c>
      <c r="H10" s="26" t="s">
        <v>119</v>
      </c>
      <c r="I10" s="25" t="s">
        <v>113</v>
      </c>
      <c r="J10" s="25"/>
      <c r="K10" s="24" t="str">
        <f>"47,5"</f>
        <v>47,5</v>
      </c>
      <c r="L10" s="26" t="str">
        <f>"56,8432"</f>
        <v>56,8432</v>
      </c>
      <c r="M10" s="24" t="s">
        <v>19</v>
      </c>
    </row>
    <row r="11" spans="1:13">
      <c r="A11" s="13" t="s">
        <v>121</v>
      </c>
      <c r="B11" s="13" t="s">
        <v>122</v>
      </c>
      <c r="C11" s="13" t="s">
        <v>123</v>
      </c>
      <c r="D11" s="13" t="str">
        <f>"1,2002"</f>
        <v>1,2002</v>
      </c>
      <c r="E11" s="13" t="s">
        <v>15</v>
      </c>
      <c r="F11" s="13" t="s">
        <v>16</v>
      </c>
      <c r="G11" s="15" t="s">
        <v>124</v>
      </c>
      <c r="H11" s="15" t="s">
        <v>118</v>
      </c>
      <c r="I11" s="14" t="s">
        <v>119</v>
      </c>
      <c r="J11" s="14"/>
      <c r="K11" s="13" t="str">
        <f>"45,0"</f>
        <v>45,0</v>
      </c>
      <c r="L11" s="15" t="str">
        <f>"54,0090"</f>
        <v>54,0090</v>
      </c>
      <c r="M11" s="13" t="s">
        <v>19</v>
      </c>
    </row>
    <row r="13" spans="1:13" ht="15">
      <c r="A13" s="32" t="s"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3">
      <c r="A14" s="7" t="s">
        <v>126</v>
      </c>
      <c r="B14" s="7" t="s">
        <v>127</v>
      </c>
      <c r="C14" s="7" t="s">
        <v>128</v>
      </c>
      <c r="D14" s="7" t="str">
        <f>"1,0317"</f>
        <v>1,0317</v>
      </c>
      <c r="E14" s="7" t="s">
        <v>15</v>
      </c>
      <c r="F14" s="7" t="s">
        <v>16</v>
      </c>
      <c r="G14" s="9" t="s">
        <v>129</v>
      </c>
      <c r="H14" s="8" t="s">
        <v>130</v>
      </c>
      <c r="I14" s="8" t="s">
        <v>130</v>
      </c>
      <c r="J14" s="8"/>
      <c r="K14" s="7" t="str">
        <f>"37,5"</f>
        <v>37,5</v>
      </c>
      <c r="L14" s="9" t="str">
        <f>"39,0756"</f>
        <v>39,0756</v>
      </c>
      <c r="M14" s="7" t="s">
        <v>19</v>
      </c>
    </row>
    <row r="16" spans="1:13" ht="15">
      <c r="A16" s="32" t="s">
        <v>131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>
      <c r="A17" s="10" t="s">
        <v>133</v>
      </c>
      <c r="B17" s="10" t="s">
        <v>134</v>
      </c>
      <c r="C17" s="10" t="s">
        <v>135</v>
      </c>
      <c r="D17" s="10" t="str">
        <f>"0,9929"</f>
        <v>0,9929</v>
      </c>
      <c r="E17" s="10" t="s">
        <v>15</v>
      </c>
      <c r="F17" s="10" t="s">
        <v>136</v>
      </c>
      <c r="G17" s="12" t="s">
        <v>106</v>
      </c>
      <c r="H17" s="11" t="s">
        <v>107</v>
      </c>
      <c r="I17" s="11" t="s">
        <v>107</v>
      </c>
      <c r="J17" s="11"/>
      <c r="K17" s="10" t="str">
        <f>"60,0"</f>
        <v>60,0</v>
      </c>
      <c r="L17" s="12" t="str">
        <f>"59,5740"</f>
        <v>59,5740</v>
      </c>
      <c r="M17" s="10" t="s">
        <v>19</v>
      </c>
    </row>
    <row r="18" spans="1:13">
      <c r="A18" s="13" t="s">
        <v>138</v>
      </c>
      <c r="B18" s="13" t="s">
        <v>139</v>
      </c>
      <c r="C18" s="13" t="s">
        <v>140</v>
      </c>
      <c r="D18" s="13" t="str">
        <f>"0,9613"</f>
        <v>0,9613</v>
      </c>
      <c r="E18" s="13" t="s">
        <v>15</v>
      </c>
      <c r="F18" s="13" t="s">
        <v>16</v>
      </c>
      <c r="G18" s="15" t="s">
        <v>141</v>
      </c>
      <c r="H18" s="15" t="s">
        <v>142</v>
      </c>
      <c r="I18" s="14" t="s">
        <v>106</v>
      </c>
      <c r="J18" s="14"/>
      <c r="K18" s="13" t="str">
        <f>"57,5"</f>
        <v>57,5</v>
      </c>
      <c r="L18" s="15" t="str">
        <f>"55,2748"</f>
        <v>55,2748</v>
      </c>
      <c r="M18" s="13" t="s">
        <v>19</v>
      </c>
    </row>
    <row r="20" spans="1:13" ht="15">
      <c r="A20" s="32" t="s">
        <v>108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3">
      <c r="A21" s="7" t="s">
        <v>144</v>
      </c>
      <c r="B21" s="7" t="s">
        <v>145</v>
      </c>
      <c r="C21" s="7" t="s">
        <v>146</v>
      </c>
      <c r="D21" s="7" t="str">
        <f>"0,9457"</f>
        <v>0,9457</v>
      </c>
      <c r="E21" s="7" t="s">
        <v>15</v>
      </c>
      <c r="F21" s="7" t="s">
        <v>147</v>
      </c>
      <c r="G21" s="9" t="s">
        <v>148</v>
      </c>
      <c r="H21" s="8" t="s">
        <v>68</v>
      </c>
      <c r="I21" s="9" t="s">
        <v>68</v>
      </c>
      <c r="J21" s="8"/>
      <c r="K21" s="7" t="str">
        <f>"105,0"</f>
        <v>105,0</v>
      </c>
      <c r="L21" s="9" t="str">
        <f>"99,2985"</f>
        <v>99,2985</v>
      </c>
      <c r="M21" s="7" t="s">
        <v>19</v>
      </c>
    </row>
    <row r="23" spans="1:13" ht="15">
      <c r="A23" s="32" t="s">
        <v>149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3">
      <c r="A24" s="7" t="s">
        <v>151</v>
      </c>
      <c r="B24" s="7" t="s">
        <v>152</v>
      </c>
      <c r="C24" s="7" t="s">
        <v>153</v>
      </c>
      <c r="D24" s="7" t="str">
        <f>"0,8703"</f>
        <v>0,8703</v>
      </c>
      <c r="E24" s="7" t="s">
        <v>15</v>
      </c>
      <c r="F24" s="7" t="s">
        <v>16</v>
      </c>
      <c r="G24" s="9" t="s">
        <v>33</v>
      </c>
      <c r="H24" s="8" t="s">
        <v>66</v>
      </c>
      <c r="I24" s="9" t="s">
        <v>66</v>
      </c>
      <c r="J24" s="8"/>
      <c r="K24" s="7" t="str">
        <f>"90,0"</f>
        <v>90,0</v>
      </c>
      <c r="L24" s="9" t="str">
        <f>"78,3270"</f>
        <v>78,3270</v>
      </c>
      <c r="M24" s="7" t="s">
        <v>19</v>
      </c>
    </row>
    <row r="26" spans="1:13" ht="15">
      <c r="A26" s="32" t="s">
        <v>10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3">
      <c r="A27" s="10" t="s">
        <v>155</v>
      </c>
      <c r="B27" s="10" t="s">
        <v>156</v>
      </c>
      <c r="C27" s="10" t="s">
        <v>157</v>
      </c>
      <c r="D27" s="10" t="str">
        <f>"0,8035"</f>
        <v>0,8035</v>
      </c>
      <c r="E27" s="10" t="s">
        <v>15</v>
      </c>
      <c r="F27" s="10" t="s">
        <v>16</v>
      </c>
      <c r="G27" s="12" t="s">
        <v>32</v>
      </c>
      <c r="H27" s="12" t="s">
        <v>33</v>
      </c>
      <c r="I27" s="11" t="s">
        <v>66</v>
      </c>
      <c r="J27" s="11"/>
      <c r="K27" s="10" t="str">
        <f>"85,0"</f>
        <v>85,0</v>
      </c>
      <c r="L27" s="12" t="str">
        <f>"68,2975"</f>
        <v>68,2975</v>
      </c>
      <c r="M27" s="10" t="s">
        <v>19</v>
      </c>
    </row>
    <row r="28" spans="1:13">
      <c r="A28" s="24" t="s">
        <v>159</v>
      </c>
      <c r="B28" s="24" t="s">
        <v>160</v>
      </c>
      <c r="C28" s="24" t="s">
        <v>161</v>
      </c>
      <c r="D28" s="24" t="str">
        <f>"0,7766"</f>
        <v>0,7766</v>
      </c>
      <c r="E28" s="24" t="s">
        <v>15</v>
      </c>
      <c r="F28" s="24" t="s">
        <v>16</v>
      </c>
      <c r="G28" s="26" t="s">
        <v>67</v>
      </c>
      <c r="H28" s="26" t="s">
        <v>68</v>
      </c>
      <c r="I28" s="25" t="s">
        <v>162</v>
      </c>
      <c r="J28" s="25"/>
      <c r="K28" s="24" t="str">
        <f>"105,0"</f>
        <v>105,0</v>
      </c>
      <c r="L28" s="26" t="str">
        <f>"81,5430"</f>
        <v>81,5430</v>
      </c>
      <c r="M28" s="24" t="s">
        <v>19</v>
      </c>
    </row>
    <row r="29" spans="1:13">
      <c r="A29" s="13" t="s">
        <v>164</v>
      </c>
      <c r="B29" s="13" t="s">
        <v>165</v>
      </c>
      <c r="C29" s="13" t="s">
        <v>166</v>
      </c>
      <c r="D29" s="13" t="str">
        <f>"0,7729"</f>
        <v>0,7729</v>
      </c>
      <c r="E29" s="13" t="s">
        <v>15</v>
      </c>
      <c r="F29" s="13" t="s">
        <v>16</v>
      </c>
      <c r="G29" s="15" t="s">
        <v>167</v>
      </c>
      <c r="H29" s="15" t="s">
        <v>168</v>
      </c>
      <c r="I29" s="15" t="s">
        <v>68</v>
      </c>
      <c r="J29" s="14"/>
      <c r="K29" s="13" t="str">
        <f>"105,0"</f>
        <v>105,0</v>
      </c>
      <c r="L29" s="15" t="str">
        <f>"81,1545"</f>
        <v>81,1545</v>
      </c>
      <c r="M29" s="13" t="s">
        <v>19</v>
      </c>
    </row>
    <row r="31" spans="1:13" ht="15">
      <c r="A31" s="32" t="s">
        <v>131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3">
      <c r="A32" s="10" t="s">
        <v>170</v>
      </c>
      <c r="B32" s="10" t="s">
        <v>171</v>
      </c>
      <c r="C32" s="10" t="s">
        <v>172</v>
      </c>
      <c r="D32" s="10" t="str">
        <f>"0,7375"</f>
        <v>0,7375</v>
      </c>
      <c r="E32" s="10" t="s">
        <v>15</v>
      </c>
      <c r="F32" s="10" t="s">
        <v>173</v>
      </c>
      <c r="G32" s="12" t="s">
        <v>174</v>
      </c>
      <c r="H32" s="12" t="s">
        <v>175</v>
      </c>
      <c r="I32" s="12" t="s">
        <v>176</v>
      </c>
      <c r="J32" s="11"/>
      <c r="K32" s="10" t="str">
        <f>"77,5"</f>
        <v>77,5</v>
      </c>
      <c r="L32" s="12" t="str">
        <f>"57,1563"</f>
        <v>57,1563</v>
      </c>
      <c r="M32" s="10" t="s">
        <v>19</v>
      </c>
    </row>
    <row r="33" spans="1:13">
      <c r="A33" s="24" t="s">
        <v>178</v>
      </c>
      <c r="B33" s="24" t="s">
        <v>179</v>
      </c>
      <c r="C33" s="24" t="s">
        <v>180</v>
      </c>
      <c r="D33" s="24" t="str">
        <f>"0,7256"</f>
        <v>0,7256</v>
      </c>
      <c r="E33" s="24" t="s">
        <v>15</v>
      </c>
      <c r="F33" s="24" t="s">
        <v>16</v>
      </c>
      <c r="G33" s="26" t="s">
        <v>168</v>
      </c>
      <c r="H33" s="26" t="s">
        <v>181</v>
      </c>
      <c r="I33" s="25" t="s">
        <v>182</v>
      </c>
      <c r="J33" s="25"/>
      <c r="K33" s="24" t="str">
        <f>"107,5"</f>
        <v>107,5</v>
      </c>
      <c r="L33" s="26" t="str">
        <f>"78,0020"</f>
        <v>78,0020</v>
      </c>
      <c r="M33" s="24" t="s">
        <v>19</v>
      </c>
    </row>
    <row r="34" spans="1:13">
      <c r="A34" s="13" t="s">
        <v>184</v>
      </c>
      <c r="B34" s="13" t="s">
        <v>185</v>
      </c>
      <c r="C34" s="13" t="s">
        <v>186</v>
      </c>
      <c r="D34" s="13" t="str">
        <f>"0,7595"</f>
        <v>0,7595</v>
      </c>
      <c r="E34" s="13" t="s">
        <v>15</v>
      </c>
      <c r="F34" s="13" t="s">
        <v>16</v>
      </c>
      <c r="G34" s="14" t="s">
        <v>33</v>
      </c>
      <c r="H34" s="15" t="s">
        <v>66</v>
      </c>
      <c r="I34" s="14" t="s">
        <v>187</v>
      </c>
      <c r="J34" s="14"/>
      <c r="K34" s="13" t="str">
        <f>"90,0"</f>
        <v>90,0</v>
      </c>
      <c r="L34" s="15" t="str">
        <f>"68,3550"</f>
        <v>68,3550</v>
      </c>
      <c r="M34" s="13" t="s">
        <v>19</v>
      </c>
    </row>
    <row r="36" spans="1:13" ht="15">
      <c r="A36" s="32" t="s">
        <v>188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3">
      <c r="A37" s="7" t="s">
        <v>190</v>
      </c>
      <c r="B37" s="7" t="s">
        <v>191</v>
      </c>
      <c r="C37" s="7" t="s">
        <v>192</v>
      </c>
      <c r="D37" s="7" t="str">
        <f>"0,6724"</f>
        <v>0,6724</v>
      </c>
      <c r="E37" s="7" t="s">
        <v>15</v>
      </c>
      <c r="F37" s="7" t="s">
        <v>16</v>
      </c>
      <c r="G37" s="8" t="s">
        <v>193</v>
      </c>
      <c r="H37" s="9" t="s">
        <v>193</v>
      </c>
      <c r="I37" s="8" t="s">
        <v>194</v>
      </c>
      <c r="J37" s="8"/>
      <c r="K37" s="7" t="str">
        <f>"130,0"</f>
        <v>130,0</v>
      </c>
      <c r="L37" s="9" t="str">
        <f>"97,2896"</f>
        <v>97,2896</v>
      </c>
      <c r="M37" s="7" t="s">
        <v>19</v>
      </c>
    </row>
    <row r="39" spans="1:13" ht="15">
      <c r="A39" s="32" t="s">
        <v>20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3">
      <c r="A40" s="10" t="s">
        <v>196</v>
      </c>
      <c r="B40" s="10" t="s">
        <v>197</v>
      </c>
      <c r="C40" s="10" t="s">
        <v>198</v>
      </c>
      <c r="D40" s="10" t="str">
        <f>"0,6417"</f>
        <v>0,6417</v>
      </c>
      <c r="E40" s="10" t="s">
        <v>15</v>
      </c>
      <c r="F40" s="10" t="s">
        <v>199</v>
      </c>
      <c r="G40" s="11" t="s">
        <v>200</v>
      </c>
      <c r="H40" s="12" t="s">
        <v>201</v>
      </c>
      <c r="I40" s="12" t="s">
        <v>202</v>
      </c>
      <c r="J40" s="11"/>
      <c r="K40" s="10" t="str">
        <f>"162,5"</f>
        <v>162,5</v>
      </c>
      <c r="L40" s="12" t="str">
        <f>"104,2763"</f>
        <v>104,2763</v>
      </c>
      <c r="M40" s="10" t="s">
        <v>19</v>
      </c>
    </row>
    <row r="41" spans="1:13">
      <c r="A41" s="24" t="s">
        <v>204</v>
      </c>
      <c r="B41" s="24" t="s">
        <v>205</v>
      </c>
      <c r="C41" s="24" t="s">
        <v>206</v>
      </c>
      <c r="D41" s="24" t="str">
        <f>"0,6436"</f>
        <v>0,6436</v>
      </c>
      <c r="E41" s="24" t="s">
        <v>15</v>
      </c>
      <c r="F41" s="24" t="s">
        <v>16</v>
      </c>
      <c r="G41" s="26" t="s">
        <v>26</v>
      </c>
      <c r="H41" s="26" t="s">
        <v>201</v>
      </c>
      <c r="I41" s="25" t="s">
        <v>207</v>
      </c>
      <c r="J41" s="25"/>
      <c r="K41" s="24" t="str">
        <f>"155,0"</f>
        <v>155,0</v>
      </c>
      <c r="L41" s="26" t="str">
        <f>"99,7580"</f>
        <v>99,7580</v>
      </c>
      <c r="M41" s="24" t="s">
        <v>19</v>
      </c>
    </row>
    <row r="42" spans="1:13">
      <c r="A42" s="24" t="s">
        <v>209</v>
      </c>
      <c r="B42" s="24" t="s">
        <v>210</v>
      </c>
      <c r="C42" s="24" t="s">
        <v>211</v>
      </c>
      <c r="D42" s="24" t="str">
        <f>"0,6467"</f>
        <v>0,6467</v>
      </c>
      <c r="E42" s="24" t="s">
        <v>15</v>
      </c>
      <c r="F42" s="24" t="s">
        <v>16</v>
      </c>
      <c r="G42" s="25" t="s">
        <v>193</v>
      </c>
      <c r="H42" s="26" t="s">
        <v>25</v>
      </c>
      <c r="I42" s="25" t="s">
        <v>26</v>
      </c>
      <c r="J42" s="25"/>
      <c r="K42" s="24" t="str">
        <f>"140,0"</f>
        <v>140,0</v>
      </c>
      <c r="L42" s="26" t="str">
        <f>"90,5380"</f>
        <v>90,5380</v>
      </c>
      <c r="M42" s="24" t="s">
        <v>19</v>
      </c>
    </row>
    <row r="43" spans="1:13">
      <c r="A43" s="24" t="s">
        <v>213</v>
      </c>
      <c r="B43" s="24" t="s">
        <v>214</v>
      </c>
      <c r="C43" s="24" t="s">
        <v>215</v>
      </c>
      <c r="D43" s="24" t="str">
        <f>"0,6440"</f>
        <v>0,6440</v>
      </c>
      <c r="E43" s="24" t="s">
        <v>15</v>
      </c>
      <c r="F43" s="24" t="s">
        <v>216</v>
      </c>
      <c r="G43" s="25" t="s">
        <v>194</v>
      </c>
      <c r="H43" s="26" t="s">
        <v>194</v>
      </c>
      <c r="I43" s="25" t="s">
        <v>25</v>
      </c>
      <c r="J43" s="25"/>
      <c r="K43" s="24" t="str">
        <f>"135,0"</f>
        <v>135,0</v>
      </c>
      <c r="L43" s="26" t="str">
        <f>"86,9400"</f>
        <v>86,9400</v>
      </c>
      <c r="M43" s="24" t="s">
        <v>19</v>
      </c>
    </row>
    <row r="44" spans="1:13">
      <c r="A44" s="24" t="s">
        <v>218</v>
      </c>
      <c r="B44" s="24" t="s">
        <v>219</v>
      </c>
      <c r="C44" s="24" t="s">
        <v>24</v>
      </c>
      <c r="D44" s="24" t="str">
        <f>"0,6507"</f>
        <v>0,6507</v>
      </c>
      <c r="E44" s="24" t="s">
        <v>15</v>
      </c>
      <c r="F44" s="24" t="s">
        <v>16</v>
      </c>
      <c r="G44" s="26" t="s">
        <v>148</v>
      </c>
      <c r="H44" s="26" t="s">
        <v>67</v>
      </c>
      <c r="I44" s="26" t="s">
        <v>68</v>
      </c>
      <c r="J44" s="25"/>
      <c r="K44" s="24" t="str">
        <f>"105,0"</f>
        <v>105,0</v>
      </c>
      <c r="L44" s="26" t="str">
        <f>"68,3235"</f>
        <v>68,3235</v>
      </c>
      <c r="M44" s="24" t="s">
        <v>19</v>
      </c>
    </row>
    <row r="45" spans="1:13">
      <c r="A45" s="24" t="s">
        <v>220</v>
      </c>
      <c r="B45" s="24" t="s">
        <v>221</v>
      </c>
      <c r="C45" s="24" t="s">
        <v>222</v>
      </c>
      <c r="D45" s="24" t="str">
        <f>"0,6637"</f>
        <v>0,6637</v>
      </c>
      <c r="E45" s="24" t="s">
        <v>15</v>
      </c>
      <c r="F45" s="24" t="s">
        <v>16</v>
      </c>
      <c r="G45" s="25" t="s">
        <v>223</v>
      </c>
      <c r="H45" s="25" t="s">
        <v>223</v>
      </c>
      <c r="I45" s="25" t="s">
        <v>223</v>
      </c>
      <c r="J45" s="25"/>
      <c r="K45" s="24" t="str">
        <f>"0.00"</f>
        <v>0.00</v>
      </c>
      <c r="L45" s="26" t="str">
        <f>"0,0000"</f>
        <v>0,0000</v>
      </c>
      <c r="M45" s="24" t="s">
        <v>19</v>
      </c>
    </row>
    <row r="46" spans="1:13">
      <c r="A46" s="13" t="s">
        <v>225</v>
      </c>
      <c r="B46" s="13" t="s">
        <v>226</v>
      </c>
      <c r="C46" s="13" t="s">
        <v>227</v>
      </c>
      <c r="D46" s="13" t="str">
        <f>"0,6503"</f>
        <v>0,6503</v>
      </c>
      <c r="E46" s="13" t="s">
        <v>15</v>
      </c>
      <c r="F46" s="13" t="s">
        <v>216</v>
      </c>
      <c r="G46" s="15" t="s">
        <v>67</v>
      </c>
      <c r="H46" s="15" t="s">
        <v>162</v>
      </c>
      <c r="I46" s="14" t="s">
        <v>228</v>
      </c>
      <c r="J46" s="14"/>
      <c r="K46" s="13" t="str">
        <f>"110,0"</f>
        <v>110,0</v>
      </c>
      <c r="L46" s="15" t="str">
        <f>"103,7229"</f>
        <v>103,7229</v>
      </c>
      <c r="M46" s="13" t="s">
        <v>19</v>
      </c>
    </row>
    <row r="48" spans="1:13" ht="15">
      <c r="A48" s="32" t="s">
        <v>34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1:13">
      <c r="A49" s="10" t="s">
        <v>230</v>
      </c>
      <c r="B49" s="10" t="s">
        <v>231</v>
      </c>
      <c r="C49" s="10" t="s">
        <v>232</v>
      </c>
      <c r="D49" s="10" t="str">
        <f>"0,6139"</f>
        <v>0,6139</v>
      </c>
      <c r="E49" s="10" t="s">
        <v>15</v>
      </c>
      <c r="F49" s="10" t="s">
        <v>16</v>
      </c>
      <c r="G49" s="12" t="s">
        <v>59</v>
      </c>
      <c r="H49" s="12" t="s">
        <v>46</v>
      </c>
      <c r="I49" s="11" t="s">
        <v>48</v>
      </c>
      <c r="J49" s="11"/>
      <c r="K49" s="10" t="str">
        <f>"170,0"</f>
        <v>170,0</v>
      </c>
      <c r="L49" s="12" t="str">
        <f>"104,3630"</f>
        <v>104,3630</v>
      </c>
      <c r="M49" s="10" t="s">
        <v>19</v>
      </c>
    </row>
    <row r="50" spans="1:13">
      <c r="A50" s="24" t="s">
        <v>234</v>
      </c>
      <c r="B50" s="24" t="s">
        <v>235</v>
      </c>
      <c r="C50" s="24" t="s">
        <v>236</v>
      </c>
      <c r="D50" s="24" t="str">
        <f>"0,6238"</f>
        <v>0,6238</v>
      </c>
      <c r="E50" s="24" t="s">
        <v>15</v>
      </c>
      <c r="F50" s="24" t="s">
        <v>237</v>
      </c>
      <c r="G50" s="26" t="s">
        <v>27</v>
      </c>
      <c r="H50" s="26" t="s">
        <v>238</v>
      </c>
      <c r="I50" s="25" t="s">
        <v>201</v>
      </c>
      <c r="J50" s="25"/>
      <c r="K50" s="24" t="str">
        <f>"152,5"</f>
        <v>152,5</v>
      </c>
      <c r="L50" s="26" t="str">
        <f>"95,1295"</f>
        <v>95,1295</v>
      </c>
      <c r="M50" s="24" t="s">
        <v>19</v>
      </c>
    </row>
    <row r="51" spans="1:13">
      <c r="A51" s="24" t="s">
        <v>240</v>
      </c>
      <c r="B51" s="24" t="s">
        <v>241</v>
      </c>
      <c r="C51" s="24" t="s">
        <v>242</v>
      </c>
      <c r="D51" s="24" t="str">
        <f>"0,6186"</f>
        <v>0,6186</v>
      </c>
      <c r="E51" s="24" t="s">
        <v>15</v>
      </c>
      <c r="F51" s="24" t="s">
        <v>243</v>
      </c>
      <c r="G51" s="26" t="s">
        <v>244</v>
      </c>
      <c r="H51" s="26" t="s">
        <v>245</v>
      </c>
      <c r="I51" s="25" t="s">
        <v>200</v>
      </c>
      <c r="J51" s="25"/>
      <c r="K51" s="24" t="str">
        <f>"142,5"</f>
        <v>142,5</v>
      </c>
      <c r="L51" s="26" t="str">
        <f>"88,1505"</f>
        <v>88,1505</v>
      </c>
      <c r="M51" s="24" t="s">
        <v>19</v>
      </c>
    </row>
    <row r="52" spans="1:13">
      <c r="A52" s="24" t="s">
        <v>247</v>
      </c>
      <c r="B52" s="24" t="s">
        <v>248</v>
      </c>
      <c r="C52" s="24" t="s">
        <v>249</v>
      </c>
      <c r="D52" s="24" t="str">
        <f>"0,6091"</f>
        <v>0,6091</v>
      </c>
      <c r="E52" s="24" t="s">
        <v>15</v>
      </c>
      <c r="F52" s="24" t="s">
        <v>250</v>
      </c>
      <c r="G52" s="25" t="s">
        <v>244</v>
      </c>
      <c r="H52" s="25" t="s">
        <v>244</v>
      </c>
      <c r="I52" s="26" t="s">
        <v>245</v>
      </c>
      <c r="J52" s="25"/>
      <c r="K52" s="24" t="str">
        <f>"142,5"</f>
        <v>142,5</v>
      </c>
      <c r="L52" s="26" t="str">
        <f>"86,7967"</f>
        <v>86,7967</v>
      </c>
      <c r="M52" s="24" t="s">
        <v>19</v>
      </c>
    </row>
    <row r="53" spans="1:13">
      <c r="A53" s="13" t="s">
        <v>252</v>
      </c>
      <c r="B53" s="13" t="s">
        <v>253</v>
      </c>
      <c r="C53" s="13" t="s">
        <v>254</v>
      </c>
      <c r="D53" s="13" t="str">
        <f>"0,6101"</f>
        <v>0,6101</v>
      </c>
      <c r="E53" s="13" t="s">
        <v>15</v>
      </c>
      <c r="F53" s="13" t="s">
        <v>16</v>
      </c>
      <c r="G53" s="15" t="s">
        <v>201</v>
      </c>
      <c r="H53" s="15" t="s">
        <v>207</v>
      </c>
      <c r="I53" s="15" t="s">
        <v>59</v>
      </c>
      <c r="J53" s="14"/>
      <c r="K53" s="13" t="str">
        <f>"165,0"</f>
        <v>165,0</v>
      </c>
      <c r="L53" s="15" t="str">
        <f>"103,7872"</f>
        <v>103,7872</v>
      </c>
      <c r="M53" s="13" t="s">
        <v>19</v>
      </c>
    </row>
    <row r="55" spans="1:13" ht="15">
      <c r="A55" s="32" t="s">
        <v>49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1:13">
      <c r="A56" s="10" t="s">
        <v>256</v>
      </c>
      <c r="B56" s="10" t="s">
        <v>257</v>
      </c>
      <c r="C56" s="10" t="s">
        <v>258</v>
      </c>
      <c r="D56" s="10" t="str">
        <f>"0,5945"</f>
        <v>0,5945</v>
      </c>
      <c r="E56" s="10" t="s">
        <v>15</v>
      </c>
      <c r="F56" s="10" t="s">
        <v>136</v>
      </c>
      <c r="G56" s="12" t="s">
        <v>48</v>
      </c>
      <c r="H56" s="12" t="s">
        <v>259</v>
      </c>
      <c r="I56" s="11" t="s">
        <v>260</v>
      </c>
      <c r="J56" s="11"/>
      <c r="K56" s="10" t="str">
        <f>"185,0"</f>
        <v>185,0</v>
      </c>
      <c r="L56" s="12" t="str">
        <f>"109,9825"</f>
        <v>109,9825</v>
      </c>
      <c r="M56" s="10" t="s">
        <v>19</v>
      </c>
    </row>
    <row r="57" spans="1:13">
      <c r="A57" s="24" t="s">
        <v>262</v>
      </c>
      <c r="B57" s="24" t="s">
        <v>263</v>
      </c>
      <c r="C57" s="24" t="s">
        <v>264</v>
      </c>
      <c r="D57" s="24" t="str">
        <f>"0,5887"</f>
        <v>0,5887</v>
      </c>
      <c r="E57" s="24" t="s">
        <v>15</v>
      </c>
      <c r="F57" s="24" t="s">
        <v>16</v>
      </c>
      <c r="G57" s="26" t="s">
        <v>207</v>
      </c>
      <c r="H57" s="26" t="s">
        <v>46</v>
      </c>
      <c r="I57" s="25" t="s">
        <v>265</v>
      </c>
      <c r="J57" s="25"/>
      <c r="K57" s="24" t="str">
        <f>"170,0"</f>
        <v>170,0</v>
      </c>
      <c r="L57" s="26" t="str">
        <f>"100,0790"</f>
        <v>100,0790</v>
      </c>
      <c r="M57" s="24" t="s">
        <v>19</v>
      </c>
    </row>
    <row r="58" spans="1:13">
      <c r="A58" s="24" t="s">
        <v>267</v>
      </c>
      <c r="B58" s="24" t="s">
        <v>268</v>
      </c>
      <c r="C58" s="24" t="s">
        <v>269</v>
      </c>
      <c r="D58" s="24" t="str">
        <f>"0,5910"</f>
        <v>0,5910</v>
      </c>
      <c r="E58" s="24" t="s">
        <v>15</v>
      </c>
      <c r="F58" s="24" t="s">
        <v>16</v>
      </c>
      <c r="G58" s="26" t="s">
        <v>200</v>
      </c>
      <c r="H58" s="26" t="s">
        <v>207</v>
      </c>
      <c r="I58" s="25" t="s">
        <v>46</v>
      </c>
      <c r="J58" s="25"/>
      <c r="K58" s="24" t="str">
        <f>"160,0"</f>
        <v>160,0</v>
      </c>
      <c r="L58" s="26" t="str">
        <f>"94,5600"</f>
        <v>94,5600</v>
      </c>
      <c r="M58" s="24" t="s">
        <v>19</v>
      </c>
    </row>
    <row r="59" spans="1:13">
      <c r="A59" s="24" t="s">
        <v>271</v>
      </c>
      <c r="B59" s="24" t="s">
        <v>272</v>
      </c>
      <c r="C59" s="24" t="s">
        <v>273</v>
      </c>
      <c r="D59" s="24" t="str">
        <f>"0,5950"</f>
        <v>0,5950</v>
      </c>
      <c r="E59" s="24" t="s">
        <v>15</v>
      </c>
      <c r="F59" s="24" t="s">
        <v>16</v>
      </c>
      <c r="G59" s="26" t="s">
        <v>200</v>
      </c>
      <c r="H59" s="25" t="s">
        <v>201</v>
      </c>
      <c r="I59" s="26" t="s">
        <v>201</v>
      </c>
      <c r="J59" s="25"/>
      <c r="K59" s="24" t="str">
        <f>"155,0"</f>
        <v>155,0</v>
      </c>
      <c r="L59" s="26" t="str">
        <f>"92,2250"</f>
        <v>92,2250</v>
      </c>
      <c r="M59" s="24" t="s">
        <v>19</v>
      </c>
    </row>
    <row r="60" spans="1:13">
      <c r="A60" s="24" t="s">
        <v>275</v>
      </c>
      <c r="B60" s="24" t="s">
        <v>276</v>
      </c>
      <c r="C60" s="24" t="s">
        <v>277</v>
      </c>
      <c r="D60" s="24" t="str">
        <f>"0,6009"</f>
        <v>0,6009</v>
      </c>
      <c r="E60" s="24" t="s">
        <v>15</v>
      </c>
      <c r="F60" s="24" t="s">
        <v>278</v>
      </c>
      <c r="G60" s="26" t="s">
        <v>59</v>
      </c>
      <c r="H60" s="26" t="s">
        <v>60</v>
      </c>
      <c r="I60" s="25" t="s">
        <v>47</v>
      </c>
      <c r="J60" s="25"/>
      <c r="K60" s="24" t="str">
        <f>"172,5"</f>
        <v>172,5</v>
      </c>
      <c r="L60" s="26" t="str">
        <f>"106,8686"</f>
        <v>106,8686</v>
      </c>
      <c r="M60" s="24" t="s">
        <v>19</v>
      </c>
    </row>
    <row r="61" spans="1:13">
      <c r="A61" s="24" t="s">
        <v>280</v>
      </c>
      <c r="B61" s="24" t="s">
        <v>281</v>
      </c>
      <c r="C61" s="24" t="s">
        <v>282</v>
      </c>
      <c r="D61" s="24" t="str">
        <f>"0,5988"</f>
        <v>0,5988</v>
      </c>
      <c r="E61" s="24" t="s">
        <v>15</v>
      </c>
      <c r="F61" s="24" t="s">
        <v>16</v>
      </c>
      <c r="G61" s="26" t="s">
        <v>25</v>
      </c>
      <c r="H61" s="25" t="s">
        <v>26</v>
      </c>
      <c r="I61" s="25" t="s">
        <v>26</v>
      </c>
      <c r="J61" s="25"/>
      <c r="K61" s="24" t="str">
        <f>"140,0"</f>
        <v>140,0</v>
      </c>
      <c r="L61" s="26" t="str">
        <f>"102,6942"</f>
        <v>102,6942</v>
      </c>
      <c r="M61" s="24" t="s">
        <v>19</v>
      </c>
    </row>
    <row r="62" spans="1:13">
      <c r="A62" s="13" t="s">
        <v>284</v>
      </c>
      <c r="B62" s="13" t="s">
        <v>285</v>
      </c>
      <c r="C62" s="13" t="s">
        <v>286</v>
      </c>
      <c r="D62" s="13" t="str">
        <f>"0,5972"</f>
        <v>0,5972</v>
      </c>
      <c r="E62" s="13" t="s">
        <v>15</v>
      </c>
      <c r="F62" s="13" t="s">
        <v>287</v>
      </c>
      <c r="G62" s="15" t="s">
        <v>244</v>
      </c>
      <c r="H62" s="15" t="s">
        <v>193</v>
      </c>
      <c r="I62" s="15" t="s">
        <v>288</v>
      </c>
      <c r="J62" s="14"/>
      <c r="K62" s="13" t="str">
        <f>"132,5"</f>
        <v>132,5</v>
      </c>
      <c r="L62" s="15" t="str">
        <f>"138,9505"</f>
        <v>138,9505</v>
      </c>
      <c r="M62" s="13" t="s">
        <v>19</v>
      </c>
    </row>
    <row r="64" spans="1:13" ht="15">
      <c r="A64" s="32" t="s">
        <v>61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1:13">
      <c r="A65" s="7" t="s">
        <v>290</v>
      </c>
      <c r="B65" s="7" t="s">
        <v>291</v>
      </c>
      <c r="C65" s="7" t="s">
        <v>292</v>
      </c>
      <c r="D65" s="7" t="str">
        <f>"0,5858"</f>
        <v>0,5858</v>
      </c>
      <c r="E65" s="7" t="s">
        <v>15</v>
      </c>
      <c r="F65" s="7" t="s">
        <v>16</v>
      </c>
      <c r="G65" s="9" t="s">
        <v>46</v>
      </c>
      <c r="H65" s="9" t="s">
        <v>48</v>
      </c>
      <c r="I65" s="8" t="s">
        <v>259</v>
      </c>
      <c r="J65" s="8"/>
      <c r="K65" s="7" t="str">
        <f>"180,0"</f>
        <v>180,0</v>
      </c>
      <c r="L65" s="9" t="str">
        <f>"105,4440"</f>
        <v>105,4440</v>
      </c>
      <c r="M65" s="7" t="s">
        <v>19</v>
      </c>
    </row>
    <row r="67" spans="1:13" ht="15">
      <c r="E67" s="16" t="s">
        <v>69</v>
      </c>
    </row>
    <row r="68" spans="1:13" ht="15">
      <c r="E68" s="16" t="s">
        <v>70</v>
      </c>
    </row>
    <row r="69" spans="1:13" ht="15">
      <c r="E69" s="16" t="s">
        <v>71</v>
      </c>
    </row>
    <row r="70" spans="1:13" ht="15">
      <c r="E70" s="16" t="s">
        <v>72</v>
      </c>
    </row>
    <row r="71" spans="1:13" ht="15">
      <c r="E71" s="16" t="s">
        <v>72</v>
      </c>
    </row>
    <row r="72" spans="1:13" ht="15">
      <c r="E72" s="16" t="s">
        <v>73</v>
      </c>
    </row>
    <row r="73" spans="1:13" ht="15">
      <c r="E73" s="16"/>
    </row>
    <row r="75" spans="1:13" ht="18">
      <c r="A75" s="17" t="s">
        <v>74</v>
      </c>
      <c r="B75" s="17"/>
    </row>
    <row r="76" spans="1:13" ht="15">
      <c r="A76" s="18" t="s">
        <v>75</v>
      </c>
      <c r="B76" s="18"/>
    </row>
    <row r="77" spans="1:13" ht="14.25">
      <c r="A77" s="20"/>
      <c r="B77" s="21" t="s">
        <v>293</v>
      </c>
    </row>
    <row r="78" spans="1:13" ht="15">
      <c r="A78" s="22" t="s">
        <v>77</v>
      </c>
      <c r="B78" s="22" t="s">
        <v>78</v>
      </c>
      <c r="C78" s="22" t="s">
        <v>79</v>
      </c>
      <c r="D78" s="22" t="s">
        <v>80</v>
      </c>
      <c r="E78" s="22" t="s">
        <v>81</v>
      </c>
    </row>
    <row r="79" spans="1:13">
      <c r="A79" s="19" t="s">
        <v>109</v>
      </c>
      <c r="B79" s="4" t="s">
        <v>294</v>
      </c>
      <c r="C79" s="4" t="s">
        <v>295</v>
      </c>
      <c r="D79" s="4" t="s">
        <v>113</v>
      </c>
      <c r="E79" s="23" t="s">
        <v>296</v>
      </c>
    </row>
    <row r="81" spans="1:5" ht="14.25">
      <c r="A81" s="20"/>
      <c r="B81" s="21" t="s">
        <v>297</v>
      </c>
    </row>
    <row r="82" spans="1:5" ht="15">
      <c r="A82" s="22" t="s">
        <v>77</v>
      </c>
      <c r="B82" s="22" t="s">
        <v>78</v>
      </c>
      <c r="C82" s="22" t="s">
        <v>79</v>
      </c>
      <c r="D82" s="22" t="s">
        <v>80</v>
      </c>
      <c r="E82" s="22" t="s">
        <v>81</v>
      </c>
    </row>
    <row r="83" spans="1:5">
      <c r="A83" s="19" t="s">
        <v>114</v>
      </c>
      <c r="B83" s="4" t="s">
        <v>298</v>
      </c>
      <c r="C83" s="4" t="s">
        <v>295</v>
      </c>
      <c r="D83" s="4" t="s">
        <v>119</v>
      </c>
      <c r="E83" s="23" t="s">
        <v>299</v>
      </c>
    </row>
    <row r="84" spans="1:5">
      <c r="A84" s="19" t="s">
        <v>120</v>
      </c>
      <c r="B84" s="4" t="s">
        <v>298</v>
      </c>
      <c r="C84" s="4" t="s">
        <v>295</v>
      </c>
      <c r="D84" s="4" t="s">
        <v>118</v>
      </c>
      <c r="E84" s="23" t="s">
        <v>300</v>
      </c>
    </row>
    <row r="86" spans="1:5" ht="14.25">
      <c r="A86" s="20"/>
      <c r="B86" s="21" t="s">
        <v>76</v>
      </c>
    </row>
    <row r="87" spans="1:5" ht="15">
      <c r="A87" s="22" t="s">
        <v>77</v>
      </c>
      <c r="B87" s="22" t="s">
        <v>78</v>
      </c>
      <c r="C87" s="22" t="s">
        <v>79</v>
      </c>
      <c r="D87" s="22" t="s">
        <v>80</v>
      </c>
      <c r="E87" s="22" t="s">
        <v>81</v>
      </c>
    </row>
    <row r="88" spans="1:5">
      <c r="A88" s="19" t="s">
        <v>101</v>
      </c>
      <c r="B88" s="4" t="s">
        <v>76</v>
      </c>
      <c r="C88" s="4" t="s">
        <v>301</v>
      </c>
      <c r="D88" s="4" t="s">
        <v>106</v>
      </c>
      <c r="E88" s="23" t="s">
        <v>302</v>
      </c>
    </row>
    <row r="89" spans="1:5">
      <c r="A89" s="19" t="s">
        <v>132</v>
      </c>
      <c r="B89" s="4" t="s">
        <v>76</v>
      </c>
      <c r="C89" s="4" t="s">
        <v>303</v>
      </c>
      <c r="D89" s="4" t="s">
        <v>106</v>
      </c>
      <c r="E89" s="23" t="s">
        <v>304</v>
      </c>
    </row>
    <row r="90" spans="1:5">
      <c r="A90" s="19" t="s">
        <v>137</v>
      </c>
      <c r="B90" s="4" t="s">
        <v>76</v>
      </c>
      <c r="C90" s="4" t="s">
        <v>303</v>
      </c>
      <c r="D90" s="4" t="s">
        <v>142</v>
      </c>
      <c r="E90" s="23" t="s">
        <v>305</v>
      </c>
    </row>
    <row r="92" spans="1:5" ht="14.25">
      <c r="A92" s="20"/>
      <c r="B92" s="21" t="s">
        <v>93</v>
      </c>
    </row>
    <row r="93" spans="1:5" ht="15">
      <c r="A93" s="22" t="s">
        <v>77</v>
      </c>
      <c r="B93" s="22" t="s">
        <v>78</v>
      </c>
      <c r="C93" s="22" t="s">
        <v>79</v>
      </c>
      <c r="D93" s="22" t="s">
        <v>80</v>
      </c>
      <c r="E93" s="22" t="s">
        <v>81</v>
      </c>
    </row>
    <row r="94" spans="1:5">
      <c r="A94" s="19" t="s">
        <v>125</v>
      </c>
      <c r="B94" s="4" t="s">
        <v>306</v>
      </c>
      <c r="C94" s="4" t="s">
        <v>82</v>
      </c>
      <c r="D94" s="4" t="s">
        <v>129</v>
      </c>
      <c r="E94" s="23" t="s">
        <v>307</v>
      </c>
    </row>
    <row r="97" spans="1:5" ht="15">
      <c r="A97" s="18" t="s">
        <v>84</v>
      </c>
      <c r="B97" s="18"/>
    </row>
    <row r="98" spans="1:5" ht="14.25">
      <c r="A98" s="20"/>
      <c r="B98" s="21" t="s">
        <v>308</v>
      </c>
    </row>
    <row r="99" spans="1:5" ht="15">
      <c r="A99" s="22" t="s">
        <v>77</v>
      </c>
      <c r="B99" s="22" t="s">
        <v>78</v>
      </c>
      <c r="C99" s="22" t="s">
        <v>79</v>
      </c>
      <c r="D99" s="22" t="s">
        <v>80</v>
      </c>
      <c r="E99" s="22" t="s">
        <v>81</v>
      </c>
    </row>
    <row r="100" spans="1:5">
      <c r="A100" s="19" t="s">
        <v>150</v>
      </c>
      <c r="B100" s="4" t="s">
        <v>294</v>
      </c>
      <c r="C100" s="4" t="s">
        <v>309</v>
      </c>
      <c r="D100" s="4" t="s">
        <v>66</v>
      </c>
      <c r="E100" s="23" t="s">
        <v>310</v>
      </c>
    </row>
    <row r="101" spans="1:5">
      <c r="A101" s="19" t="s">
        <v>154</v>
      </c>
      <c r="B101" s="4" t="s">
        <v>294</v>
      </c>
      <c r="C101" s="4" t="s">
        <v>82</v>
      </c>
      <c r="D101" s="4" t="s">
        <v>33</v>
      </c>
      <c r="E101" s="23" t="s">
        <v>311</v>
      </c>
    </row>
    <row r="102" spans="1:5">
      <c r="A102" s="19" t="s">
        <v>169</v>
      </c>
      <c r="B102" s="4" t="s">
        <v>294</v>
      </c>
      <c r="C102" s="4" t="s">
        <v>303</v>
      </c>
      <c r="D102" s="4" t="s">
        <v>176</v>
      </c>
      <c r="E102" s="23" t="s">
        <v>312</v>
      </c>
    </row>
    <row r="104" spans="1:5" ht="14.25">
      <c r="A104" s="20"/>
      <c r="B104" s="21" t="s">
        <v>313</v>
      </c>
    </row>
    <row r="105" spans="1:5" ht="15">
      <c r="A105" s="22" t="s">
        <v>77</v>
      </c>
      <c r="B105" s="22" t="s">
        <v>78</v>
      </c>
      <c r="C105" s="22" t="s">
        <v>79</v>
      </c>
      <c r="D105" s="22" t="s">
        <v>80</v>
      </c>
      <c r="E105" s="22" t="s">
        <v>81</v>
      </c>
    </row>
    <row r="106" spans="1:5">
      <c r="A106" s="19" t="s">
        <v>229</v>
      </c>
      <c r="B106" s="4" t="s">
        <v>298</v>
      </c>
      <c r="C106" s="4" t="s">
        <v>85</v>
      </c>
      <c r="D106" s="4" t="s">
        <v>46</v>
      </c>
      <c r="E106" s="23" t="s">
        <v>314</v>
      </c>
    </row>
    <row r="107" spans="1:5">
      <c r="A107" s="19" t="s">
        <v>158</v>
      </c>
      <c r="B107" s="4" t="s">
        <v>298</v>
      </c>
      <c r="C107" s="4" t="s">
        <v>82</v>
      </c>
      <c r="D107" s="4" t="s">
        <v>68</v>
      </c>
      <c r="E107" s="23" t="s">
        <v>315</v>
      </c>
    </row>
    <row r="109" spans="1:5" ht="14.25">
      <c r="A109" s="20"/>
      <c r="B109" s="21" t="s">
        <v>76</v>
      </c>
    </row>
    <row r="110" spans="1:5" ht="15">
      <c r="A110" s="22" t="s">
        <v>77</v>
      </c>
      <c r="B110" s="22" t="s">
        <v>78</v>
      </c>
      <c r="C110" s="22" t="s">
        <v>79</v>
      </c>
      <c r="D110" s="22" t="s">
        <v>80</v>
      </c>
      <c r="E110" s="22" t="s">
        <v>81</v>
      </c>
    </row>
    <row r="111" spans="1:5">
      <c r="A111" s="19" t="s">
        <v>255</v>
      </c>
      <c r="B111" s="4" t="s">
        <v>76</v>
      </c>
      <c r="C111" s="4" t="s">
        <v>87</v>
      </c>
      <c r="D111" s="4" t="s">
        <v>259</v>
      </c>
      <c r="E111" s="23" t="s">
        <v>316</v>
      </c>
    </row>
    <row r="112" spans="1:5">
      <c r="A112" s="19" t="s">
        <v>195</v>
      </c>
      <c r="B112" s="4" t="s">
        <v>76</v>
      </c>
      <c r="C112" s="4" t="s">
        <v>91</v>
      </c>
      <c r="D112" s="4" t="s">
        <v>202</v>
      </c>
      <c r="E112" s="23" t="s">
        <v>317</v>
      </c>
    </row>
    <row r="113" spans="1:5">
      <c r="A113" s="19" t="s">
        <v>261</v>
      </c>
      <c r="B113" s="4" t="s">
        <v>76</v>
      </c>
      <c r="C113" s="4" t="s">
        <v>87</v>
      </c>
      <c r="D113" s="4" t="s">
        <v>46</v>
      </c>
      <c r="E113" s="23" t="s">
        <v>318</v>
      </c>
    </row>
    <row r="114" spans="1:5">
      <c r="A114" s="19" t="s">
        <v>203</v>
      </c>
      <c r="B114" s="4" t="s">
        <v>76</v>
      </c>
      <c r="C114" s="4" t="s">
        <v>91</v>
      </c>
      <c r="D114" s="4" t="s">
        <v>201</v>
      </c>
      <c r="E114" s="23" t="s">
        <v>319</v>
      </c>
    </row>
    <row r="115" spans="1:5">
      <c r="A115" s="19" t="s">
        <v>143</v>
      </c>
      <c r="B115" s="4" t="s">
        <v>76</v>
      </c>
      <c r="C115" s="4" t="s">
        <v>295</v>
      </c>
      <c r="D115" s="4" t="s">
        <v>68</v>
      </c>
      <c r="E115" s="23" t="s">
        <v>320</v>
      </c>
    </row>
    <row r="116" spans="1:5">
      <c r="A116" s="19" t="s">
        <v>233</v>
      </c>
      <c r="B116" s="4" t="s">
        <v>76</v>
      </c>
      <c r="C116" s="4" t="s">
        <v>85</v>
      </c>
      <c r="D116" s="4" t="s">
        <v>238</v>
      </c>
      <c r="E116" s="23" t="s">
        <v>321</v>
      </c>
    </row>
    <row r="117" spans="1:5">
      <c r="A117" s="19" t="s">
        <v>266</v>
      </c>
      <c r="B117" s="4" t="s">
        <v>76</v>
      </c>
      <c r="C117" s="4" t="s">
        <v>87</v>
      </c>
      <c r="D117" s="4" t="s">
        <v>207</v>
      </c>
      <c r="E117" s="23" t="s">
        <v>322</v>
      </c>
    </row>
    <row r="118" spans="1:5">
      <c r="A118" s="19" t="s">
        <v>270</v>
      </c>
      <c r="B118" s="4" t="s">
        <v>76</v>
      </c>
      <c r="C118" s="4" t="s">
        <v>87</v>
      </c>
      <c r="D118" s="4" t="s">
        <v>201</v>
      </c>
      <c r="E118" s="23" t="s">
        <v>323</v>
      </c>
    </row>
    <row r="119" spans="1:5">
      <c r="A119" s="19" t="s">
        <v>208</v>
      </c>
      <c r="B119" s="4" t="s">
        <v>76</v>
      </c>
      <c r="C119" s="4" t="s">
        <v>91</v>
      </c>
      <c r="D119" s="4" t="s">
        <v>25</v>
      </c>
      <c r="E119" s="23" t="s">
        <v>324</v>
      </c>
    </row>
    <row r="120" spans="1:5">
      <c r="A120" s="19" t="s">
        <v>239</v>
      </c>
      <c r="B120" s="4" t="s">
        <v>76</v>
      </c>
      <c r="C120" s="4" t="s">
        <v>85</v>
      </c>
      <c r="D120" s="4" t="s">
        <v>245</v>
      </c>
      <c r="E120" s="23" t="s">
        <v>325</v>
      </c>
    </row>
    <row r="121" spans="1:5">
      <c r="A121" s="19" t="s">
        <v>212</v>
      </c>
      <c r="B121" s="4" t="s">
        <v>76</v>
      </c>
      <c r="C121" s="4" t="s">
        <v>91</v>
      </c>
      <c r="D121" s="4" t="s">
        <v>194</v>
      </c>
      <c r="E121" s="23" t="s">
        <v>326</v>
      </c>
    </row>
    <row r="122" spans="1:5">
      <c r="A122" s="19" t="s">
        <v>246</v>
      </c>
      <c r="B122" s="4" t="s">
        <v>76</v>
      </c>
      <c r="C122" s="4" t="s">
        <v>85</v>
      </c>
      <c r="D122" s="4" t="s">
        <v>245</v>
      </c>
      <c r="E122" s="23" t="s">
        <v>327</v>
      </c>
    </row>
    <row r="123" spans="1:5">
      <c r="A123" s="19" t="s">
        <v>163</v>
      </c>
      <c r="B123" s="4" t="s">
        <v>76</v>
      </c>
      <c r="C123" s="4" t="s">
        <v>82</v>
      </c>
      <c r="D123" s="4" t="s">
        <v>68</v>
      </c>
      <c r="E123" s="23" t="s">
        <v>328</v>
      </c>
    </row>
    <row r="124" spans="1:5">
      <c r="A124" s="19" t="s">
        <v>177</v>
      </c>
      <c r="B124" s="4" t="s">
        <v>76</v>
      </c>
      <c r="C124" s="4" t="s">
        <v>303</v>
      </c>
      <c r="D124" s="4" t="s">
        <v>181</v>
      </c>
      <c r="E124" s="23" t="s">
        <v>329</v>
      </c>
    </row>
    <row r="125" spans="1:5">
      <c r="A125" s="19" t="s">
        <v>183</v>
      </c>
      <c r="B125" s="4" t="s">
        <v>76</v>
      </c>
      <c r="C125" s="4" t="s">
        <v>303</v>
      </c>
      <c r="D125" s="4" t="s">
        <v>66</v>
      </c>
      <c r="E125" s="23" t="s">
        <v>330</v>
      </c>
    </row>
    <row r="126" spans="1:5">
      <c r="A126" s="19" t="s">
        <v>217</v>
      </c>
      <c r="B126" s="4" t="s">
        <v>76</v>
      </c>
      <c r="C126" s="4" t="s">
        <v>91</v>
      </c>
      <c r="D126" s="4" t="s">
        <v>68</v>
      </c>
      <c r="E126" s="23" t="s">
        <v>331</v>
      </c>
    </row>
    <row r="128" spans="1:5" ht="14.25">
      <c r="A128" s="20"/>
      <c r="B128" s="21" t="s">
        <v>93</v>
      </c>
    </row>
    <row r="129" spans="1:5" ht="15">
      <c r="A129" s="22" t="s">
        <v>77</v>
      </c>
      <c r="B129" s="22" t="s">
        <v>78</v>
      </c>
      <c r="C129" s="22" t="s">
        <v>79</v>
      </c>
      <c r="D129" s="22" t="s">
        <v>80</v>
      </c>
      <c r="E129" s="22" t="s">
        <v>81</v>
      </c>
    </row>
    <row r="130" spans="1:5">
      <c r="A130" s="19" t="s">
        <v>283</v>
      </c>
      <c r="B130" s="4" t="s">
        <v>94</v>
      </c>
      <c r="C130" s="4" t="s">
        <v>87</v>
      </c>
      <c r="D130" s="4" t="s">
        <v>288</v>
      </c>
      <c r="E130" s="23" t="s">
        <v>332</v>
      </c>
    </row>
    <row r="131" spans="1:5">
      <c r="A131" s="19" t="s">
        <v>274</v>
      </c>
      <c r="B131" s="4" t="s">
        <v>306</v>
      </c>
      <c r="C131" s="4" t="s">
        <v>87</v>
      </c>
      <c r="D131" s="4" t="s">
        <v>60</v>
      </c>
      <c r="E131" s="23" t="s">
        <v>333</v>
      </c>
    </row>
    <row r="132" spans="1:5">
      <c r="A132" s="19" t="s">
        <v>289</v>
      </c>
      <c r="B132" s="4" t="s">
        <v>306</v>
      </c>
      <c r="C132" s="4" t="s">
        <v>95</v>
      </c>
      <c r="D132" s="4" t="s">
        <v>48</v>
      </c>
      <c r="E132" s="23" t="s">
        <v>334</v>
      </c>
    </row>
    <row r="133" spans="1:5">
      <c r="A133" s="19" t="s">
        <v>251</v>
      </c>
      <c r="B133" s="4" t="s">
        <v>306</v>
      </c>
      <c r="C133" s="4" t="s">
        <v>85</v>
      </c>
      <c r="D133" s="4" t="s">
        <v>59</v>
      </c>
      <c r="E133" s="23" t="s">
        <v>335</v>
      </c>
    </row>
    <row r="134" spans="1:5">
      <c r="A134" s="19" t="s">
        <v>224</v>
      </c>
      <c r="B134" s="4" t="s">
        <v>336</v>
      </c>
      <c r="C134" s="4" t="s">
        <v>91</v>
      </c>
      <c r="D134" s="4" t="s">
        <v>162</v>
      </c>
      <c r="E134" s="23" t="s">
        <v>337</v>
      </c>
    </row>
    <row r="135" spans="1:5">
      <c r="A135" s="19" t="s">
        <v>279</v>
      </c>
      <c r="B135" s="4" t="s">
        <v>97</v>
      </c>
      <c r="C135" s="4" t="s">
        <v>87</v>
      </c>
      <c r="D135" s="4" t="s">
        <v>25</v>
      </c>
      <c r="E135" s="23" t="s">
        <v>338</v>
      </c>
    </row>
    <row r="136" spans="1:5">
      <c r="A136" s="19" t="s">
        <v>189</v>
      </c>
      <c r="B136" s="4" t="s">
        <v>339</v>
      </c>
      <c r="C136" s="4" t="s">
        <v>340</v>
      </c>
      <c r="D136" s="4" t="s">
        <v>193</v>
      </c>
      <c r="E136" s="23" t="s">
        <v>341</v>
      </c>
    </row>
  </sheetData>
  <mergeCells count="24"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39:L39"/>
    <mergeCell ref="A48:L48"/>
    <mergeCell ref="A55:L55"/>
    <mergeCell ref="A64:L64"/>
    <mergeCell ref="A16:L16"/>
    <mergeCell ref="A20:L20"/>
    <mergeCell ref="A23:L23"/>
    <mergeCell ref="A26:L26"/>
    <mergeCell ref="A31:L31"/>
    <mergeCell ref="A36:L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50"/>
  <sheetViews>
    <sheetView zoomScaleNormal="100" workbookViewId="0">
      <selection activeCell="K13" sqref="K13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42578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33" t="s">
        <v>362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>
      <c r="A3" s="39" t="s">
        <v>0</v>
      </c>
      <c r="B3" s="41" t="s">
        <v>5</v>
      </c>
      <c r="C3" s="41" t="s">
        <v>6</v>
      </c>
      <c r="D3" s="27" t="s">
        <v>8</v>
      </c>
      <c r="E3" s="27" t="s">
        <v>3</v>
      </c>
      <c r="F3" s="27" t="s">
        <v>7</v>
      </c>
      <c r="G3" s="27" t="s">
        <v>9</v>
      </c>
      <c r="H3" s="27"/>
      <c r="I3" s="27"/>
      <c r="J3" s="27"/>
      <c r="K3" s="27" t="s">
        <v>99</v>
      </c>
      <c r="L3" s="27" t="s">
        <v>2</v>
      </c>
      <c r="M3" s="29" t="s">
        <v>1</v>
      </c>
    </row>
    <row r="4" spans="1:13" s="1" customFormat="1" ht="21" customHeight="1" thickBot="1">
      <c r="A4" s="40"/>
      <c r="B4" s="28"/>
      <c r="C4" s="28"/>
      <c r="D4" s="28"/>
      <c r="E4" s="28"/>
      <c r="F4" s="28"/>
      <c r="G4" s="5">
        <v>1</v>
      </c>
      <c r="H4" s="5">
        <v>2</v>
      </c>
      <c r="I4" s="5">
        <v>3</v>
      </c>
      <c r="J4" s="5" t="s">
        <v>4</v>
      </c>
      <c r="K4" s="28"/>
      <c r="L4" s="28"/>
      <c r="M4" s="30"/>
    </row>
    <row r="5" spans="1:13" ht="15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>
      <c r="A6" s="7" t="s">
        <v>12</v>
      </c>
      <c r="B6" s="7" t="s">
        <v>13</v>
      </c>
      <c r="C6" s="7" t="s">
        <v>14</v>
      </c>
      <c r="D6" s="7" t="str">
        <f>"1,0408"</f>
        <v>1,0408</v>
      </c>
      <c r="E6" s="7" t="s">
        <v>15</v>
      </c>
      <c r="F6" s="7" t="s">
        <v>16</v>
      </c>
      <c r="G6" s="9" t="s">
        <v>17</v>
      </c>
      <c r="H6" s="8" t="s">
        <v>18</v>
      </c>
      <c r="I6" s="9" t="s">
        <v>18</v>
      </c>
      <c r="J6" s="8"/>
      <c r="K6" s="7" t="str">
        <f>"87,5"</f>
        <v>87,5</v>
      </c>
      <c r="L6" s="9" t="str">
        <f>"91,0700"</f>
        <v>91,0700</v>
      </c>
      <c r="M6" s="7" t="s">
        <v>19</v>
      </c>
    </row>
    <row r="8" spans="1:13" ht="15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>
      <c r="A9" s="10" t="s">
        <v>22</v>
      </c>
      <c r="B9" s="10" t="s">
        <v>23</v>
      </c>
      <c r="C9" s="10" t="s">
        <v>24</v>
      </c>
      <c r="D9" s="10" t="str">
        <f>"0,6507"</f>
        <v>0,6507</v>
      </c>
      <c r="E9" s="10" t="s">
        <v>15</v>
      </c>
      <c r="F9" s="10" t="s">
        <v>16</v>
      </c>
      <c r="G9" s="12" t="s">
        <v>25</v>
      </c>
      <c r="H9" s="12" t="s">
        <v>26</v>
      </c>
      <c r="I9" s="11" t="s">
        <v>27</v>
      </c>
      <c r="J9" s="11"/>
      <c r="K9" s="10" t="str">
        <f>"145,0"</f>
        <v>145,0</v>
      </c>
      <c r="L9" s="12" t="str">
        <f>"94,3515"</f>
        <v>94,3515</v>
      </c>
      <c r="M9" s="10" t="s">
        <v>19</v>
      </c>
    </row>
    <row r="10" spans="1:13">
      <c r="A10" s="13" t="s">
        <v>29</v>
      </c>
      <c r="B10" s="13" t="s">
        <v>30</v>
      </c>
      <c r="C10" s="13" t="s">
        <v>31</v>
      </c>
      <c r="D10" s="13" t="str">
        <f>"0,6675"</f>
        <v>0,6675</v>
      </c>
      <c r="E10" s="13" t="s">
        <v>15</v>
      </c>
      <c r="F10" s="13" t="s">
        <v>16</v>
      </c>
      <c r="G10" s="15" t="s">
        <v>32</v>
      </c>
      <c r="H10" s="15" t="s">
        <v>33</v>
      </c>
      <c r="I10" s="14" t="s">
        <v>18</v>
      </c>
      <c r="J10" s="14"/>
      <c r="K10" s="13" t="str">
        <f>"85,0"</f>
        <v>85,0</v>
      </c>
      <c r="L10" s="15" t="str">
        <f>"71,9432"</f>
        <v>71,9432</v>
      </c>
      <c r="M10" s="13" t="s">
        <v>19</v>
      </c>
    </row>
    <row r="12" spans="1:13" ht="15">
      <c r="A12" s="32" t="s">
        <v>34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3">
      <c r="A13" s="10" t="s">
        <v>36</v>
      </c>
      <c r="B13" s="10" t="s">
        <v>37</v>
      </c>
      <c r="C13" s="10" t="s">
        <v>38</v>
      </c>
      <c r="D13" s="10" t="str">
        <f>"0,6197"</f>
        <v>0,6197</v>
      </c>
      <c r="E13" s="10" t="s">
        <v>15</v>
      </c>
      <c r="F13" s="10" t="s">
        <v>16</v>
      </c>
      <c r="G13" s="12" t="s">
        <v>39</v>
      </c>
      <c r="H13" s="12" t="s">
        <v>40</v>
      </c>
      <c r="I13" s="12" t="s">
        <v>41</v>
      </c>
      <c r="J13" s="11"/>
      <c r="K13" s="10" t="str">
        <f>"200,0"</f>
        <v>200,0</v>
      </c>
      <c r="L13" s="12" t="str">
        <f>"123,9400"</f>
        <v>123,9400</v>
      </c>
      <c r="M13" s="10" t="s">
        <v>19</v>
      </c>
    </row>
    <row r="14" spans="1:13">
      <c r="A14" s="13" t="s">
        <v>43</v>
      </c>
      <c r="B14" s="13" t="s">
        <v>44</v>
      </c>
      <c r="C14" s="13" t="s">
        <v>45</v>
      </c>
      <c r="D14" s="13" t="str">
        <f>"0,6086"</f>
        <v>0,6086</v>
      </c>
      <c r="E14" s="13" t="s">
        <v>15</v>
      </c>
      <c r="F14" s="13" t="s">
        <v>16</v>
      </c>
      <c r="G14" s="15" t="s">
        <v>46</v>
      </c>
      <c r="H14" s="15" t="s">
        <v>47</v>
      </c>
      <c r="I14" s="14" t="s">
        <v>48</v>
      </c>
      <c r="J14" s="14"/>
      <c r="K14" s="13" t="str">
        <f>"177,5"</f>
        <v>177,5</v>
      </c>
      <c r="L14" s="15" t="str">
        <f>"108,0265"</f>
        <v>108,0265</v>
      </c>
      <c r="M14" s="13" t="s">
        <v>19</v>
      </c>
    </row>
    <row r="16" spans="1:13" ht="15">
      <c r="A16" s="32" t="s">
        <v>49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3">
      <c r="A17" s="10" t="s">
        <v>51</v>
      </c>
      <c r="B17" s="10" t="s">
        <v>52</v>
      </c>
      <c r="C17" s="10" t="s">
        <v>53</v>
      </c>
      <c r="D17" s="10" t="str">
        <f>"0,5914"</f>
        <v>0,5914</v>
      </c>
      <c r="E17" s="10" t="s">
        <v>15</v>
      </c>
      <c r="F17" s="10" t="s">
        <v>54</v>
      </c>
      <c r="G17" s="12" t="s">
        <v>39</v>
      </c>
      <c r="H17" s="12" t="s">
        <v>40</v>
      </c>
      <c r="I17" s="11" t="s">
        <v>41</v>
      </c>
      <c r="J17" s="11"/>
      <c r="K17" s="10" t="str">
        <f>"195,0"</f>
        <v>195,0</v>
      </c>
      <c r="L17" s="12" t="str">
        <f>"115,3230"</f>
        <v>115,3230</v>
      </c>
      <c r="M17" s="10" t="s">
        <v>19</v>
      </c>
    </row>
    <row r="18" spans="1:13">
      <c r="A18" s="13" t="s">
        <v>56</v>
      </c>
      <c r="B18" s="13" t="s">
        <v>57</v>
      </c>
      <c r="C18" s="13" t="s">
        <v>58</v>
      </c>
      <c r="D18" s="13" t="str">
        <f>"0,6028"</f>
        <v>0,6028</v>
      </c>
      <c r="E18" s="13" t="s">
        <v>15</v>
      </c>
      <c r="F18" s="13" t="s">
        <v>16</v>
      </c>
      <c r="G18" s="15" t="s">
        <v>59</v>
      </c>
      <c r="H18" s="15" t="s">
        <v>60</v>
      </c>
      <c r="I18" s="14" t="s">
        <v>48</v>
      </c>
      <c r="J18" s="14"/>
      <c r="K18" s="13" t="str">
        <f>"172,5"</f>
        <v>172,5</v>
      </c>
      <c r="L18" s="15" t="str">
        <f>"103,9830"</f>
        <v>103,9830</v>
      </c>
      <c r="M18" s="13" t="s">
        <v>19</v>
      </c>
    </row>
    <row r="20" spans="1:13" ht="15">
      <c r="A20" s="32" t="s">
        <v>61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3">
      <c r="A21" s="7" t="s">
        <v>63</v>
      </c>
      <c r="B21" s="7" t="s">
        <v>64</v>
      </c>
      <c r="C21" s="7" t="s">
        <v>65</v>
      </c>
      <c r="D21" s="7" t="str">
        <f>"0,5813"</f>
        <v>0,5813</v>
      </c>
      <c r="E21" s="7" t="s">
        <v>15</v>
      </c>
      <c r="F21" s="7" t="s">
        <v>16</v>
      </c>
      <c r="G21" s="9" t="s">
        <v>66</v>
      </c>
      <c r="H21" s="9" t="s">
        <v>67</v>
      </c>
      <c r="I21" s="9" t="s">
        <v>68</v>
      </c>
      <c r="J21" s="8"/>
      <c r="K21" s="7" t="str">
        <f>"105,0"</f>
        <v>105,0</v>
      </c>
      <c r="L21" s="9" t="str">
        <f>"104,8607"</f>
        <v>104,8607</v>
      </c>
      <c r="M21" s="7" t="s">
        <v>19</v>
      </c>
    </row>
    <row r="23" spans="1:13" ht="15">
      <c r="E23" s="16" t="s">
        <v>69</v>
      </c>
    </row>
    <row r="24" spans="1:13" ht="15">
      <c r="E24" s="16" t="s">
        <v>70</v>
      </c>
    </row>
    <row r="25" spans="1:13" ht="15">
      <c r="E25" s="16" t="s">
        <v>71</v>
      </c>
    </row>
    <row r="26" spans="1:13" ht="15">
      <c r="E26" s="16" t="s">
        <v>72</v>
      </c>
    </row>
    <row r="27" spans="1:13" ht="15">
      <c r="E27" s="16" t="s">
        <v>72</v>
      </c>
    </row>
    <row r="28" spans="1:13" ht="15">
      <c r="E28" s="16" t="s">
        <v>73</v>
      </c>
    </row>
    <row r="29" spans="1:13" ht="15">
      <c r="E29" s="16"/>
    </row>
    <row r="31" spans="1:13" ht="18">
      <c r="A31" s="17" t="s">
        <v>74</v>
      </c>
      <c r="B31" s="17"/>
    </row>
    <row r="32" spans="1:13" ht="15">
      <c r="A32" s="18" t="s">
        <v>75</v>
      </c>
      <c r="B32" s="18"/>
    </row>
    <row r="33" spans="1:5" ht="14.25">
      <c r="A33" s="20"/>
      <c r="B33" s="21" t="s">
        <v>76</v>
      </c>
    </row>
    <row r="34" spans="1:5" ht="15">
      <c r="A34" s="22" t="s">
        <v>77</v>
      </c>
      <c r="B34" s="22" t="s">
        <v>78</v>
      </c>
      <c r="C34" s="22" t="s">
        <v>79</v>
      </c>
      <c r="D34" s="22" t="s">
        <v>80</v>
      </c>
      <c r="E34" s="22" t="s">
        <v>81</v>
      </c>
    </row>
    <row r="35" spans="1:5">
      <c r="A35" s="19" t="s">
        <v>11</v>
      </c>
      <c r="B35" s="4" t="s">
        <v>76</v>
      </c>
      <c r="C35" s="4" t="s">
        <v>82</v>
      </c>
      <c r="D35" s="4" t="s">
        <v>18</v>
      </c>
      <c r="E35" s="23" t="s">
        <v>83</v>
      </c>
    </row>
    <row r="38" spans="1:5" ht="15">
      <c r="A38" s="18" t="s">
        <v>84</v>
      </c>
      <c r="B38" s="18"/>
    </row>
    <row r="39" spans="1:5" ht="14.25">
      <c r="A39" s="20"/>
      <c r="B39" s="21" t="s">
        <v>76</v>
      </c>
    </row>
    <row r="40" spans="1:5" ht="15">
      <c r="A40" s="22" t="s">
        <v>77</v>
      </c>
      <c r="B40" s="22" t="s">
        <v>78</v>
      </c>
      <c r="C40" s="22" t="s">
        <v>79</v>
      </c>
      <c r="D40" s="22" t="s">
        <v>80</v>
      </c>
      <c r="E40" s="22" t="s">
        <v>81</v>
      </c>
    </row>
    <row r="41" spans="1:5">
      <c r="A41" s="19" t="s">
        <v>35</v>
      </c>
      <c r="B41" s="4" t="s">
        <v>76</v>
      </c>
      <c r="C41" s="4" t="s">
        <v>85</v>
      </c>
      <c r="D41" s="4" t="s">
        <v>41</v>
      </c>
      <c r="E41" s="23" t="s">
        <v>86</v>
      </c>
    </row>
    <row r="42" spans="1:5">
      <c r="A42" s="19" t="s">
        <v>50</v>
      </c>
      <c r="B42" s="4" t="s">
        <v>76</v>
      </c>
      <c r="C42" s="4" t="s">
        <v>87</v>
      </c>
      <c r="D42" s="4" t="s">
        <v>40</v>
      </c>
      <c r="E42" s="23" t="s">
        <v>88</v>
      </c>
    </row>
    <row r="43" spans="1:5">
      <c r="A43" s="19" t="s">
        <v>42</v>
      </c>
      <c r="B43" s="4" t="s">
        <v>76</v>
      </c>
      <c r="C43" s="4" t="s">
        <v>85</v>
      </c>
      <c r="D43" s="4" t="s">
        <v>47</v>
      </c>
      <c r="E43" s="23" t="s">
        <v>89</v>
      </c>
    </row>
    <row r="44" spans="1:5">
      <c r="A44" s="19" t="s">
        <v>55</v>
      </c>
      <c r="B44" s="4" t="s">
        <v>76</v>
      </c>
      <c r="C44" s="4" t="s">
        <v>87</v>
      </c>
      <c r="D44" s="4" t="s">
        <v>60</v>
      </c>
      <c r="E44" s="23" t="s">
        <v>90</v>
      </c>
    </row>
    <row r="45" spans="1:5">
      <c r="A45" s="19" t="s">
        <v>21</v>
      </c>
      <c r="B45" s="4" t="s">
        <v>76</v>
      </c>
      <c r="C45" s="4" t="s">
        <v>91</v>
      </c>
      <c r="D45" s="4" t="s">
        <v>26</v>
      </c>
      <c r="E45" s="23" t="s">
        <v>92</v>
      </c>
    </row>
    <row r="47" spans="1:5" ht="14.25">
      <c r="A47" s="20"/>
      <c r="B47" s="21" t="s">
        <v>93</v>
      </c>
    </row>
    <row r="48" spans="1:5" ht="15">
      <c r="A48" s="22" t="s">
        <v>77</v>
      </c>
      <c r="B48" s="22" t="s">
        <v>78</v>
      </c>
      <c r="C48" s="22" t="s">
        <v>79</v>
      </c>
      <c r="D48" s="22" t="s">
        <v>80</v>
      </c>
      <c r="E48" s="22" t="s">
        <v>81</v>
      </c>
    </row>
    <row r="49" spans="1:5">
      <c r="A49" s="19" t="s">
        <v>62</v>
      </c>
      <c r="B49" s="4" t="s">
        <v>94</v>
      </c>
      <c r="C49" s="4" t="s">
        <v>95</v>
      </c>
      <c r="D49" s="4" t="s">
        <v>68</v>
      </c>
      <c r="E49" s="23" t="s">
        <v>96</v>
      </c>
    </row>
    <row r="50" spans="1:5">
      <c r="A50" s="19" t="s">
        <v>28</v>
      </c>
      <c r="B50" s="4" t="s">
        <v>97</v>
      </c>
      <c r="C50" s="4" t="s">
        <v>91</v>
      </c>
      <c r="D50" s="4" t="s">
        <v>33</v>
      </c>
      <c r="E50" s="23" t="s">
        <v>98</v>
      </c>
    </row>
  </sheetData>
  <mergeCells count="16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5:L5"/>
    <mergeCell ref="A8:L8"/>
    <mergeCell ref="A12:L12"/>
    <mergeCell ref="A16:L16"/>
    <mergeCell ref="A20:L20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"/>
  <sheetViews>
    <sheetView workbookViewId="0">
      <selection sqref="A1:M2"/>
    </sheetView>
  </sheetViews>
  <sheetFormatPr defaultRowHeight="12.75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8.85546875" style="4" bestFit="1" customWidth="1"/>
    <col min="14" max="16384" width="9.140625" style="3"/>
  </cols>
  <sheetData>
    <row r="1" spans="1:13" s="2" customFormat="1" ht="29.1" customHeight="1">
      <c r="A1" s="33" t="s">
        <v>363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</row>
    <row r="2" spans="1:13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</row>
    <row r="3" spans="1:13" s="1" customFormat="1" ht="12.75" customHeight="1">
      <c r="A3" s="39" t="s">
        <v>0</v>
      </c>
      <c r="B3" s="41" t="s">
        <v>5</v>
      </c>
      <c r="C3" s="41" t="s">
        <v>6</v>
      </c>
      <c r="D3" s="27" t="s">
        <v>8</v>
      </c>
      <c r="E3" s="27" t="s">
        <v>3</v>
      </c>
      <c r="F3" s="27" t="s">
        <v>7</v>
      </c>
      <c r="G3" s="27" t="s">
        <v>9</v>
      </c>
      <c r="H3" s="27"/>
      <c r="I3" s="27"/>
      <c r="J3" s="27"/>
      <c r="K3" s="27" t="s">
        <v>99</v>
      </c>
      <c r="L3" s="27" t="s">
        <v>2</v>
      </c>
      <c r="M3" s="29" t="s">
        <v>1</v>
      </c>
    </row>
    <row r="4" spans="1:13" s="1" customFormat="1" ht="21" customHeight="1" thickBot="1">
      <c r="A4" s="40"/>
      <c r="B4" s="28"/>
      <c r="C4" s="28"/>
      <c r="D4" s="28"/>
      <c r="E4" s="28"/>
      <c r="F4" s="28"/>
      <c r="G4" s="5">
        <v>1</v>
      </c>
      <c r="H4" s="5">
        <v>2</v>
      </c>
      <c r="I4" s="5">
        <v>3</v>
      </c>
      <c r="J4" s="5" t="s">
        <v>4</v>
      </c>
      <c r="K4" s="28"/>
      <c r="L4" s="28"/>
      <c r="M4" s="30"/>
    </row>
    <row r="5" spans="1:13" ht="15">
      <c r="A5" s="31" t="s">
        <v>131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>
      <c r="A6" s="10" t="s">
        <v>343</v>
      </c>
      <c r="B6" s="10" t="s">
        <v>344</v>
      </c>
      <c r="C6" s="10" t="s">
        <v>345</v>
      </c>
      <c r="D6" s="10" t="str">
        <f>"0,7173"</f>
        <v>0,7173</v>
      </c>
      <c r="E6" s="10" t="s">
        <v>15</v>
      </c>
      <c r="F6" s="10" t="s">
        <v>16</v>
      </c>
      <c r="G6" s="12" t="s">
        <v>346</v>
      </c>
      <c r="H6" s="12" t="s">
        <v>32</v>
      </c>
      <c r="I6" s="12" t="s">
        <v>33</v>
      </c>
      <c r="J6" s="11"/>
      <c r="K6" s="10" t="str">
        <f>"85,0"</f>
        <v>85,0</v>
      </c>
      <c r="L6" s="12" t="str">
        <f>"60,9705"</f>
        <v>60,9705</v>
      </c>
      <c r="M6" s="10" t="s">
        <v>19</v>
      </c>
    </row>
    <row r="7" spans="1:13">
      <c r="A7" s="13" t="s">
        <v>343</v>
      </c>
      <c r="B7" s="13" t="s">
        <v>347</v>
      </c>
      <c r="C7" s="13" t="s">
        <v>345</v>
      </c>
      <c r="D7" s="13" t="str">
        <f>"0,7173"</f>
        <v>0,7173</v>
      </c>
      <c r="E7" s="13" t="s">
        <v>15</v>
      </c>
      <c r="F7" s="13" t="s">
        <v>16</v>
      </c>
      <c r="G7" s="15" t="s">
        <v>346</v>
      </c>
      <c r="H7" s="15" t="s">
        <v>32</v>
      </c>
      <c r="I7" s="15" t="s">
        <v>33</v>
      </c>
      <c r="J7" s="14"/>
      <c r="K7" s="13" t="str">
        <f>"85,0"</f>
        <v>85,0</v>
      </c>
      <c r="L7" s="15" t="str">
        <f>"86,6391"</f>
        <v>86,6391</v>
      </c>
      <c r="M7" s="13" t="s">
        <v>19</v>
      </c>
    </row>
    <row r="9" spans="1:13" ht="15">
      <c r="A9" s="32" t="s">
        <v>20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3">
      <c r="A10" s="7" t="s">
        <v>349</v>
      </c>
      <c r="B10" s="7" t="s">
        <v>350</v>
      </c>
      <c r="C10" s="7" t="s">
        <v>351</v>
      </c>
      <c r="D10" s="7" t="str">
        <f>"0,6424"</f>
        <v>0,6424</v>
      </c>
      <c r="E10" s="7" t="s">
        <v>15</v>
      </c>
      <c r="F10" s="7" t="s">
        <v>16</v>
      </c>
      <c r="G10" s="9" t="s">
        <v>265</v>
      </c>
      <c r="H10" s="8" t="s">
        <v>352</v>
      </c>
      <c r="I10" s="9" t="s">
        <v>259</v>
      </c>
      <c r="J10" s="8"/>
      <c r="K10" s="7" t="str">
        <f>"185,0"</f>
        <v>185,0</v>
      </c>
      <c r="L10" s="9" t="str">
        <f>"118,8440"</f>
        <v>118,8440</v>
      </c>
      <c r="M10" s="7" t="s">
        <v>19</v>
      </c>
    </row>
    <row r="12" spans="1:13" ht="15">
      <c r="A12" s="32" t="s">
        <v>34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3">
      <c r="A13" s="7" t="s">
        <v>354</v>
      </c>
      <c r="B13" s="7" t="s">
        <v>355</v>
      </c>
      <c r="C13" s="7" t="s">
        <v>356</v>
      </c>
      <c r="D13" s="7" t="str">
        <f>"0,6269"</f>
        <v>0,6269</v>
      </c>
      <c r="E13" s="7" t="s">
        <v>15</v>
      </c>
      <c r="F13" s="7" t="s">
        <v>16</v>
      </c>
      <c r="G13" s="9" t="s">
        <v>48</v>
      </c>
      <c r="H13" s="8" t="s">
        <v>39</v>
      </c>
      <c r="I13" s="9" t="s">
        <v>39</v>
      </c>
      <c r="J13" s="8"/>
      <c r="K13" s="7" t="str">
        <f>"190,0"</f>
        <v>190,0</v>
      </c>
      <c r="L13" s="9" t="str">
        <f>"119,1110"</f>
        <v>119,1110</v>
      </c>
      <c r="M13" s="7" t="s">
        <v>19</v>
      </c>
    </row>
    <row r="15" spans="1:13" ht="15">
      <c r="E15" s="16" t="s">
        <v>69</v>
      </c>
    </row>
    <row r="16" spans="1:13" ht="15">
      <c r="E16" s="16" t="s">
        <v>70</v>
      </c>
    </row>
    <row r="17" spans="1:5" ht="15">
      <c r="E17" s="16" t="s">
        <v>71</v>
      </c>
    </row>
    <row r="18" spans="1:5" ht="15">
      <c r="E18" s="16" t="s">
        <v>72</v>
      </c>
    </row>
    <row r="19" spans="1:5" ht="15">
      <c r="E19" s="16" t="s">
        <v>72</v>
      </c>
    </row>
    <row r="20" spans="1:5" ht="15">
      <c r="E20" s="16" t="s">
        <v>73</v>
      </c>
    </row>
    <row r="21" spans="1:5" ht="15">
      <c r="E21" s="16"/>
    </row>
    <row r="23" spans="1:5" ht="18">
      <c r="A23" s="17" t="s">
        <v>74</v>
      </c>
      <c r="B23" s="17"/>
    </row>
    <row r="24" spans="1:5" ht="15">
      <c r="A24" s="18" t="s">
        <v>84</v>
      </c>
      <c r="B24" s="18"/>
    </row>
    <row r="25" spans="1:5" ht="14.25">
      <c r="A25" s="20"/>
      <c r="B25" s="21" t="s">
        <v>76</v>
      </c>
    </row>
    <row r="26" spans="1:5" ht="15">
      <c r="A26" s="22" t="s">
        <v>77</v>
      </c>
      <c r="B26" s="22" t="s">
        <v>78</v>
      </c>
      <c r="C26" s="22" t="s">
        <v>79</v>
      </c>
      <c r="D26" s="22" t="s">
        <v>80</v>
      </c>
      <c r="E26" s="22" t="s">
        <v>81</v>
      </c>
    </row>
    <row r="27" spans="1:5">
      <c r="A27" s="19" t="s">
        <v>353</v>
      </c>
      <c r="B27" s="4" t="s">
        <v>76</v>
      </c>
      <c r="C27" s="4" t="s">
        <v>85</v>
      </c>
      <c r="D27" s="4" t="s">
        <v>39</v>
      </c>
      <c r="E27" s="23" t="s">
        <v>357</v>
      </c>
    </row>
    <row r="28" spans="1:5">
      <c r="A28" s="19" t="s">
        <v>348</v>
      </c>
      <c r="B28" s="4" t="s">
        <v>76</v>
      </c>
      <c r="C28" s="4" t="s">
        <v>91</v>
      </c>
      <c r="D28" s="4" t="s">
        <v>259</v>
      </c>
      <c r="E28" s="23" t="s">
        <v>358</v>
      </c>
    </row>
    <row r="29" spans="1:5">
      <c r="A29" s="19" t="s">
        <v>342</v>
      </c>
      <c r="B29" s="4" t="s">
        <v>76</v>
      </c>
      <c r="C29" s="4" t="s">
        <v>303</v>
      </c>
      <c r="D29" s="4" t="s">
        <v>33</v>
      </c>
      <c r="E29" s="23" t="s">
        <v>359</v>
      </c>
    </row>
    <row r="31" spans="1:5" ht="14.25">
      <c r="A31" s="20"/>
      <c r="B31" s="21" t="s">
        <v>93</v>
      </c>
    </row>
    <row r="32" spans="1:5" ht="15">
      <c r="A32" s="22" t="s">
        <v>77</v>
      </c>
      <c r="B32" s="22" t="s">
        <v>78</v>
      </c>
      <c r="C32" s="22" t="s">
        <v>79</v>
      </c>
      <c r="D32" s="22" t="s">
        <v>80</v>
      </c>
      <c r="E32" s="22" t="s">
        <v>81</v>
      </c>
    </row>
    <row r="33" spans="1:5">
      <c r="A33" s="19" t="s">
        <v>342</v>
      </c>
      <c r="B33" s="4" t="s">
        <v>336</v>
      </c>
      <c r="C33" s="4" t="s">
        <v>303</v>
      </c>
      <c r="D33" s="4" t="s">
        <v>33</v>
      </c>
      <c r="E33" s="23" t="s">
        <v>360</v>
      </c>
    </row>
  </sheetData>
  <mergeCells count="14"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A3" sqref="A3:A4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44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33" t="s">
        <v>364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s="1" customFormat="1" ht="12.75" customHeight="1">
      <c r="A3" s="39" t="s">
        <v>0</v>
      </c>
      <c r="B3" s="41" t="s">
        <v>5</v>
      </c>
      <c r="C3" s="41" t="s">
        <v>6</v>
      </c>
      <c r="D3" s="27" t="s">
        <v>365</v>
      </c>
      <c r="E3" s="27" t="s">
        <v>3</v>
      </c>
      <c r="F3" s="27" t="s">
        <v>7</v>
      </c>
      <c r="G3" s="27" t="s">
        <v>366</v>
      </c>
      <c r="H3" s="27"/>
      <c r="I3" s="27" t="s">
        <v>367</v>
      </c>
      <c r="J3" s="27" t="s">
        <v>2</v>
      </c>
      <c r="K3" s="29" t="s">
        <v>1</v>
      </c>
    </row>
    <row r="4" spans="1:11" s="1" customFormat="1" ht="21" customHeight="1" thickBot="1">
      <c r="A4" s="40"/>
      <c r="B4" s="28"/>
      <c r="C4" s="28"/>
      <c r="D4" s="28"/>
      <c r="E4" s="28"/>
      <c r="F4" s="28"/>
      <c r="G4" s="6" t="s">
        <v>368</v>
      </c>
      <c r="H4" s="42" t="s">
        <v>369</v>
      </c>
      <c r="I4" s="28"/>
      <c r="J4" s="28"/>
      <c r="K4" s="30"/>
    </row>
    <row r="5" spans="1:11" ht="15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</row>
    <row r="6" spans="1:11">
      <c r="A6" s="7" t="s">
        <v>370</v>
      </c>
      <c r="B6" s="7" t="s">
        <v>371</v>
      </c>
      <c r="C6" s="7" t="s">
        <v>372</v>
      </c>
      <c r="D6" s="7" t="str">
        <f>"0,9166"</f>
        <v>0,9166</v>
      </c>
      <c r="E6" s="7" t="s">
        <v>15</v>
      </c>
      <c r="F6" s="7" t="s">
        <v>16</v>
      </c>
      <c r="G6" s="9" t="s">
        <v>373</v>
      </c>
      <c r="H6" s="43" t="s">
        <v>374</v>
      </c>
      <c r="I6" s="7" t="str">
        <f>"1190,0"</f>
        <v>1190,0</v>
      </c>
      <c r="J6" s="9" t="str">
        <f>"1124,6287"</f>
        <v>1124,6287</v>
      </c>
      <c r="K6" s="7" t="s">
        <v>19</v>
      </c>
    </row>
    <row r="8" spans="1:11" ht="15">
      <c r="E8" s="16" t="s">
        <v>69</v>
      </c>
    </row>
    <row r="9" spans="1:11" ht="15">
      <c r="E9" s="16" t="s">
        <v>70</v>
      </c>
    </row>
    <row r="10" spans="1:11" ht="15">
      <c r="E10" s="16" t="s">
        <v>71</v>
      </c>
    </row>
    <row r="11" spans="1:11" ht="15">
      <c r="E11" s="16" t="s">
        <v>72</v>
      </c>
    </row>
    <row r="12" spans="1:11" ht="15">
      <c r="E12" s="16" t="s">
        <v>72</v>
      </c>
    </row>
    <row r="13" spans="1:11" ht="15">
      <c r="E13" s="16" t="s">
        <v>73</v>
      </c>
    </row>
    <row r="14" spans="1:11" ht="15">
      <c r="E14" s="16"/>
    </row>
    <row r="16" spans="1:11" ht="18">
      <c r="A16" s="17" t="s">
        <v>74</v>
      </c>
      <c r="B16" s="17"/>
    </row>
    <row r="17" spans="1:5" ht="15">
      <c r="A17" s="18" t="s">
        <v>75</v>
      </c>
      <c r="B17" s="18"/>
    </row>
    <row r="18" spans="1:5" ht="14.25">
      <c r="A18" s="20"/>
      <c r="B18" s="21" t="s">
        <v>375</v>
      </c>
    </row>
    <row r="19" spans="1:5" ht="15">
      <c r="A19" s="22" t="s">
        <v>77</v>
      </c>
      <c r="B19" s="22" t="s">
        <v>78</v>
      </c>
      <c r="C19" s="22" t="s">
        <v>79</v>
      </c>
      <c r="D19" s="22" t="s">
        <v>80</v>
      </c>
      <c r="E19" s="22" t="s">
        <v>376</v>
      </c>
    </row>
    <row r="20" spans="1:5">
      <c r="A20" s="19" t="s">
        <v>377</v>
      </c>
      <c r="B20" s="4" t="s">
        <v>378</v>
      </c>
      <c r="C20" s="4" t="s">
        <v>82</v>
      </c>
      <c r="D20" s="4" t="s">
        <v>379</v>
      </c>
      <c r="E20" s="23" t="s">
        <v>380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D20" sqref="D20"/>
    </sheetView>
  </sheetViews>
  <sheetFormatPr defaultRowHeight="12.75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9.140625" style="4" bestFit="1" customWidth="1"/>
    <col min="7" max="7" width="5.5703125" style="3" bestFit="1" customWidth="1"/>
    <col min="8" max="8" width="4.5703125" style="44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33" t="s">
        <v>381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s="1" customFormat="1" ht="12.75" customHeight="1">
      <c r="A3" s="39" t="s">
        <v>0</v>
      </c>
      <c r="B3" s="41" t="s">
        <v>5</v>
      </c>
      <c r="C3" s="41" t="s">
        <v>6</v>
      </c>
      <c r="D3" s="27" t="s">
        <v>365</v>
      </c>
      <c r="E3" s="27" t="s">
        <v>3</v>
      </c>
      <c r="F3" s="27" t="s">
        <v>7</v>
      </c>
      <c r="G3" s="27" t="s">
        <v>366</v>
      </c>
      <c r="H3" s="27"/>
      <c r="I3" s="27" t="s">
        <v>367</v>
      </c>
      <c r="J3" s="27" t="s">
        <v>2</v>
      </c>
      <c r="K3" s="29" t="s">
        <v>1</v>
      </c>
    </row>
    <row r="4" spans="1:11" s="1" customFormat="1" ht="21" customHeight="1" thickBot="1">
      <c r="A4" s="40"/>
      <c r="B4" s="28"/>
      <c r="C4" s="28"/>
      <c r="D4" s="28"/>
      <c r="E4" s="28"/>
      <c r="F4" s="28"/>
      <c r="G4" s="6" t="s">
        <v>368</v>
      </c>
      <c r="H4" s="42" t="s">
        <v>369</v>
      </c>
      <c r="I4" s="28"/>
      <c r="J4" s="28"/>
      <c r="K4" s="30"/>
    </row>
    <row r="5" spans="1:11" ht="15">
      <c r="A5" s="31" t="s">
        <v>188</v>
      </c>
      <c r="B5" s="31"/>
      <c r="C5" s="31"/>
      <c r="D5" s="31"/>
      <c r="E5" s="31"/>
      <c r="F5" s="31"/>
      <c r="G5" s="31"/>
      <c r="H5" s="31"/>
      <c r="I5" s="31"/>
      <c r="J5" s="31"/>
    </row>
    <row r="6" spans="1:11">
      <c r="A6" s="7" t="s">
        <v>382</v>
      </c>
      <c r="B6" s="7" t="s">
        <v>383</v>
      </c>
      <c r="C6" s="7" t="s">
        <v>384</v>
      </c>
      <c r="D6" s="7" t="str">
        <f>"0,6550"</f>
        <v>0,6550</v>
      </c>
      <c r="E6" s="7" t="s">
        <v>15</v>
      </c>
      <c r="F6" s="7" t="s">
        <v>16</v>
      </c>
      <c r="G6" s="9" t="s">
        <v>17</v>
      </c>
      <c r="H6" s="43" t="s">
        <v>385</v>
      </c>
      <c r="I6" s="7" t="str">
        <f>"1402,5"</f>
        <v>1402,5</v>
      </c>
      <c r="J6" s="9" t="str">
        <f>"1144,7097"</f>
        <v>1144,7097</v>
      </c>
      <c r="K6" s="7" t="s">
        <v>19</v>
      </c>
    </row>
    <row r="8" spans="1:11" ht="15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</row>
    <row r="9" spans="1:11">
      <c r="A9" s="7" t="s">
        <v>196</v>
      </c>
      <c r="B9" s="7" t="s">
        <v>197</v>
      </c>
      <c r="C9" s="7" t="s">
        <v>198</v>
      </c>
      <c r="D9" s="7" t="str">
        <f>"0,6153"</f>
        <v>0,6153</v>
      </c>
      <c r="E9" s="7" t="s">
        <v>15</v>
      </c>
      <c r="F9" s="7" t="s">
        <v>199</v>
      </c>
      <c r="G9" s="9" t="s">
        <v>66</v>
      </c>
      <c r="H9" s="43" t="s">
        <v>386</v>
      </c>
      <c r="I9" s="7" t="str">
        <f>"2520,0"</f>
        <v>2520,0</v>
      </c>
      <c r="J9" s="9" t="str">
        <f>"1550,5560"</f>
        <v>1550,5560</v>
      </c>
      <c r="K9" s="7" t="s">
        <v>19</v>
      </c>
    </row>
    <row r="11" spans="1:11" ht="15">
      <c r="A11" s="32" t="s">
        <v>34</v>
      </c>
      <c r="B11" s="32"/>
      <c r="C11" s="32"/>
      <c r="D11" s="32"/>
      <c r="E11" s="32"/>
      <c r="F11" s="32"/>
      <c r="G11" s="32"/>
      <c r="H11" s="32"/>
      <c r="I11" s="32"/>
      <c r="J11" s="32"/>
    </row>
    <row r="12" spans="1:11">
      <c r="A12" s="10" t="s">
        <v>387</v>
      </c>
      <c r="B12" s="10" t="s">
        <v>388</v>
      </c>
      <c r="C12" s="10" t="s">
        <v>389</v>
      </c>
      <c r="D12" s="10" t="str">
        <f>"0,6064"</f>
        <v>0,6064</v>
      </c>
      <c r="E12" s="10" t="s">
        <v>15</v>
      </c>
      <c r="F12" s="10" t="s">
        <v>16</v>
      </c>
      <c r="G12" s="12" t="s">
        <v>148</v>
      </c>
      <c r="H12" s="45" t="s">
        <v>390</v>
      </c>
      <c r="I12" s="10" t="str">
        <f>"2405,0"</f>
        <v>2405,0</v>
      </c>
      <c r="J12" s="12" t="str">
        <f>"1458,3920"</f>
        <v>1458,3920</v>
      </c>
      <c r="K12" s="10" t="s">
        <v>19</v>
      </c>
    </row>
    <row r="13" spans="1:11">
      <c r="A13" s="13" t="s">
        <v>391</v>
      </c>
      <c r="B13" s="13" t="s">
        <v>392</v>
      </c>
      <c r="C13" s="13" t="s">
        <v>393</v>
      </c>
      <c r="D13" s="13" t="str">
        <f>"0,5833"</f>
        <v>0,5833</v>
      </c>
      <c r="E13" s="13" t="s">
        <v>15</v>
      </c>
      <c r="F13" s="13" t="s">
        <v>147</v>
      </c>
      <c r="G13" s="15" t="s">
        <v>67</v>
      </c>
      <c r="H13" s="46" t="s">
        <v>394</v>
      </c>
      <c r="I13" s="13" t="str">
        <f>"2500,0"</f>
        <v>2500,0</v>
      </c>
      <c r="J13" s="15" t="str">
        <f>"1458,2500"</f>
        <v>1458,2500</v>
      </c>
      <c r="K13" s="13" t="s">
        <v>19</v>
      </c>
    </row>
    <row r="15" spans="1:11" ht="15">
      <c r="A15" s="32" t="s">
        <v>49</v>
      </c>
      <c r="B15" s="32"/>
      <c r="C15" s="32"/>
      <c r="D15" s="32"/>
      <c r="E15" s="32"/>
      <c r="F15" s="32"/>
      <c r="G15" s="32"/>
      <c r="H15" s="32"/>
      <c r="I15" s="32"/>
      <c r="J15" s="32"/>
    </row>
    <row r="16" spans="1:11">
      <c r="A16" s="7" t="s">
        <v>395</v>
      </c>
      <c r="B16" s="7" t="s">
        <v>396</v>
      </c>
      <c r="C16" s="7" t="s">
        <v>397</v>
      </c>
      <c r="D16" s="7" t="str">
        <f>"0,5799"</f>
        <v>0,5799</v>
      </c>
      <c r="E16" s="7" t="s">
        <v>15</v>
      </c>
      <c r="F16" s="7" t="s">
        <v>16</v>
      </c>
      <c r="G16" s="9" t="s">
        <v>168</v>
      </c>
      <c r="H16" s="43" t="s">
        <v>398</v>
      </c>
      <c r="I16" s="7" t="str">
        <f>"1845,0"</f>
        <v>1845,0</v>
      </c>
      <c r="J16" s="9" t="str">
        <f>"1069,8233"</f>
        <v>1069,8233</v>
      </c>
      <c r="K16" s="7" t="s">
        <v>19</v>
      </c>
    </row>
    <row r="18" spans="1:5" ht="15">
      <c r="E18" s="16" t="s">
        <v>69</v>
      </c>
    </row>
    <row r="19" spans="1:5" ht="15">
      <c r="E19" s="16" t="s">
        <v>70</v>
      </c>
    </row>
    <row r="20" spans="1:5" ht="15">
      <c r="E20" s="16" t="s">
        <v>71</v>
      </c>
    </row>
    <row r="21" spans="1:5" ht="15">
      <c r="E21" s="16" t="s">
        <v>72</v>
      </c>
    </row>
    <row r="22" spans="1:5" ht="15">
      <c r="E22" s="16" t="s">
        <v>72</v>
      </c>
    </row>
    <row r="23" spans="1:5" ht="15">
      <c r="E23" s="16" t="s">
        <v>73</v>
      </c>
    </row>
    <row r="24" spans="1:5" ht="15">
      <c r="E24" s="16"/>
    </row>
    <row r="26" spans="1:5" ht="18">
      <c r="A26" s="17" t="s">
        <v>74</v>
      </c>
      <c r="B26" s="17"/>
    </row>
    <row r="27" spans="1:5" ht="15">
      <c r="A27" s="18" t="s">
        <v>84</v>
      </c>
      <c r="B27" s="18"/>
    </row>
    <row r="28" spans="1:5" ht="14.25">
      <c r="A28" s="20"/>
      <c r="B28" s="21" t="s">
        <v>76</v>
      </c>
    </row>
    <row r="29" spans="1:5" ht="15">
      <c r="A29" s="22" t="s">
        <v>77</v>
      </c>
      <c r="B29" s="22" t="s">
        <v>78</v>
      </c>
      <c r="C29" s="22" t="s">
        <v>79</v>
      </c>
      <c r="D29" s="22" t="s">
        <v>80</v>
      </c>
      <c r="E29" s="22" t="s">
        <v>376</v>
      </c>
    </row>
    <row r="30" spans="1:5">
      <c r="A30" s="19" t="s">
        <v>195</v>
      </c>
      <c r="B30" s="4" t="s">
        <v>76</v>
      </c>
      <c r="C30" s="4" t="s">
        <v>91</v>
      </c>
      <c r="D30" s="4" t="s">
        <v>399</v>
      </c>
      <c r="E30" s="23" t="s">
        <v>400</v>
      </c>
    </row>
    <row r="31" spans="1:5">
      <c r="A31" s="19" t="s">
        <v>401</v>
      </c>
      <c r="B31" s="4" t="s">
        <v>76</v>
      </c>
      <c r="C31" s="4" t="s">
        <v>85</v>
      </c>
      <c r="D31" s="4" t="s">
        <v>402</v>
      </c>
      <c r="E31" s="23" t="s">
        <v>403</v>
      </c>
    </row>
    <row r="32" spans="1:5">
      <c r="A32" s="19" t="s">
        <v>404</v>
      </c>
      <c r="B32" s="4" t="s">
        <v>76</v>
      </c>
      <c r="C32" s="4" t="s">
        <v>85</v>
      </c>
      <c r="D32" s="4" t="s">
        <v>405</v>
      </c>
      <c r="E32" s="23" t="s">
        <v>406</v>
      </c>
    </row>
    <row r="33" spans="1:5">
      <c r="A33" s="19" t="s">
        <v>407</v>
      </c>
      <c r="B33" s="4" t="s">
        <v>76</v>
      </c>
      <c r="C33" s="4" t="s">
        <v>87</v>
      </c>
      <c r="D33" s="4" t="s">
        <v>408</v>
      </c>
      <c r="E33" s="23" t="s">
        <v>409</v>
      </c>
    </row>
    <row r="35" spans="1:5" ht="14.25">
      <c r="A35" s="20"/>
      <c r="B35" s="21" t="s">
        <v>375</v>
      </c>
    </row>
    <row r="36" spans="1:5" ht="15">
      <c r="A36" s="22" t="s">
        <v>77</v>
      </c>
      <c r="B36" s="22" t="s">
        <v>78</v>
      </c>
      <c r="C36" s="22" t="s">
        <v>79</v>
      </c>
      <c r="D36" s="22" t="s">
        <v>80</v>
      </c>
      <c r="E36" s="22" t="s">
        <v>376</v>
      </c>
    </row>
    <row r="37" spans="1:5">
      <c r="A37" s="19" t="s">
        <v>410</v>
      </c>
      <c r="B37" s="4" t="s">
        <v>411</v>
      </c>
      <c r="C37" s="4" t="s">
        <v>340</v>
      </c>
      <c r="D37" s="4" t="s">
        <v>412</v>
      </c>
      <c r="E37" s="23" t="s">
        <v>413</v>
      </c>
    </row>
  </sheetData>
  <mergeCells count="15">
    <mergeCell ref="K3:K4"/>
    <mergeCell ref="A5:J5"/>
    <mergeCell ref="A8:J8"/>
    <mergeCell ref="A11:J11"/>
    <mergeCell ref="A15:J1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zoomScaleNormal="100" workbookViewId="0">
      <selection sqref="A1:K2"/>
    </sheetView>
  </sheetViews>
  <sheetFormatPr defaultRowHeight="12.75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6.7109375" style="4" bestFit="1" customWidth="1"/>
    <col min="7" max="7" width="5.5703125" style="3" bestFit="1" customWidth="1"/>
    <col min="8" max="8" width="4.5703125" style="44" bestFit="1" customWidth="1"/>
    <col min="9" max="9" width="7.85546875" style="4" bestFit="1" customWidth="1"/>
    <col min="10" max="10" width="9.5703125" style="3" bestFit="1" customWidth="1"/>
    <col min="11" max="11" width="8.85546875" style="4" bestFit="1" customWidth="1"/>
    <col min="12" max="16384" width="9.140625" style="3"/>
  </cols>
  <sheetData>
    <row r="1" spans="1:11" s="2" customFormat="1" ht="29.1" customHeight="1">
      <c r="A1" s="33" t="s">
        <v>414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2" customFormat="1" ht="62.1" customHeight="1" thickBot="1">
      <c r="A2" s="36"/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1" s="1" customFormat="1" ht="12.75" customHeight="1">
      <c r="A3" s="39" t="s">
        <v>0</v>
      </c>
      <c r="B3" s="41" t="s">
        <v>5</v>
      </c>
      <c r="C3" s="41" t="s">
        <v>6</v>
      </c>
      <c r="D3" s="27" t="s">
        <v>365</v>
      </c>
      <c r="E3" s="27" t="s">
        <v>3</v>
      </c>
      <c r="F3" s="27" t="s">
        <v>7</v>
      </c>
      <c r="G3" s="27" t="s">
        <v>366</v>
      </c>
      <c r="H3" s="27"/>
      <c r="I3" s="27" t="s">
        <v>367</v>
      </c>
      <c r="J3" s="27" t="s">
        <v>2</v>
      </c>
      <c r="K3" s="29" t="s">
        <v>1</v>
      </c>
    </row>
    <row r="4" spans="1:11" s="1" customFormat="1" ht="21" customHeight="1" thickBot="1">
      <c r="A4" s="40"/>
      <c r="B4" s="28"/>
      <c r="C4" s="28"/>
      <c r="D4" s="28"/>
      <c r="E4" s="28"/>
      <c r="F4" s="28"/>
      <c r="G4" s="6" t="s">
        <v>368</v>
      </c>
      <c r="H4" s="42" t="s">
        <v>369</v>
      </c>
      <c r="I4" s="28"/>
      <c r="J4" s="28"/>
      <c r="K4" s="30"/>
    </row>
    <row r="5" spans="1:11" ht="15">
      <c r="A5" s="31" t="s">
        <v>188</v>
      </c>
      <c r="B5" s="31"/>
      <c r="C5" s="31"/>
      <c r="D5" s="31"/>
      <c r="E5" s="31"/>
      <c r="F5" s="31"/>
      <c r="G5" s="31"/>
      <c r="H5" s="31"/>
      <c r="I5" s="31"/>
      <c r="J5" s="31"/>
    </row>
    <row r="6" spans="1:11">
      <c r="A6" s="7" t="s">
        <v>415</v>
      </c>
      <c r="B6" s="7" t="s">
        <v>416</v>
      </c>
      <c r="C6" s="7" t="s">
        <v>417</v>
      </c>
      <c r="D6" s="7" t="str">
        <f>"0,6743"</f>
        <v>0,6743</v>
      </c>
      <c r="E6" s="7" t="s">
        <v>15</v>
      </c>
      <c r="F6" s="7" t="s">
        <v>16</v>
      </c>
      <c r="G6" s="9" t="s">
        <v>176</v>
      </c>
      <c r="H6" s="43" t="s">
        <v>418</v>
      </c>
      <c r="I6" s="7" t="str">
        <f>"1240,0"</f>
        <v>1240,0</v>
      </c>
      <c r="J6" s="9" t="str">
        <f>"836,0700"</f>
        <v>836,0700</v>
      </c>
      <c r="K6" s="7" t="s">
        <v>19</v>
      </c>
    </row>
    <row r="8" spans="1:11" ht="15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</row>
    <row r="9" spans="1:11">
      <c r="A9" s="10" t="s">
        <v>419</v>
      </c>
      <c r="B9" s="10" t="s">
        <v>420</v>
      </c>
      <c r="C9" s="10" t="s">
        <v>421</v>
      </c>
      <c r="D9" s="10" t="str">
        <f>"0,6277"</f>
        <v>0,6277</v>
      </c>
      <c r="E9" s="10" t="s">
        <v>15</v>
      </c>
      <c r="F9" s="10" t="s">
        <v>16</v>
      </c>
      <c r="G9" s="12" t="s">
        <v>18</v>
      </c>
      <c r="H9" s="45" t="s">
        <v>422</v>
      </c>
      <c r="I9" s="10" t="str">
        <f>"2887,5"</f>
        <v>2887,5</v>
      </c>
      <c r="J9" s="12" t="str">
        <f>"1812,4837"</f>
        <v>1812,4837</v>
      </c>
      <c r="K9" s="10" t="s">
        <v>19</v>
      </c>
    </row>
    <row r="10" spans="1:11">
      <c r="A10" s="24" t="s">
        <v>423</v>
      </c>
      <c r="B10" s="24" t="s">
        <v>424</v>
      </c>
      <c r="C10" s="24" t="s">
        <v>425</v>
      </c>
      <c r="D10" s="24" t="str">
        <f>"0,6406"</f>
        <v>0,6406</v>
      </c>
      <c r="E10" s="24" t="s">
        <v>15</v>
      </c>
      <c r="F10" s="24" t="s">
        <v>16</v>
      </c>
      <c r="G10" s="26" t="s">
        <v>33</v>
      </c>
      <c r="H10" s="47" t="s">
        <v>426</v>
      </c>
      <c r="I10" s="24" t="str">
        <f>"2295,0"</f>
        <v>2295,0</v>
      </c>
      <c r="J10" s="26" t="str">
        <f>"1470,2917"</f>
        <v>1470,2917</v>
      </c>
      <c r="K10" s="24" t="s">
        <v>19</v>
      </c>
    </row>
    <row r="11" spans="1:11">
      <c r="A11" s="13" t="s">
        <v>427</v>
      </c>
      <c r="B11" s="13" t="s">
        <v>428</v>
      </c>
      <c r="C11" s="13" t="s">
        <v>215</v>
      </c>
      <c r="D11" s="13" t="str">
        <f>"0,6177"</f>
        <v>0,6177</v>
      </c>
      <c r="E11" s="13" t="s">
        <v>15</v>
      </c>
      <c r="F11" s="13" t="s">
        <v>429</v>
      </c>
      <c r="G11" s="15" t="s">
        <v>66</v>
      </c>
      <c r="H11" s="46" t="s">
        <v>394</v>
      </c>
      <c r="I11" s="13" t="str">
        <f>"2250,0"</f>
        <v>2250,0</v>
      </c>
      <c r="J11" s="15" t="str">
        <f>"1389,8250"</f>
        <v>1389,8250</v>
      </c>
      <c r="K11" s="13" t="s">
        <v>19</v>
      </c>
    </row>
    <row r="13" spans="1:11" ht="15">
      <c r="A13" s="32" t="s">
        <v>49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1">
      <c r="A14" s="7" t="s">
        <v>430</v>
      </c>
      <c r="B14" s="7" t="s">
        <v>57</v>
      </c>
      <c r="C14" s="7" t="s">
        <v>58</v>
      </c>
      <c r="D14" s="7" t="str">
        <f>"0,5756"</f>
        <v>0,5756</v>
      </c>
      <c r="E14" s="7" t="s">
        <v>15</v>
      </c>
      <c r="F14" s="7" t="s">
        <v>16</v>
      </c>
      <c r="G14" s="9" t="s">
        <v>168</v>
      </c>
      <c r="H14" s="43" t="s">
        <v>431</v>
      </c>
      <c r="I14" s="7" t="str">
        <f>"2357,5"</f>
        <v>2357,5</v>
      </c>
      <c r="J14" s="9" t="str">
        <f>"1357,0948"</f>
        <v>1357,0948</v>
      </c>
      <c r="K14" s="7" t="s">
        <v>19</v>
      </c>
    </row>
    <row r="16" spans="1:11" ht="15">
      <c r="E16" s="16" t="s">
        <v>69</v>
      </c>
    </row>
    <row r="17" spans="1:5" ht="15">
      <c r="E17" s="16" t="s">
        <v>70</v>
      </c>
    </row>
    <row r="18" spans="1:5" ht="15">
      <c r="E18" s="16" t="s">
        <v>71</v>
      </c>
    </row>
    <row r="19" spans="1:5" ht="15">
      <c r="E19" s="16" t="s">
        <v>72</v>
      </c>
    </row>
    <row r="20" spans="1:5" ht="15">
      <c r="E20" s="16" t="s">
        <v>72</v>
      </c>
    </row>
    <row r="21" spans="1:5" ht="15">
      <c r="E21" s="16" t="s">
        <v>73</v>
      </c>
    </row>
    <row r="22" spans="1:5" ht="15">
      <c r="E22" s="16"/>
    </row>
    <row r="24" spans="1:5" ht="18">
      <c r="A24" s="17" t="s">
        <v>74</v>
      </c>
      <c r="B24" s="17"/>
    </row>
    <row r="25" spans="1:5" ht="15">
      <c r="A25" s="18" t="s">
        <v>84</v>
      </c>
      <c r="B25" s="18"/>
    </row>
    <row r="26" spans="1:5" ht="14.25">
      <c r="A26" s="20"/>
      <c r="B26" s="21" t="s">
        <v>76</v>
      </c>
    </row>
    <row r="27" spans="1:5" ht="15">
      <c r="A27" s="22" t="s">
        <v>77</v>
      </c>
      <c r="B27" s="22" t="s">
        <v>78</v>
      </c>
      <c r="C27" s="22" t="s">
        <v>79</v>
      </c>
      <c r="D27" s="22" t="s">
        <v>80</v>
      </c>
      <c r="E27" s="22" t="s">
        <v>376</v>
      </c>
    </row>
    <row r="28" spans="1:5">
      <c r="A28" s="19" t="s">
        <v>432</v>
      </c>
      <c r="B28" s="4" t="s">
        <v>76</v>
      </c>
      <c r="C28" s="4" t="s">
        <v>91</v>
      </c>
      <c r="D28" s="4" t="s">
        <v>433</v>
      </c>
      <c r="E28" s="23" t="s">
        <v>434</v>
      </c>
    </row>
    <row r="29" spans="1:5">
      <c r="A29" s="19" t="s">
        <v>435</v>
      </c>
      <c r="B29" s="4" t="s">
        <v>76</v>
      </c>
      <c r="C29" s="4" t="s">
        <v>91</v>
      </c>
      <c r="D29" s="4" t="s">
        <v>436</v>
      </c>
      <c r="E29" s="23" t="s">
        <v>437</v>
      </c>
    </row>
    <row r="30" spans="1:5">
      <c r="A30" s="19" t="s">
        <v>438</v>
      </c>
      <c r="B30" s="4" t="s">
        <v>76</v>
      </c>
      <c r="C30" s="4" t="s">
        <v>91</v>
      </c>
      <c r="D30" s="4" t="s">
        <v>439</v>
      </c>
      <c r="E30" s="23" t="s">
        <v>440</v>
      </c>
    </row>
    <row r="31" spans="1:5">
      <c r="A31" s="19" t="s">
        <v>55</v>
      </c>
      <c r="B31" s="4" t="s">
        <v>76</v>
      </c>
      <c r="C31" s="4" t="s">
        <v>87</v>
      </c>
      <c r="D31" s="4" t="s">
        <v>441</v>
      </c>
      <c r="E31" s="23" t="s">
        <v>442</v>
      </c>
    </row>
    <row r="32" spans="1:5">
      <c r="A32" s="19" t="s">
        <v>443</v>
      </c>
      <c r="B32" s="4" t="s">
        <v>76</v>
      </c>
      <c r="C32" s="4" t="s">
        <v>340</v>
      </c>
      <c r="D32" s="4" t="s">
        <v>444</v>
      </c>
      <c r="E32" s="23" t="s">
        <v>445</v>
      </c>
    </row>
  </sheetData>
  <mergeCells count="14">
    <mergeCell ref="K3:K4"/>
    <mergeCell ref="A5:J5"/>
    <mergeCell ref="A8:J8"/>
    <mergeCell ref="A13:J13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WPF c ДК жим безэк.</vt:lpstr>
      <vt:lpstr>WPF жим безэк.</vt:lpstr>
      <vt:lpstr>WPF жим в одн сл. эк.</vt:lpstr>
      <vt:lpstr>WPF НЖ 1_2 вес д.к.</vt:lpstr>
      <vt:lpstr>WPF НЖ 1 вес д.к.</vt:lpstr>
      <vt:lpstr>WPF НЖ 1 вес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Оля</cp:lastModifiedBy>
  <cp:lastPrinted>2015-07-16T19:10:53Z</cp:lastPrinted>
  <dcterms:created xsi:type="dcterms:W3CDTF">2002-06-16T13:36:44Z</dcterms:created>
  <dcterms:modified xsi:type="dcterms:W3CDTF">2019-03-26T18:09:23Z</dcterms:modified>
</cp:coreProperties>
</file>