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s\Documents\WPF\"/>
    </mc:Choice>
  </mc:AlternateContent>
  <bookViews>
    <workbookView xWindow="0" yWindow="0" windowWidth="24105" windowHeight="9315" tabRatio="857"/>
  </bookViews>
  <sheets>
    <sheet name="Элита WPF PRO Жим в мн сл. эк." sheetId="15" r:id="rId1"/>
    <sheet name="WPF PRO Жим в 1-сл. эк." sheetId="6" r:id="rId2"/>
    <sheet name="WPF PRO Жим безэк." sheetId="5" r:id="rId3"/>
    <sheet name="WPF AM Жим в 1-сл. эк." sheetId="10" r:id="rId4"/>
    <sheet name="WPF AM Жим безэк." sheetId="9" r:id="rId5"/>
    <sheet name="WPF НЖ 1 вес" sheetId="14" r:id="rId6"/>
    <sheet name="WPF НЖ 1_2 вес" sheetId="13" r:id="rId7"/>
    <sheet name="WPF НЖ 1 вес с д.к." sheetId="12" r:id="rId8"/>
    <sheet name="WPF НЖ 1_2 вес с д.к." sheetId="11" r:id="rId9"/>
  </sheets>
  <definedNames>
    <definedName name="_FilterDatabase" localSheetId="2" hidden="1">'WPF PRO Жим безэк.'!$A$1:$K$3</definedName>
  </definedNames>
  <calcPr calcId="181029"/>
</workbook>
</file>

<file path=xl/calcChain.xml><?xml version="1.0" encoding="utf-8"?>
<calcChain xmlns="http://schemas.openxmlformats.org/spreadsheetml/2006/main">
  <c r="L24" i="15" l="1"/>
  <c r="K24" i="15"/>
  <c r="D24" i="15"/>
  <c r="L21" i="15"/>
  <c r="K21" i="15"/>
  <c r="D21" i="15"/>
  <c r="L20" i="15"/>
  <c r="K20" i="15"/>
  <c r="D20" i="15"/>
  <c r="L19" i="15"/>
  <c r="K19" i="15"/>
  <c r="D19" i="15"/>
  <c r="L18" i="15"/>
  <c r="K18" i="15"/>
  <c r="D18" i="15"/>
  <c r="L17" i="15"/>
  <c r="K17" i="15"/>
  <c r="D17" i="15"/>
  <c r="L14" i="15"/>
  <c r="K14" i="15"/>
  <c r="D14" i="15"/>
  <c r="L11" i="15"/>
  <c r="K11" i="15"/>
  <c r="D11" i="15"/>
  <c r="L10" i="15"/>
  <c r="K10" i="15"/>
  <c r="D10" i="15"/>
  <c r="L9" i="15"/>
  <c r="K9" i="15"/>
  <c r="D9" i="15"/>
  <c r="L6" i="15"/>
  <c r="K6" i="15"/>
  <c r="D6" i="15"/>
  <c r="J22" i="14" l="1"/>
  <c r="I22" i="14"/>
  <c r="D22" i="14"/>
  <c r="J19" i="14"/>
  <c r="I19" i="14"/>
  <c r="D19" i="14"/>
  <c r="J18" i="14"/>
  <c r="I18" i="14"/>
  <c r="D18" i="14"/>
  <c r="J15" i="14"/>
  <c r="I15" i="14"/>
  <c r="D15" i="14"/>
  <c r="J12" i="14"/>
  <c r="I12" i="14"/>
  <c r="D12" i="14"/>
  <c r="J11" i="14"/>
  <c r="I11" i="14"/>
  <c r="D11" i="14"/>
  <c r="J10" i="14"/>
  <c r="I10" i="14"/>
  <c r="D10" i="14"/>
  <c r="J7" i="14"/>
  <c r="I7" i="14"/>
  <c r="D7" i="14"/>
  <c r="J6" i="14"/>
  <c r="I6" i="14"/>
  <c r="D6" i="14"/>
  <c r="J6" i="13"/>
  <c r="I6" i="13"/>
  <c r="D6" i="13"/>
  <c r="J41" i="12"/>
  <c r="I41" i="12"/>
  <c r="D41" i="12"/>
  <c r="J38" i="12"/>
  <c r="I38" i="12"/>
  <c r="D38" i="12"/>
  <c r="J37" i="12"/>
  <c r="I37" i="12"/>
  <c r="D37" i="12"/>
  <c r="J36" i="12"/>
  <c r="I36" i="12"/>
  <c r="D36" i="12"/>
  <c r="J33" i="12"/>
  <c r="I33" i="12"/>
  <c r="D33" i="12"/>
  <c r="J32" i="12"/>
  <c r="I32" i="12"/>
  <c r="D32" i="12"/>
  <c r="J31" i="12"/>
  <c r="I31" i="12"/>
  <c r="D31" i="12"/>
  <c r="J30" i="12"/>
  <c r="I30" i="12"/>
  <c r="D30" i="12"/>
  <c r="J29" i="12"/>
  <c r="I29" i="12"/>
  <c r="D29" i="12"/>
  <c r="J26" i="12"/>
  <c r="I26" i="12"/>
  <c r="D26" i="12"/>
  <c r="J25" i="12"/>
  <c r="I25" i="12"/>
  <c r="D25" i="12"/>
  <c r="J24" i="12"/>
  <c r="I24" i="12"/>
  <c r="D24" i="12"/>
  <c r="J23" i="12"/>
  <c r="I23" i="12"/>
  <c r="D23" i="12"/>
  <c r="J22" i="12"/>
  <c r="I22" i="12"/>
  <c r="D22" i="12"/>
  <c r="J21" i="12"/>
  <c r="I21" i="12"/>
  <c r="D21" i="12"/>
  <c r="J20" i="12"/>
  <c r="I20" i="12"/>
  <c r="D20" i="12"/>
  <c r="J19" i="12"/>
  <c r="I19" i="12"/>
  <c r="D19" i="12"/>
  <c r="J18" i="12"/>
  <c r="I18" i="12"/>
  <c r="D18" i="12"/>
  <c r="J15" i="12"/>
  <c r="I15" i="12"/>
  <c r="D15" i="12"/>
  <c r="J12" i="12"/>
  <c r="I12" i="12"/>
  <c r="D12" i="12"/>
  <c r="J9" i="12"/>
  <c r="I9" i="12"/>
  <c r="D9" i="12"/>
  <c r="J6" i="12"/>
  <c r="I6" i="12"/>
  <c r="D6" i="12"/>
  <c r="J12" i="11"/>
  <c r="I12" i="11"/>
  <c r="D12" i="11"/>
  <c r="J9" i="11"/>
  <c r="I9" i="11"/>
  <c r="D9" i="11"/>
  <c r="J6" i="11"/>
  <c r="I6" i="11"/>
  <c r="D6" i="11"/>
  <c r="L15" i="10" l="1"/>
  <c r="K15" i="10"/>
  <c r="D15" i="10"/>
  <c r="L12" i="10"/>
  <c r="K12" i="10"/>
  <c r="D12" i="10"/>
  <c r="L11" i="10"/>
  <c r="K11" i="10"/>
  <c r="D11" i="10"/>
  <c r="L10" i="10"/>
  <c r="K10" i="10"/>
  <c r="D10" i="10"/>
  <c r="L9" i="10"/>
  <c r="K9" i="10"/>
  <c r="D9" i="10"/>
  <c r="L6" i="10"/>
  <c r="K6" i="10"/>
  <c r="D6" i="10"/>
  <c r="L133" i="9"/>
  <c r="K133" i="9"/>
  <c r="D133" i="9"/>
  <c r="L130" i="9"/>
  <c r="K130" i="9"/>
  <c r="D130" i="9"/>
  <c r="L129" i="9"/>
  <c r="K129" i="9"/>
  <c r="D129" i="9"/>
  <c r="L128" i="9"/>
  <c r="K128" i="9"/>
  <c r="D128" i="9"/>
  <c r="L127" i="9"/>
  <c r="K127" i="9"/>
  <c r="D127" i="9"/>
  <c r="L124" i="9"/>
  <c r="K124" i="9"/>
  <c r="D124" i="9"/>
  <c r="L123" i="9"/>
  <c r="K123" i="9"/>
  <c r="D123" i="9"/>
  <c r="L122" i="9"/>
  <c r="K122" i="9"/>
  <c r="D122" i="9"/>
  <c r="L121" i="9"/>
  <c r="K121" i="9"/>
  <c r="D121" i="9"/>
  <c r="L120" i="9"/>
  <c r="K120" i="9"/>
  <c r="D120" i="9"/>
  <c r="L119" i="9"/>
  <c r="K119" i="9"/>
  <c r="D119" i="9"/>
  <c r="L116" i="9"/>
  <c r="K116" i="9"/>
  <c r="D116" i="9"/>
  <c r="L115" i="9"/>
  <c r="K115" i="9"/>
  <c r="D115" i="9"/>
  <c r="L114" i="9"/>
  <c r="K114" i="9"/>
  <c r="D114" i="9"/>
  <c r="L113" i="9"/>
  <c r="K113" i="9"/>
  <c r="D113" i="9"/>
  <c r="L112" i="9"/>
  <c r="K112" i="9"/>
  <c r="D112" i="9"/>
  <c r="L111" i="9"/>
  <c r="K111" i="9"/>
  <c r="D111" i="9"/>
  <c r="L110" i="9"/>
  <c r="K110" i="9"/>
  <c r="D110" i="9"/>
  <c r="L109" i="9"/>
  <c r="K109" i="9"/>
  <c r="D109" i="9"/>
  <c r="L108" i="9"/>
  <c r="K108" i="9"/>
  <c r="D108" i="9"/>
  <c r="L107" i="9"/>
  <c r="K107" i="9"/>
  <c r="D107" i="9"/>
  <c r="L106" i="9"/>
  <c r="K106" i="9"/>
  <c r="D106" i="9"/>
  <c r="L105" i="9"/>
  <c r="K105" i="9"/>
  <c r="D105" i="9"/>
  <c r="L104" i="9"/>
  <c r="K104" i="9"/>
  <c r="D104" i="9"/>
  <c r="L103" i="9"/>
  <c r="K103" i="9"/>
  <c r="D103" i="9"/>
  <c r="L102" i="9"/>
  <c r="K102" i="9"/>
  <c r="D102" i="9"/>
  <c r="L99" i="9"/>
  <c r="K99" i="9"/>
  <c r="D99" i="9"/>
  <c r="L98" i="9"/>
  <c r="K98" i="9"/>
  <c r="D98" i="9"/>
  <c r="L97" i="9"/>
  <c r="K97" i="9"/>
  <c r="D97" i="9"/>
  <c r="L96" i="9"/>
  <c r="K96" i="9"/>
  <c r="D96" i="9"/>
  <c r="L95" i="9"/>
  <c r="K95" i="9"/>
  <c r="D95" i="9"/>
  <c r="L94" i="9"/>
  <c r="K94" i="9"/>
  <c r="D94" i="9"/>
  <c r="L93" i="9"/>
  <c r="K93" i="9"/>
  <c r="D93" i="9"/>
  <c r="L92" i="9"/>
  <c r="K92" i="9"/>
  <c r="D92" i="9"/>
  <c r="L91" i="9"/>
  <c r="K91" i="9"/>
  <c r="D91" i="9"/>
  <c r="L90" i="9"/>
  <c r="K90" i="9"/>
  <c r="D90" i="9"/>
  <c r="L87" i="9"/>
  <c r="K87" i="9"/>
  <c r="D87" i="9"/>
  <c r="L86" i="9"/>
  <c r="K86" i="9"/>
  <c r="D86" i="9"/>
  <c r="L85" i="9"/>
  <c r="K85" i="9"/>
  <c r="D85" i="9"/>
  <c r="L84" i="9"/>
  <c r="K84" i="9"/>
  <c r="D84" i="9"/>
  <c r="L83" i="9"/>
  <c r="K83" i="9"/>
  <c r="D83" i="9"/>
  <c r="L82" i="9"/>
  <c r="K82" i="9"/>
  <c r="D82" i="9"/>
  <c r="L81" i="9"/>
  <c r="K81" i="9"/>
  <c r="D81" i="9"/>
  <c r="L80" i="9"/>
  <c r="K80" i="9"/>
  <c r="D80" i="9"/>
  <c r="L79" i="9"/>
  <c r="K79" i="9"/>
  <c r="D79" i="9"/>
  <c r="L78" i="9"/>
  <c r="K78" i="9"/>
  <c r="D78" i="9"/>
  <c r="L77" i="9"/>
  <c r="K77" i="9"/>
  <c r="D77" i="9"/>
  <c r="L76" i="9"/>
  <c r="K76" i="9"/>
  <c r="D76" i="9"/>
  <c r="L75" i="9"/>
  <c r="K75" i="9"/>
  <c r="D75" i="9"/>
  <c r="L74" i="9"/>
  <c r="K74" i="9"/>
  <c r="D74" i="9"/>
  <c r="L73" i="9"/>
  <c r="K73" i="9"/>
  <c r="D73" i="9"/>
  <c r="L72" i="9"/>
  <c r="K72" i="9"/>
  <c r="D72" i="9"/>
  <c r="L69" i="9"/>
  <c r="K69" i="9"/>
  <c r="D69" i="9"/>
  <c r="L68" i="9"/>
  <c r="K68" i="9"/>
  <c r="D68" i="9"/>
  <c r="L67" i="9"/>
  <c r="K67" i="9"/>
  <c r="D67" i="9"/>
  <c r="L66" i="9"/>
  <c r="K66" i="9"/>
  <c r="D66" i="9"/>
  <c r="L65" i="9"/>
  <c r="K65" i="9"/>
  <c r="D65" i="9"/>
  <c r="L64" i="9"/>
  <c r="K64" i="9"/>
  <c r="D64" i="9"/>
  <c r="L63" i="9"/>
  <c r="K63" i="9"/>
  <c r="D63" i="9"/>
  <c r="L62" i="9"/>
  <c r="K62" i="9"/>
  <c r="D62" i="9"/>
  <c r="L61" i="9"/>
  <c r="K61" i="9"/>
  <c r="D61" i="9"/>
  <c r="L60" i="9"/>
  <c r="K60" i="9"/>
  <c r="D60" i="9"/>
  <c r="L59" i="9"/>
  <c r="K59" i="9"/>
  <c r="D59" i="9"/>
  <c r="L58" i="9"/>
  <c r="K58" i="9"/>
  <c r="D58" i="9"/>
  <c r="L57" i="9"/>
  <c r="K57" i="9"/>
  <c r="D57" i="9"/>
  <c r="L56" i="9"/>
  <c r="K56" i="9"/>
  <c r="D56" i="9"/>
  <c r="L55" i="9"/>
  <c r="K55" i="9"/>
  <c r="D55" i="9"/>
  <c r="L54" i="9"/>
  <c r="K54" i="9"/>
  <c r="D54" i="9"/>
  <c r="L53" i="9"/>
  <c r="K53" i="9"/>
  <c r="D53" i="9"/>
  <c r="L50" i="9"/>
  <c r="K50" i="9"/>
  <c r="D50" i="9"/>
  <c r="L49" i="9"/>
  <c r="K49" i="9"/>
  <c r="D49" i="9"/>
  <c r="L48" i="9"/>
  <c r="K48" i="9"/>
  <c r="D48" i="9"/>
  <c r="L47" i="9"/>
  <c r="K47" i="9"/>
  <c r="D47" i="9"/>
  <c r="L46" i="9"/>
  <c r="K46" i="9"/>
  <c r="D46" i="9"/>
  <c r="L45" i="9"/>
  <c r="K45" i="9"/>
  <c r="D45" i="9"/>
  <c r="L44" i="9"/>
  <c r="K44" i="9"/>
  <c r="D44" i="9"/>
  <c r="L43" i="9"/>
  <c r="K43" i="9"/>
  <c r="D43" i="9"/>
  <c r="L40" i="9"/>
  <c r="K40" i="9"/>
  <c r="D40" i="9"/>
  <c r="L39" i="9"/>
  <c r="K39" i="9"/>
  <c r="D39" i="9"/>
  <c r="L38" i="9"/>
  <c r="K38" i="9"/>
  <c r="D38" i="9"/>
  <c r="L37" i="9"/>
  <c r="K37" i="9"/>
  <c r="D37" i="9"/>
  <c r="L36" i="9"/>
  <c r="K36" i="9"/>
  <c r="D36" i="9"/>
  <c r="L35" i="9"/>
  <c r="K35" i="9"/>
  <c r="D35" i="9"/>
  <c r="L34" i="9"/>
  <c r="K34" i="9"/>
  <c r="D34" i="9"/>
  <c r="L31" i="9"/>
  <c r="K31" i="9"/>
  <c r="D31" i="9"/>
  <c r="L28" i="9"/>
  <c r="K28" i="9"/>
  <c r="D28" i="9"/>
  <c r="L25" i="9"/>
  <c r="K25" i="9"/>
  <c r="D25" i="9"/>
  <c r="L24" i="9"/>
  <c r="K24" i="9"/>
  <c r="D24" i="9"/>
  <c r="L23" i="9"/>
  <c r="K23" i="9"/>
  <c r="D23" i="9"/>
  <c r="L20" i="9"/>
  <c r="K20" i="9"/>
  <c r="D20" i="9"/>
  <c r="L19" i="9"/>
  <c r="K19" i="9"/>
  <c r="D19" i="9"/>
  <c r="L18" i="9"/>
  <c r="K18" i="9"/>
  <c r="D18" i="9"/>
  <c r="L17" i="9"/>
  <c r="K17" i="9"/>
  <c r="D17" i="9"/>
  <c r="L14" i="9"/>
  <c r="K14" i="9"/>
  <c r="D14" i="9"/>
  <c r="L13" i="9"/>
  <c r="K13" i="9"/>
  <c r="D13" i="9"/>
  <c r="L10" i="9"/>
  <c r="K10" i="9"/>
  <c r="D10" i="9"/>
  <c r="L7" i="9"/>
  <c r="K7" i="9"/>
  <c r="D7" i="9"/>
  <c r="L6" i="9"/>
  <c r="K6" i="9"/>
  <c r="D6" i="9"/>
  <c r="L15" i="6"/>
  <c r="K15" i="6"/>
  <c r="D15" i="6"/>
  <c r="L14" i="6"/>
  <c r="K14" i="6"/>
  <c r="D14" i="6"/>
  <c r="L11" i="6"/>
  <c r="K11" i="6"/>
  <c r="D11" i="6"/>
  <c r="L10" i="6"/>
  <c r="K10" i="6"/>
  <c r="D10" i="6"/>
  <c r="L7" i="6"/>
  <c r="K7" i="6"/>
  <c r="D7" i="6"/>
  <c r="L6" i="6"/>
  <c r="K6" i="6"/>
  <c r="D6" i="6"/>
  <c r="L42" i="5"/>
  <c r="K42" i="5"/>
  <c r="D42" i="5"/>
  <c r="L39" i="5"/>
  <c r="K39" i="5"/>
  <c r="D39" i="5"/>
  <c r="L38" i="5"/>
  <c r="K38" i="5"/>
  <c r="D38" i="5"/>
  <c r="L37" i="5"/>
  <c r="K37" i="5"/>
  <c r="D37" i="5"/>
  <c r="L36" i="5"/>
  <c r="K36" i="5"/>
  <c r="D36" i="5"/>
  <c r="L33" i="5"/>
  <c r="K33" i="5"/>
  <c r="D33" i="5"/>
  <c r="L32" i="5"/>
  <c r="K32" i="5"/>
  <c r="D32" i="5"/>
  <c r="L31" i="5"/>
  <c r="K31" i="5"/>
  <c r="D31" i="5"/>
  <c r="L30" i="5"/>
  <c r="K30" i="5"/>
  <c r="D30" i="5"/>
  <c r="L29" i="5"/>
  <c r="K29" i="5"/>
  <c r="D29" i="5"/>
  <c r="L28" i="5"/>
  <c r="K28" i="5"/>
  <c r="D28" i="5"/>
  <c r="L25" i="5"/>
  <c r="K25" i="5"/>
  <c r="D25" i="5"/>
  <c r="L24" i="5"/>
  <c r="K24" i="5"/>
  <c r="D24" i="5"/>
  <c r="L23" i="5"/>
  <c r="K23" i="5"/>
  <c r="D23" i="5"/>
  <c r="L20" i="5"/>
  <c r="K20" i="5"/>
  <c r="D20" i="5"/>
  <c r="L19" i="5"/>
  <c r="K19" i="5"/>
  <c r="D19" i="5"/>
  <c r="L16" i="5"/>
  <c r="K16" i="5"/>
  <c r="D16" i="5"/>
  <c r="L15" i="5"/>
  <c r="K15" i="5"/>
  <c r="D15" i="5"/>
  <c r="L14" i="5"/>
  <c r="K14" i="5"/>
  <c r="D14" i="5"/>
  <c r="L11" i="5"/>
  <c r="K11" i="5"/>
  <c r="D11" i="5"/>
  <c r="L10" i="5"/>
  <c r="K10" i="5"/>
  <c r="D10" i="5"/>
  <c r="L7" i="5"/>
  <c r="K7" i="5"/>
  <c r="D7" i="5"/>
  <c r="L6" i="5"/>
  <c r="K6" i="5"/>
  <c r="D6" i="5"/>
</calcChain>
</file>

<file path=xl/sharedStrings.xml><?xml version="1.0" encoding="utf-8"?>
<sst xmlns="http://schemas.openxmlformats.org/spreadsheetml/2006/main" count="2583" uniqueCount="1040">
  <si>
    <t>ФИО</t>
  </si>
  <si>
    <t>Тренер</t>
  </si>
  <si>
    <t>Очки</t>
  </si>
  <si>
    <t>Команда</t>
  </si>
  <si>
    <t>Рек</t>
  </si>
  <si>
    <t>Возрастная группа
Дата рождения/Возраст</t>
  </si>
  <si>
    <t>Собственный 
Вес</t>
  </si>
  <si>
    <t>Город/Область</t>
  </si>
  <si>
    <t>Кремлевский жим 2019
WPF PRO Жим лежа Безэкипировочный
Ершово/Московская область 20 - 21 апреля 2019 г.</t>
  </si>
  <si>
    <t>Wilks</t>
  </si>
  <si>
    <t>Жим лёжа</t>
  </si>
  <si>
    <t>ВЕСОВАЯ КАТЕГОРИЯ   75</t>
  </si>
  <si>
    <t>Морозова Анна</t>
  </si>
  <si>
    <t>1. Морозова Анна</t>
  </si>
  <si>
    <t>Открытая (17.07.1987)/31</t>
  </si>
  <si>
    <t>71,80</t>
  </si>
  <si>
    <t xml:space="preserve">Московская </t>
  </si>
  <si>
    <t xml:space="preserve">Воскресенск/Московская область </t>
  </si>
  <si>
    <t>95,0</t>
  </si>
  <si>
    <t>100,0</t>
  </si>
  <si>
    <t>102,5</t>
  </si>
  <si>
    <t xml:space="preserve">Морозов С. В. </t>
  </si>
  <si>
    <t>Грачева Ольга</t>
  </si>
  <si>
    <t>2. Грачева Ольга</t>
  </si>
  <si>
    <t>Открытая (19.09.1978)/40</t>
  </si>
  <si>
    <t>74,40</t>
  </si>
  <si>
    <t xml:space="preserve">Москва </t>
  </si>
  <si>
    <t xml:space="preserve">Москва/ </t>
  </si>
  <si>
    <t>92,5</t>
  </si>
  <si>
    <t xml:space="preserve">Милосердов О.В. </t>
  </si>
  <si>
    <t>Кулаков Владимир</t>
  </si>
  <si>
    <t>1. Кулаков Владимир</t>
  </si>
  <si>
    <t>Открытая (24.12.1955)/63</t>
  </si>
  <si>
    <t>74,00</t>
  </si>
  <si>
    <t>77,5</t>
  </si>
  <si>
    <t>82,5</t>
  </si>
  <si>
    <t>Ветераны 60 - 64 (24.12.1955)/63</t>
  </si>
  <si>
    <t>ВЕСОВАЯ КАТЕГОРИЯ   82.5</t>
  </si>
  <si>
    <t>Семенов Юрий</t>
  </si>
  <si>
    <t>1. Семенов Юрий</t>
  </si>
  <si>
    <t>Открытая (12.10.1988)/30</t>
  </si>
  <si>
    <t>79,30</t>
  </si>
  <si>
    <t>150,0</t>
  </si>
  <si>
    <t>160,0</t>
  </si>
  <si>
    <t>167,5</t>
  </si>
  <si>
    <t>Володин Андрей</t>
  </si>
  <si>
    <t>1. Володин Андрей</t>
  </si>
  <si>
    <t>Ветераны 45 - 49 (03.03.1971)/48</t>
  </si>
  <si>
    <t>80,00</t>
  </si>
  <si>
    <t>152,5</t>
  </si>
  <si>
    <t>155,0</t>
  </si>
  <si>
    <t>Мещеряков Андрей</t>
  </si>
  <si>
    <t>1. Мещеряков Андрей</t>
  </si>
  <si>
    <t>Ветераны 50 - 54 (28.10.1965)/53</t>
  </si>
  <si>
    <t>77,70</t>
  </si>
  <si>
    <t>122,5</t>
  </si>
  <si>
    <t>130,0</t>
  </si>
  <si>
    <t>132,5</t>
  </si>
  <si>
    <t xml:space="preserve">Лазариди Г.К. </t>
  </si>
  <si>
    <t>ВЕСОВАЯ КАТЕГОРИЯ   90</t>
  </si>
  <si>
    <t>Фирюлин Сергей</t>
  </si>
  <si>
    <t>1. Фирюлин Сергей</t>
  </si>
  <si>
    <t>Открытая (05.04.1980)/39</t>
  </si>
  <si>
    <t>88,70</t>
  </si>
  <si>
    <t>185,0</t>
  </si>
  <si>
    <t>190,0</t>
  </si>
  <si>
    <t>Ануфриев Сергей</t>
  </si>
  <si>
    <t>1. Ануфриев Сергей</t>
  </si>
  <si>
    <t>Ветераны 45 - 49 (03.10.1969)/49</t>
  </si>
  <si>
    <t>87,90</t>
  </si>
  <si>
    <t>162,5</t>
  </si>
  <si>
    <t>172,5</t>
  </si>
  <si>
    <t>ВЕСОВАЯ КАТЕГОРИЯ   100</t>
  </si>
  <si>
    <t>Мучлер Александр</t>
  </si>
  <si>
    <t>1. Мучлер Александр</t>
  </si>
  <si>
    <t>Открытая (06.08.1979)/39</t>
  </si>
  <si>
    <t>95,30</t>
  </si>
  <si>
    <t>175,0</t>
  </si>
  <si>
    <t>180,0</t>
  </si>
  <si>
    <t xml:space="preserve">Репета В. </t>
  </si>
  <si>
    <t>Новиков Игорь</t>
  </si>
  <si>
    <t>2. Новиков Игорь</t>
  </si>
  <si>
    <t>Открытая (24.08.1984)/34</t>
  </si>
  <si>
    <t>98,60</t>
  </si>
  <si>
    <t>145,0</t>
  </si>
  <si>
    <t>157,5</t>
  </si>
  <si>
    <t>Череп Александр</t>
  </si>
  <si>
    <t>1. Череп Александр</t>
  </si>
  <si>
    <t>Ветераны 40 - 44 (19.05.1975)/43</t>
  </si>
  <si>
    <t>97,10</t>
  </si>
  <si>
    <t xml:space="preserve">Череп А.В </t>
  </si>
  <si>
    <t>ВЕСОВАЯ КАТЕГОРИЯ   110</t>
  </si>
  <si>
    <t>Орлов Илья</t>
  </si>
  <si>
    <t>1. Орлов Илья</t>
  </si>
  <si>
    <t>Открытая (23.06.1982)/36</t>
  </si>
  <si>
    <t>104,20</t>
  </si>
  <si>
    <t>220,0</t>
  </si>
  <si>
    <t>230,0</t>
  </si>
  <si>
    <t>240,0</t>
  </si>
  <si>
    <t xml:space="preserve">Краснов Н.Н. </t>
  </si>
  <si>
    <t>Чапаев Максим</t>
  </si>
  <si>
    <t>2. Чапаев Максим</t>
  </si>
  <si>
    <t>Открытая (26.06.1991)/27</t>
  </si>
  <si>
    <t>105,70</t>
  </si>
  <si>
    <t>200,0</t>
  </si>
  <si>
    <t>Суворов Артём</t>
  </si>
  <si>
    <t>3. Суворов Артём</t>
  </si>
  <si>
    <t>Открытая (21.05.1988)/30</t>
  </si>
  <si>
    <t>105,20</t>
  </si>
  <si>
    <t xml:space="preserve">Владимирская </t>
  </si>
  <si>
    <t xml:space="preserve">Александров/Владимирская область </t>
  </si>
  <si>
    <t xml:space="preserve">Суворов А. Ю. </t>
  </si>
  <si>
    <t>Герштанский Сергей</t>
  </si>
  <si>
    <t>1. Герштанский Сергей</t>
  </si>
  <si>
    <t>Ветераны 45 - 49 (06.04.1974)/45</t>
  </si>
  <si>
    <t>108,10</t>
  </si>
  <si>
    <t>Старцев Виталий</t>
  </si>
  <si>
    <t>1. Старцев Виталий</t>
  </si>
  <si>
    <t>Ветераны 55 - 59 (06.06.1963)/55</t>
  </si>
  <si>
    <t>104,80</t>
  </si>
  <si>
    <t>115,0</t>
  </si>
  <si>
    <t>120,0</t>
  </si>
  <si>
    <t>125,0</t>
  </si>
  <si>
    <t>Дьяконов Сергей</t>
  </si>
  <si>
    <t>1. Дьяконов Сергей</t>
  </si>
  <si>
    <t>Ветераны 60 - 64 (08.07.1957)/61</t>
  </si>
  <si>
    <t>101,80</t>
  </si>
  <si>
    <t>140,0</t>
  </si>
  <si>
    <t xml:space="preserve"> </t>
  </si>
  <si>
    <t>ВЕСОВАЯ КАТЕГОРИЯ   125</t>
  </si>
  <si>
    <t>Усынин Константин</t>
  </si>
  <si>
    <t>1. Усынин Константин</t>
  </si>
  <si>
    <t>Открытая (13.05.1988)/30</t>
  </si>
  <si>
    <t>123,30</t>
  </si>
  <si>
    <t>215,0</t>
  </si>
  <si>
    <t>225,0</t>
  </si>
  <si>
    <t>-. Мынка Эрик</t>
  </si>
  <si>
    <t>Открытая (14.07.1996)/22</t>
  </si>
  <si>
    <t>113,20</t>
  </si>
  <si>
    <t xml:space="preserve">Люберцы/Московская область </t>
  </si>
  <si>
    <t>Мордвинцев Олег</t>
  </si>
  <si>
    <t>1. Мордвинцев Олег</t>
  </si>
  <si>
    <t>Ветераны 45 - 49 (22.03.1973)/46</t>
  </si>
  <si>
    <t>115,60</t>
  </si>
  <si>
    <t xml:space="preserve">Тамбовская </t>
  </si>
  <si>
    <t xml:space="preserve">Рассказово/Тамбовская область </t>
  </si>
  <si>
    <t xml:space="preserve">Рысцов А.В. </t>
  </si>
  <si>
    <t>Нурахметов Вячеслав</t>
  </si>
  <si>
    <t>1. Нурахметов Вячеслав</t>
  </si>
  <si>
    <t>Ветераны 55 - 59 (29.10.1962)/56</t>
  </si>
  <si>
    <t>124,50</t>
  </si>
  <si>
    <t>ВЕСОВАЯ КАТЕГОРИЯ   140</t>
  </si>
  <si>
    <t>Зуйков Евгений</t>
  </si>
  <si>
    <t>1. Зуйков Евгений</t>
  </si>
  <si>
    <t>Открытая (10.05.1994)/24</t>
  </si>
  <si>
    <t>128,80</t>
  </si>
  <si>
    <t xml:space="preserve">Звенигород/Московская область </t>
  </si>
  <si>
    <t>205,0</t>
  </si>
  <si>
    <t>212,5</t>
  </si>
  <si>
    <t xml:space="preserve">Беловал Е.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</si>
  <si>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</si>
  <si>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</si>
  <si>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</si>
  <si>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</si>
  <si>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</si>
  <si>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</si>
  <si>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</si>
  <si>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</si>
  <si>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</si>
  <si>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</si>
  <si>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</si>
  <si>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</si>
  <si>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</si>
  <si>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75</t>
  </si>
  <si>
    <t>100,2348</t>
  </si>
  <si>
    <t>90,7725</t>
  </si>
  <si>
    <t xml:space="preserve">Мужчины </t>
  </si>
  <si>
    <t>110</t>
  </si>
  <si>
    <t>137,8160</t>
  </si>
  <si>
    <t>125</t>
  </si>
  <si>
    <t>128,5875</t>
  </si>
  <si>
    <t>140</t>
  </si>
  <si>
    <t>120,3813</t>
  </si>
  <si>
    <t>90</t>
  </si>
  <si>
    <t>118,9920</t>
  </si>
  <si>
    <t>113,2780</t>
  </si>
  <si>
    <t>100</t>
  </si>
  <si>
    <t>111,7980</t>
  </si>
  <si>
    <t>82.5</t>
  </si>
  <si>
    <t>109,8400</t>
  </si>
  <si>
    <t>95,5520</t>
  </si>
  <si>
    <t>93,3453</t>
  </si>
  <si>
    <t>59,3422</t>
  </si>
  <si>
    <t xml:space="preserve">Ветераны </t>
  </si>
  <si>
    <t xml:space="preserve">Ветераны 55 - 59 </t>
  </si>
  <si>
    <t>131,4598</t>
  </si>
  <si>
    <t xml:space="preserve">Ветераны 60 - 64 </t>
  </si>
  <si>
    <t>123,8416</t>
  </si>
  <si>
    <t xml:space="preserve">Ветераны 45 - 49 </t>
  </si>
  <si>
    <t>120,4881</t>
  </si>
  <si>
    <t>119,8275</t>
  </si>
  <si>
    <t xml:space="preserve">Ветераны 50 - 54 </t>
  </si>
  <si>
    <t>109,1414</t>
  </si>
  <si>
    <t xml:space="preserve">Ветераны 40 - 44 </t>
  </si>
  <si>
    <t>100,0439</t>
  </si>
  <si>
    <t>96,7577</t>
  </si>
  <si>
    <t>96,0629</t>
  </si>
  <si>
    <t>91,5687</t>
  </si>
  <si>
    <t>84,3253</t>
  </si>
  <si>
    <t>Результат</t>
  </si>
  <si>
    <t>Кремлевский жим 2019
WPF PRO Жим лежа в Однослойной экипировке
Ершово/Московская область 20 - 21 апреля 2019 г.</t>
  </si>
  <si>
    <t>Филиппов Кирилл</t>
  </si>
  <si>
    <t>1. Филиппов Кирилл</t>
  </si>
  <si>
    <t>Открытая (07.01.1989)/30</t>
  </si>
  <si>
    <t>97,00</t>
  </si>
  <si>
    <t xml:space="preserve">Тучково/Московская область </t>
  </si>
  <si>
    <t>250,0</t>
  </si>
  <si>
    <t>260,0</t>
  </si>
  <si>
    <t>270,0</t>
  </si>
  <si>
    <t>Карпов Денис</t>
  </si>
  <si>
    <t>2. Карпов Денис</t>
  </si>
  <si>
    <t>Открытая (20.04.1981)/38</t>
  </si>
  <si>
    <t>99,00</t>
  </si>
  <si>
    <t xml:space="preserve">Соколов Н.Д. </t>
  </si>
  <si>
    <t>Брехов Роман</t>
  </si>
  <si>
    <t>1. Брехов Роман</t>
  </si>
  <si>
    <t>Открытая (24.02.1990)/29</t>
  </si>
  <si>
    <t>109,10</t>
  </si>
  <si>
    <t xml:space="preserve">Балашиха/Московская область </t>
  </si>
  <si>
    <t>255,0</t>
  </si>
  <si>
    <t>262,5</t>
  </si>
  <si>
    <t>271,0</t>
  </si>
  <si>
    <t xml:space="preserve">Соловьёв В. </t>
  </si>
  <si>
    <t>Бахарев Дмитрий</t>
  </si>
  <si>
    <t>2. Бахарев Дмитрий</t>
  </si>
  <si>
    <t>Открытая (05.04.1995)/24</t>
  </si>
  <si>
    <t>109,70</t>
  </si>
  <si>
    <t xml:space="preserve">Дмитров/Московская область </t>
  </si>
  <si>
    <t>245,0</t>
  </si>
  <si>
    <t xml:space="preserve">Цветков В.А. </t>
  </si>
  <si>
    <t>Рысцов Александр</t>
  </si>
  <si>
    <t>1. Рысцов Александр</t>
  </si>
  <si>
    <t>Открытая (02.12.1979)/39</t>
  </si>
  <si>
    <t>113,90</t>
  </si>
  <si>
    <t>257,5</t>
  </si>
  <si>
    <t>-. Мордвинцев Олег</t>
  </si>
  <si>
    <t>160,2380</t>
  </si>
  <si>
    <t>154,8750</t>
  </si>
  <si>
    <t>151,4760</t>
  </si>
  <si>
    <t>150,1950</t>
  </si>
  <si>
    <t>140,5530</t>
  </si>
  <si>
    <t>Кремлевский жим 2019
WPF AM Жим лежа Безэкипировочный
Ершово/Московская область 20 - 21 апреля 2019 г.</t>
  </si>
  <si>
    <t>ВЕСОВАЯ КАТЕГОРИЯ   48</t>
  </si>
  <si>
    <t>Романова Наталья</t>
  </si>
  <si>
    <t>1. Романова Наталья</t>
  </si>
  <si>
    <t>Открытая (18.11.1983)/35</t>
  </si>
  <si>
    <t>47,60</t>
  </si>
  <si>
    <t xml:space="preserve">Санкт-Петербург </t>
  </si>
  <si>
    <t xml:space="preserve">Санкт-Петербург/ </t>
  </si>
  <si>
    <t>50,0</t>
  </si>
  <si>
    <t>52,5</t>
  </si>
  <si>
    <t>55,0</t>
  </si>
  <si>
    <t xml:space="preserve">Мурзаханов К.А. </t>
  </si>
  <si>
    <t>Грибахо Оксана</t>
  </si>
  <si>
    <t>2. Грибахо Оксана</t>
  </si>
  <si>
    <t>Открытая (30.12.1990)/28</t>
  </si>
  <si>
    <t xml:space="preserve">Подольск/Московская область </t>
  </si>
  <si>
    <t>45,0</t>
  </si>
  <si>
    <t>47,5</t>
  </si>
  <si>
    <t xml:space="preserve">Чуриков В. </t>
  </si>
  <si>
    <t>ВЕСОВАЯ КАТЕГОРИЯ   52</t>
  </si>
  <si>
    <t>Камышникова Марина</t>
  </si>
  <si>
    <t>1. Камышникова Марина</t>
  </si>
  <si>
    <t>Открытая (16.02.1979)/40</t>
  </si>
  <si>
    <t>52,00</t>
  </si>
  <si>
    <t>57,5</t>
  </si>
  <si>
    <t xml:space="preserve">Мавренков С.В. </t>
  </si>
  <si>
    <t>ВЕСОВАЯ КАТЕГОРИЯ   56</t>
  </si>
  <si>
    <t>Абрамян Юлия</t>
  </si>
  <si>
    <t>1. Абрамян Юлия</t>
  </si>
  <si>
    <t>Ветераны 40 - 44 (04.08.1977)/41</t>
  </si>
  <si>
    <t>56,00</t>
  </si>
  <si>
    <t xml:space="preserve">Абрамян Ю.В. </t>
  </si>
  <si>
    <t>-. Феоктистова Наталья</t>
  </si>
  <si>
    <t>Ветераны 45 - 49 (08.11.1969)/49</t>
  </si>
  <si>
    <t>55,60</t>
  </si>
  <si>
    <t xml:space="preserve">Кузнецов Е С </t>
  </si>
  <si>
    <t>ВЕСОВАЯ КАТЕГОРИЯ   60</t>
  </si>
  <si>
    <t>Лябина Елена</t>
  </si>
  <si>
    <t>1. Лябина Елена</t>
  </si>
  <si>
    <t>Открытая (13.02.1977)/42</t>
  </si>
  <si>
    <t>59,70</t>
  </si>
  <si>
    <t>75,0</t>
  </si>
  <si>
    <t>80,0</t>
  </si>
  <si>
    <t>85,0</t>
  </si>
  <si>
    <t>Кричмар Ольга</t>
  </si>
  <si>
    <t>2. Кричмар Ольга</t>
  </si>
  <si>
    <t>Открытая (09.03.1982)/37</t>
  </si>
  <si>
    <t>59,20</t>
  </si>
  <si>
    <t xml:space="preserve">Чекренев А.В. </t>
  </si>
  <si>
    <t>Григорьева Тамара</t>
  </si>
  <si>
    <t>3. Григорьева Тамара</t>
  </si>
  <si>
    <t>Открытая (09.04.1990)/29</t>
  </si>
  <si>
    <t>59,30</t>
  </si>
  <si>
    <t xml:space="preserve">Истра/Московская область </t>
  </si>
  <si>
    <t>65,0</t>
  </si>
  <si>
    <t>70,0</t>
  </si>
  <si>
    <t xml:space="preserve">Лазарев В.В. </t>
  </si>
  <si>
    <t>Медведева Елена</t>
  </si>
  <si>
    <t>1. Медведева Елена</t>
  </si>
  <si>
    <t>Ветераны 50 - 54 (10.10.1962)/56</t>
  </si>
  <si>
    <t>58,70</t>
  </si>
  <si>
    <t xml:space="preserve">Реутов/Московская область </t>
  </si>
  <si>
    <t>ВЕСОВАЯ КАТЕГОРИЯ   67.5</t>
  </si>
  <si>
    <t>Волкова Мария</t>
  </si>
  <si>
    <t>1. Волкова Мария</t>
  </si>
  <si>
    <t>Открытая (03.01.1995)/24</t>
  </si>
  <si>
    <t>66,50</t>
  </si>
  <si>
    <t xml:space="preserve">Дубна/Московская область </t>
  </si>
  <si>
    <t>87,5</t>
  </si>
  <si>
    <t xml:space="preserve">Шабров А.Г. </t>
  </si>
  <si>
    <t>Соболевская Елена</t>
  </si>
  <si>
    <t>2. Соболевская Елена</t>
  </si>
  <si>
    <t>Открытая (25.06.1979)/39</t>
  </si>
  <si>
    <t>66,30</t>
  </si>
  <si>
    <t>60,0</t>
  </si>
  <si>
    <t xml:space="preserve">Соболевская Е.Н. </t>
  </si>
  <si>
    <t>Баранова Ольга</t>
  </si>
  <si>
    <t>1. Баранова Ольга</t>
  </si>
  <si>
    <t>Ветераны 40 - 44 (21.05.1976)/42</t>
  </si>
  <si>
    <t>66,00</t>
  </si>
  <si>
    <t>62,5</t>
  </si>
  <si>
    <t>Романова Нина</t>
  </si>
  <si>
    <t>1. Романова Нина</t>
  </si>
  <si>
    <t>Ветераны 40 - 44 (19.05.1978)/40</t>
  </si>
  <si>
    <t>81,20</t>
  </si>
  <si>
    <t xml:space="preserve">Раменское/Московская область </t>
  </si>
  <si>
    <t>Арцимовский Дмитрий</t>
  </si>
  <si>
    <t>1. Арцимовский Дмитрий</t>
  </si>
  <si>
    <t>Юноши 15-19 (03.03.2004)/15</t>
  </si>
  <si>
    <t>54,50</t>
  </si>
  <si>
    <t xml:space="preserve">Сенькин В В </t>
  </si>
  <si>
    <t>Сумин Максим</t>
  </si>
  <si>
    <t>1. Сумин Максим</t>
  </si>
  <si>
    <t>Юниоры 20 - 23 (25.08.1996)/22</t>
  </si>
  <si>
    <t>63,60</t>
  </si>
  <si>
    <t xml:space="preserve">Одинцово/Московская область </t>
  </si>
  <si>
    <t>105,0</t>
  </si>
  <si>
    <t>Сурин Артем</t>
  </si>
  <si>
    <t>2. Сурин Артем</t>
  </si>
  <si>
    <t>Юниоры 20 - 23 (17.03.1997)/22</t>
  </si>
  <si>
    <t>65,00</t>
  </si>
  <si>
    <t>97,5</t>
  </si>
  <si>
    <t xml:space="preserve">Сурин А.Д. </t>
  </si>
  <si>
    <t>Цапок Валерий</t>
  </si>
  <si>
    <t>1. Цапок Валерий</t>
  </si>
  <si>
    <t>Открытая (29.05.1983)/35</t>
  </si>
  <si>
    <t>67,00</t>
  </si>
  <si>
    <t>127,5</t>
  </si>
  <si>
    <t>Лахири Валерий</t>
  </si>
  <si>
    <t>2. Лахири Валерий</t>
  </si>
  <si>
    <t>Открытая (31.12.1973)/45</t>
  </si>
  <si>
    <t>66,40</t>
  </si>
  <si>
    <t>117,5</t>
  </si>
  <si>
    <t>3. Сандимиров Сергей</t>
  </si>
  <si>
    <t>Открытая (30.01.1995)/24</t>
  </si>
  <si>
    <t>65,30</t>
  </si>
  <si>
    <t xml:space="preserve">Ульяновская </t>
  </si>
  <si>
    <t xml:space="preserve">Ульяновск/Ульяновская область </t>
  </si>
  <si>
    <t>110,0</t>
  </si>
  <si>
    <t>112,5</t>
  </si>
  <si>
    <t xml:space="preserve">Бектимиров Р. </t>
  </si>
  <si>
    <t>1. Чвиков Николай</t>
  </si>
  <si>
    <t>Ветераны 40 - 44 (17.09.1978)/40</t>
  </si>
  <si>
    <t xml:space="preserve">Семенова О.Г. </t>
  </si>
  <si>
    <t>1. Лахири Валерий</t>
  </si>
  <si>
    <t>Ветераны 45 - 49 (31.12.1973)/45</t>
  </si>
  <si>
    <t>Моисеев Даниил</t>
  </si>
  <si>
    <t>1. Моисеев Даниил</t>
  </si>
  <si>
    <t>Юноши 15-19 (05.12.2001)/17</t>
  </si>
  <si>
    <t>137,5</t>
  </si>
  <si>
    <t xml:space="preserve">Иванкин Д.Н. </t>
  </si>
  <si>
    <t>Ходкин Дмитрий</t>
  </si>
  <si>
    <t>2. Ходкин Дмитрий</t>
  </si>
  <si>
    <t>Юноши 15-19 (20.12.2002)/16</t>
  </si>
  <si>
    <t xml:space="preserve">Лазарев В. </t>
  </si>
  <si>
    <t>Семенов Григорий</t>
  </si>
  <si>
    <t>1. Семенов Григорий</t>
  </si>
  <si>
    <t>Открытая (03.10.1992)/26</t>
  </si>
  <si>
    <t>Калашин Кирилл</t>
  </si>
  <si>
    <t>2. Калашин Кирилл</t>
  </si>
  <si>
    <t>Открытая (30.09.1987)/31</t>
  </si>
  <si>
    <t>75,00</t>
  </si>
  <si>
    <t>135,0</t>
  </si>
  <si>
    <t>Голованов Алексей</t>
  </si>
  <si>
    <t>3. Голованов Алексей</t>
  </si>
  <si>
    <t>Открытая (16.04.1994)/25</t>
  </si>
  <si>
    <t>72,30</t>
  </si>
  <si>
    <t>4. Дьяков Эдвард</t>
  </si>
  <si>
    <t>Открытая (27.01.1989)/30</t>
  </si>
  <si>
    <t>73,60</t>
  </si>
  <si>
    <t xml:space="preserve">Резников М. </t>
  </si>
  <si>
    <t>5. Серов Алексей</t>
  </si>
  <si>
    <t>Открытая (08.07.1981)/37</t>
  </si>
  <si>
    <t>68,60</t>
  </si>
  <si>
    <t>90,0</t>
  </si>
  <si>
    <t>Солодов Олег</t>
  </si>
  <si>
    <t>1. Солодов Олег</t>
  </si>
  <si>
    <t>Ветераны 45 - 49 (14.10.1971)/47</t>
  </si>
  <si>
    <t>73,00</t>
  </si>
  <si>
    <t>Бектемиров Рамиль</t>
  </si>
  <si>
    <t>1. Бектемиров Рамиль</t>
  </si>
  <si>
    <t>Открытая (08.09.1987)/31</t>
  </si>
  <si>
    <t>81,30</t>
  </si>
  <si>
    <t xml:space="preserve">Апрелевка/Московская область </t>
  </si>
  <si>
    <t>Кожевников Алексей</t>
  </si>
  <si>
    <t>2. Кожевников Алексей</t>
  </si>
  <si>
    <t>Открытая (20.12.1983)/35</t>
  </si>
  <si>
    <t>81,70</t>
  </si>
  <si>
    <t>170,0</t>
  </si>
  <si>
    <t xml:space="preserve">Домашевский А.В. </t>
  </si>
  <si>
    <t>Рудаков Максим</t>
  </si>
  <si>
    <t>3. Рудаков Максим</t>
  </si>
  <si>
    <t>Открытая (12.03.1991)/28</t>
  </si>
  <si>
    <t>Сагоудинов Руслан</t>
  </si>
  <si>
    <t>4. Сагоудинов Руслан</t>
  </si>
  <si>
    <t>Открытая (15.04.1983)/36</t>
  </si>
  <si>
    <t>80,50</t>
  </si>
  <si>
    <t xml:space="preserve">Краснозаводск/Московская область </t>
  </si>
  <si>
    <t>147,5</t>
  </si>
  <si>
    <t>Григорьев Иван</t>
  </si>
  <si>
    <t>5. Григорьев Иван</t>
  </si>
  <si>
    <t>Открытая (16.11.1990)/28</t>
  </si>
  <si>
    <t>80,70</t>
  </si>
  <si>
    <t>Никифоров Игорь</t>
  </si>
  <si>
    <t>6. Никифоров Игорь</t>
  </si>
  <si>
    <t>Открытая (24.09.1994)/24</t>
  </si>
  <si>
    <t xml:space="preserve">Шатура/Московская область </t>
  </si>
  <si>
    <t xml:space="preserve">Лихачев Евгений </t>
  </si>
  <si>
    <t>Караич Юрий</t>
  </si>
  <si>
    <t>7. Караич Юрий</t>
  </si>
  <si>
    <t>Открытая (03.11.1982)/36</t>
  </si>
  <si>
    <t>81,00</t>
  </si>
  <si>
    <t>Анточ Михаил</t>
  </si>
  <si>
    <t>8. Анточ Михаил</t>
  </si>
  <si>
    <t>Открытая (26.10.1992)/26</t>
  </si>
  <si>
    <t>77,20</t>
  </si>
  <si>
    <t>9. Почиталкин Игорь</t>
  </si>
  <si>
    <t>Открытая (22.06.1984)/34</t>
  </si>
  <si>
    <t xml:space="preserve">Игорь Почиталкин </t>
  </si>
  <si>
    <t>10. Веселов Дмитрий</t>
  </si>
  <si>
    <t>Открытая (02.09.1983)/35</t>
  </si>
  <si>
    <t>11. Евсеев Роман</t>
  </si>
  <si>
    <t>Открытая (12.08.1993)/25</t>
  </si>
  <si>
    <t>80,10</t>
  </si>
  <si>
    <t>Волков Андрей</t>
  </si>
  <si>
    <t>1. Волков Андрей</t>
  </si>
  <si>
    <t>Ветераны 45 - 49 (25.08.1972)/46</t>
  </si>
  <si>
    <t xml:space="preserve">Краснов Николай </t>
  </si>
  <si>
    <t>Шалеников Андрей</t>
  </si>
  <si>
    <t>2. Шалеников Андрей</t>
  </si>
  <si>
    <t>Ветераны 45 - 49 (18.04.1974)/45</t>
  </si>
  <si>
    <t>142,5</t>
  </si>
  <si>
    <t xml:space="preserve">Сумин А.В. </t>
  </si>
  <si>
    <t>-. Орлов Сергей</t>
  </si>
  <si>
    <t>Ветераны 50 - 54 (16.11.1967)/51</t>
  </si>
  <si>
    <t>77,50</t>
  </si>
  <si>
    <t>Краснов Николай</t>
  </si>
  <si>
    <t>1. Краснов Николай</t>
  </si>
  <si>
    <t>Ветераны 55 - 59 (22.07.1960)/58</t>
  </si>
  <si>
    <t>82,10</t>
  </si>
  <si>
    <t>Кондрашев Сергей</t>
  </si>
  <si>
    <t>2. Кондрашев Сергей</t>
  </si>
  <si>
    <t>Ветераны 55 - 59 (16.09.1963)/55</t>
  </si>
  <si>
    <t>Пивнов Владимир</t>
  </si>
  <si>
    <t>1. Пивнов Владимир</t>
  </si>
  <si>
    <t>Ветераны 65 - 69 (05.11.1953)/65</t>
  </si>
  <si>
    <t>79,50</t>
  </si>
  <si>
    <t xml:space="preserve">Новиков И.П. </t>
  </si>
  <si>
    <t>Вернидуб Никита</t>
  </si>
  <si>
    <t>1. Вернидуб Никита</t>
  </si>
  <si>
    <t>Юниоры 20 - 23 (18.09.1997)/21</t>
  </si>
  <si>
    <t xml:space="preserve">Дунаев А. </t>
  </si>
  <si>
    <t>Конаныкин Дмитрий</t>
  </si>
  <si>
    <t>1. Конаныкин Дмитрий</t>
  </si>
  <si>
    <t>Открытая (19.04.1986)/33</t>
  </si>
  <si>
    <t>88,00</t>
  </si>
  <si>
    <t xml:space="preserve">Хотьково/Московская область </t>
  </si>
  <si>
    <t>177,5</t>
  </si>
  <si>
    <t xml:space="preserve">Костев Н.П. </t>
  </si>
  <si>
    <t>Волков Вячеслав</t>
  </si>
  <si>
    <t>2. Волков Вячеслав</t>
  </si>
  <si>
    <t>Открытая (13.11.1971)/47</t>
  </si>
  <si>
    <t>89,70</t>
  </si>
  <si>
    <t xml:space="preserve">Зеленоград/Московская область </t>
  </si>
  <si>
    <t>165,0</t>
  </si>
  <si>
    <t>182,5</t>
  </si>
  <si>
    <t>Тимофеев Александр</t>
  </si>
  <si>
    <t>3. Тимофеев Александр</t>
  </si>
  <si>
    <t>Открытая (27.05.1989)/29</t>
  </si>
  <si>
    <t>85,20</t>
  </si>
  <si>
    <t>4. Товпеко Роман</t>
  </si>
  <si>
    <t>Открытая (13.03.1981)/38</t>
  </si>
  <si>
    <t xml:space="preserve">Товпеко Р.Н. </t>
  </si>
  <si>
    <t>5. Мельничук Роман</t>
  </si>
  <si>
    <t>Открытая (31.05.1991)/27</t>
  </si>
  <si>
    <t xml:space="preserve">Мельничук Р.А. </t>
  </si>
  <si>
    <t>6. Одинаев Мамуджон</t>
  </si>
  <si>
    <t>Открытая (01.10.1985)/33</t>
  </si>
  <si>
    <t>89,30</t>
  </si>
  <si>
    <t xml:space="preserve">Бактимиров Р. </t>
  </si>
  <si>
    <t>-. Егиазарян Лев</t>
  </si>
  <si>
    <t>Открытая (19.08.1983)/35</t>
  </si>
  <si>
    <t>86,40</t>
  </si>
  <si>
    <t xml:space="preserve">Антонов Николай </t>
  </si>
  <si>
    <t>-. Савенко Дмитрий</t>
  </si>
  <si>
    <t>Открытая (26.03.1983)/36</t>
  </si>
  <si>
    <t>87,10</t>
  </si>
  <si>
    <t>-. Волков Вячеслав</t>
  </si>
  <si>
    <t>1. Волков Вячеслав</t>
  </si>
  <si>
    <t>Ветераны 45 - 49 (13.11.1971)/47</t>
  </si>
  <si>
    <t>Чепурной Михаил</t>
  </si>
  <si>
    <t>2. Чепурной Михаил</t>
  </si>
  <si>
    <t>Ветераны 45 - 49 (26.02.1970)/49</t>
  </si>
  <si>
    <t>88,60</t>
  </si>
  <si>
    <t xml:space="preserve">Кобец Д. </t>
  </si>
  <si>
    <t>3. Сурин Денис</t>
  </si>
  <si>
    <t>Ветераны 45 - 49 (16.02.1974)/45</t>
  </si>
  <si>
    <t>88,80</t>
  </si>
  <si>
    <t xml:space="preserve">Сурин Д.В. </t>
  </si>
  <si>
    <t>Валенцев Владимир</t>
  </si>
  <si>
    <t>1. Валенцев Владимир</t>
  </si>
  <si>
    <t>Ветераны 50 - 54 (25.12.1965)/53</t>
  </si>
  <si>
    <t>83,50</t>
  </si>
  <si>
    <t>Алексаков Михаил</t>
  </si>
  <si>
    <t>1. Алексаков Михаил</t>
  </si>
  <si>
    <t>Ветераны 60 - 64 (04.12.1954)/64</t>
  </si>
  <si>
    <t>87,50</t>
  </si>
  <si>
    <t xml:space="preserve">Нахабино/Московская область </t>
  </si>
  <si>
    <t>Пивоваров Валерий</t>
  </si>
  <si>
    <t>1. Пивоваров Валерий</t>
  </si>
  <si>
    <t>Ветераны 65 - 69 (20.05.1952)/66</t>
  </si>
  <si>
    <t>85,00</t>
  </si>
  <si>
    <t>Герасименко Андрей</t>
  </si>
  <si>
    <t>1. Герасименко Андрей</t>
  </si>
  <si>
    <t>Открытая (06.09.1990)/28</t>
  </si>
  <si>
    <t>99,80</t>
  </si>
  <si>
    <t>2. Векшин Михаил</t>
  </si>
  <si>
    <t>Открытая (23.05.1983)/35</t>
  </si>
  <si>
    <t>90,40</t>
  </si>
  <si>
    <t xml:space="preserve">Михаил </t>
  </si>
  <si>
    <t>3. Ряжских Алексей</t>
  </si>
  <si>
    <t>Открытая (15.09.1990)/28</t>
  </si>
  <si>
    <t>95,80</t>
  </si>
  <si>
    <t>-. Комаров Андрей</t>
  </si>
  <si>
    <t>Открытая (07.09.1986)/32</t>
  </si>
  <si>
    <t>98,00</t>
  </si>
  <si>
    <t>Ковальский Алексей</t>
  </si>
  <si>
    <t>1. Ковальский Алексей</t>
  </si>
  <si>
    <t>Ветераны 40 - 44 (25.12.1975)/43</t>
  </si>
  <si>
    <t>97,70</t>
  </si>
  <si>
    <t xml:space="preserve">Краснов Н. </t>
  </si>
  <si>
    <t>2. Долгушин Денис</t>
  </si>
  <si>
    <t>Ветераны 40 - 44 (24.04.1978)/40</t>
  </si>
  <si>
    <t>100,00</t>
  </si>
  <si>
    <t>Ладонцев Алексей</t>
  </si>
  <si>
    <t>1. Ладонцев Алексей</t>
  </si>
  <si>
    <t>Ветераны 45 - 49 (17.11.1973)/45</t>
  </si>
  <si>
    <t xml:space="preserve">Рак И. </t>
  </si>
  <si>
    <t>Алехин Михаил</t>
  </si>
  <si>
    <t>2. Алехин Михаил</t>
  </si>
  <si>
    <t>Ветераны 45 - 49 (06.08.1969)/49</t>
  </si>
  <si>
    <t xml:space="preserve">Красноармейск/Московская область </t>
  </si>
  <si>
    <t>3. Ивановский Роман</t>
  </si>
  <si>
    <t>Ветераны 45 - 49 (06.10.1969)/49</t>
  </si>
  <si>
    <t>99,60</t>
  </si>
  <si>
    <t>Ежков Андрей</t>
  </si>
  <si>
    <t>1. Ежков Андрей</t>
  </si>
  <si>
    <t>Ветераны 50 - 54 (08.06.1967)/51</t>
  </si>
  <si>
    <t>99,40</t>
  </si>
  <si>
    <t xml:space="preserve">Щелково/Московская область </t>
  </si>
  <si>
    <t>Ветренко Михаил</t>
  </si>
  <si>
    <t>1. Ветренко Михаил</t>
  </si>
  <si>
    <t>Юниоры 20 - 23 (14.10.1997)/21</t>
  </si>
  <si>
    <t>Храмченко Артём</t>
  </si>
  <si>
    <t>2. Храмченко Артём</t>
  </si>
  <si>
    <t>Юниоры 20 - 23 (22.04.1998)/21</t>
  </si>
  <si>
    <t>105,60</t>
  </si>
  <si>
    <t>Лещенко Иван</t>
  </si>
  <si>
    <t>1. Лещенко Иван</t>
  </si>
  <si>
    <t>Открытая (10.07.1986)/32</t>
  </si>
  <si>
    <t>106,20</t>
  </si>
  <si>
    <t xml:space="preserve">Пауесов А.И. </t>
  </si>
  <si>
    <t>Панчук Евгений</t>
  </si>
  <si>
    <t>2. Панчук Евгений</t>
  </si>
  <si>
    <t>Открытая (01.07.1982)/36</t>
  </si>
  <si>
    <t>103,60</t>
  </si>
  <si>
    <t>Соколов Анастасий</t>
  </si>
  <si>
    <t>3. Соколов Анастасий</t>
  </si>
  <si>
    <t>Открытая (05.08.1991)/27</t>
  </si>
  <si>
    <t>Попов Роман</t>
  </si>
  <si>
    <t>4. Попов Роман</t>
  </si>
  <si>
    <t>Открытая (27.07.1992)/26</t>
  </si>
  <si>
    <t>106,90</t>
  </si>
  <si>
    <t xml:space="preserve">Королёв/Московская область </t>
  </si>
  <si>
    <t xml:space="preserve">Свиридов Дмитрий </t>
  </si>
  <si>
    <t>5. Кошелев Александр</t>
  </si>
  <si>
    <t>Открытая (25.03.1982)/37</t>
  </si>
  <si>
    <t>108,20</t>
  </si>
  <si>
    <t>6. Семенов Владимир</t>
  </si>
  <si>
    <t>Открытая (18.01.1987)/32</t>
  </si>
  <si>
    <t>103,30</t>
  </si>
  <si>
    <t>Липовский Сергей</t>
  </si>
  <si>
    <t>1. Липовский Сергей</t>
  </si>
  <si>
    <t>Ветераны 40 - 44 (17.08.1975)/43</t>
  </si>
  <si>
    <t>Савицкий Владислав</t>
  </si>
  <si>
    <t>2. Савицкий Владислав</t>
  </si>
  <si>
    <t>Ветераны 40 - 44 (24.03.1976)/43</t>
  </si>
  <si>
    <t>102,10</t>
  </si>
  <si>
    <t xml:space="preserve">Мишуренков Р.С. </t>
  </si>
  <si>
    <t>Ремин Кирилл</t>
  </si>
  <si>
    <t>3. Ремин Кирилл</t>
  </si>
  <si>
    <t>Ветераны 40 - 44 (13.08.1975)/43</t>
  </si>
  <si>
    <t>103,70</t>
  </si>
  <si>
    <t xml:space="preserve">Пушнин М. </t>
  </si>
  <si>
    <t>4. Строилов Михаил</t>
  </si>
  <si>
    <t>Ветераны 40 - 44 (09.01.1976)/43</t>
  </si>
  <si>
    <t>109,50</t>
  </si>
  <si>
    <t xml:space="preserve">Мудрогелов Р.А. </t>
  </si>
  <si>
    <t>1. Веснин Артем</t>
  </si>
  <si>
    <t>Ветераны 45 - 49 (08.09.1971)/47</t>
  </si>
  <si>
    <t>101,70</t>
  </si>
  <si>
    <t>Кондратьев Валерий</t>
  </si>
  <si>
    <t>1. Кондратьев Валерий</t>
  </si>
  <si>
    <t>Ветераны 55 - 59 (15.01.1964)/55</t>
  </si>
  <si>
    <t>106,60</t>
  </si>
  <si>
    <t xml:space="preserve">Московская область/Московская </t>
  </si>
  <si>
    <t>Милованов Николай</t>
  </si>
  <si>
    <t>1. Милованов Николай</t>
  </si>
  <si>
    <t>Ветераны 60 - 64 (11.12.1957)/61</t>
  </si>
  <si>
    <t>102,40</t>
  </si>
  <si>
    <t xml:space="preserve">Рязанская </t>
  </si>
  <si>
    <t xml:space="preserve">Рязань/Рязанская область </t>
  </si>
  <si>
    <t>Чулин Сергей</t>
  </si>
  <si>
    <t>1. Чулин Сергей</t>
  </si>
  <si>
    <t>Открытая (18.04.1987)/32</t>
  </si>
  <si>
    <t>121,70</t>
  </si>
  <si>
    <t xml:space="preserve">Тульская </t>
  </si>
  <si>
    <t xml:space="preserve">Тула/Тульская область </t>
  </si>
  <si>
    <t>Селезнев Владимир</t>
  </si>
  <si>
    <t>2. Селезнев Владимир</t>
  </si>
  <si>
    <t>Открытая (09.05.1977)/41</t>
  </si>
  <si>
    <t>124,80</t>
  </si>
  <si>
    <t>187,5</t>
  </si>
  <si>
    <t>3. Розаев Виктор</t>
  </si>
  <si>
    <t>Открытая (09.03.1993)/26</t>
  </si>
  <si>
    <t>122,40</t>
  </si>
  <si>
    <t xml:space="preserve">Тверская </t>
  </si>
  <si>
    <t xml:space="preserve">Тверь/Тверская область </t>
  </si>
  <si>
    <t>-. Хачатрян Георгий</t>
  </si>
  <si>
    <t>Открытая (23.07.1986)/32</t>
  </si>
  <si>
    <t>112,00</t>
  </si>
  <si>
    <t xml:space="preserve">Лосино-Петровский/Московская область </t>
  </si>
  <si>
    <t>1. Селезнев Владимир</t>
  </si>
  <si>
    <t>Ветераны 40 - 44 (09.05.1977)/41</t>
  </si>
  <si>
    <t>Мишин Станислав</t>
  </si>
  <si>
    <t>2. Мишин Станислав</t>
  </si>
  <si>
    <t>Ветераны 40 - 44 (02.11.1978)/40</t>
  </si>
  <si>
    <t>111,20</t>
  </si>
  <si>
    <t xml:space="preserve">Фрязино/Московская область </t>
  </si>
  <si>
    <t xml:space="preserve">Канищев Р.В. </t>
  </si>
  <si>
    <t>Мишуренков Роман</t>
  </si>
  <si>
    <t>1. Мишуренков Роман</t>
  </si>
  <si>
    <t>Открытая (16.02.1982)/37</t>
  </si>
  <si>
    <t>137,50</t>
  </si>
  <si>
    <t>210,0</t>
  </si>
  <si>
    <t>Святский Алексей</t>
  </si>
  <si>
    <t>2. Святский Алексей</t>
  </si>
  <si>
    <t>Открытая (19.07.1989)/29</t>
  </si>
  <si>
    <t>134,10</t>
  </si>
  <si>
    <t>3. Остапенко Василий</t>
  </si>
  <si>
    <t>Открытая (06.04.1981)/38</t>
  </si>
  <si>
    <t>134,60</t>
  </si>
  <si>
    <t xml:space="preserve">Челябинская </t>
  </si>
  <si>
    <t xml:space="preserve">Челябинск/Челябинская область </t>
  </si>
  <si>
    <t>Захаров Сергей</t>
  </si>
  <si>
    <t>1. Захаров Сергей</t>
  </si>
  <si>
    <t>Ветераны 40 - 44 (27.09.1974)/44</t>
  </si>
  <si>
    <t>126,90</t>
  </si>
  <si>
    <t>ВЕСОВАЯ КАТЕГОРИЯ   140+</t>
  </si>
  <si>
    <t>1. Любцов Александр</t>
  </si>
  <si>
    <t>Открытая (30.11.1984)/34</t>
  </si>
  <si>
    <t>156,00</t>
  </si>
  <si>
    <t>67.5</t>
  </si>
  <si>
    <t>98,0115</t>
  </si>
  <si>
    <t>60</t>
  </si>
  <si>
    <t>95,1320</t>
  </si>
  <si>
    <t>84,4950</t>
  </si>
  <si>
    <t>73,1315</t>
  </si>
  <si>
    <t>48</t>
  </si>
  <si>
    <t>69,9615</t>
  </si>
  <si>
    <t>52</t>
  </si>
  <si>
    <t>68,5630</t>
  </si>
  <si>
    <t>62,0340</t>
  </si>
  <si>
    <t>59,9670</t>
  </si>
  <si>
    <t>72,6080</t>
  </si>
  <si>
    <t>70,6482</t>
  </si>
  <si>
    <t>63,4889</t>
  </si>
  <si>
    <t>56</t>
  </si>
  <si>
    <t>62,3892</t>
  </si>
  <si>
    <t xml:space="preserve">Юноши </t>
  </si>
  <si>
    <t xml:space="preserve">Юноши 15-19 </t>
  </si>
  <si>
    <t>100,3240</t>
  </si>
  <si>
    <t>74,8160</t>
  </si>
  <si>
    <t>61,1405</t>
  </si>
  <si>
    <t xml:space="preserve">Юниоры </t>
  </si>
  <si>
    <t xml:space="preserve">Юниоры 20 - 23 </t>
  </si>
  <si>
    <t>103,2500</t>
  </si>
  <si>
    <t>101,3880</t>
  </si>
  <si>
    <t>85,0500</t>
  </si>
  <si>
    <t>83,6160</t>
  </si>
  <si>
    <t>77,5320</t>
  </si>
  <si>
    <t>125,0415</t>
  </si>
  <si>
    <t>120,4645</t>
  </si>
  <si>
    <t>119,4915</t>
  </si>
  <si>
    <t>117,9325</t>
  </si>
  <si>
    <t>116,7088</t>
  </si>
  <si>
    <t>113,2897</t>
  </si>
  <si>
    <t>113,0880</t>
  </si>
  <si>
    <t>112,6835</t>
  </si>
  <si>
    <t>106,4075</t>
  </si>
  <si>
    <t>106,0235</t>
  </si>
  <si>
    <t>105,4000</t>
  </si>
  <si>
    <t>105,2000</t>
  </si>
  <si>
    <t>104,0250</t>
  </si>
  <si>
    <t>102,0680</t>
  </si>
  <si>
    <t>101,8500</t>
  </si>
  <si>
    <t>101,6600</t>
  </si>
  <si>
    <t>101,2680</t>
  </si>
  <si>
    <t>101,0850</t>
  </si>
  <si>
    <t>100,9630</t>
  </si>
  <si>
    <t>100,8280</t>
  </si>
  <si>
    <t>98,7525</t>
  </si>
  <si>
    <t>98,2230</t>
  </si>
  <si>
    <t>97,9825</t>
  </si>
  <si>
    <t>97,8180</t>
  </si>
  <si>
    <t xml:space="preserve">Ветераны 65 - 69 </t>
  </si>
  <si>
    <t>142,0149</t>
  </si>
  <si>
    <t>140,9562</t>
  </si>
  <si>
    <t>126,2789</t>
  </si>
  <si>
    <t>121,8497</t>
  </si>
  <si>
    <t>113,9069</t>
  </si>
  <si>
    <t>112,0346</t>
  </si>
  <si>
    <t>111,3851</t>
  </si>
  <si>
    <t>109,3685</t>
  </si>
  <si>
    <t>107,4490</t>
  </si>
  <si>
    <t>106,6551</t>
  </si>
  <si>
    <t>106,1053</t>
  </si>
  <si>
    <t>105,5880</t>
  </si>
  <si>
    <t>105,2548</t>
  </si>
  <si>
    <t>105,1832</t>
  </si>
  <si>
    <t>105,0652</t>
  </si>
  <si>
    <t>102,8161</t>
  </si>
  <si>
    <t>101,9568</t>
  </si>
  <si>
    <t>101,3514</t>
  </si>
  <si>
    <t>100,9733</t>
  </si>
  <si>
    <t>98,8438</t>
  </si>
  <si>
    <t>98,6428</t>
  </si>
  <si>
    <t>98,4348</t>
  </si>
  <si>
    <t>97,9699</t>
  </si>
  <si>
    <t>96,4787</t>
  </si>
  <si>
    <t>Кремлевский жим 2019
WPF AM Жим лежа в Однослойной экипировке
Ершово/Московская область 20 - 21 апреля 2019 г.</t>
  </si>
  <si>
    <t>Левенкова Наталья</t>
  </si>
  <si>
    <t>1. Левенкова Наталья</t>
  </si>
  <si>
    <t>Открытая (16.09.1988)/30</t>
  </si>
  <si>
    <t xml:space="preserve">Филатов В.Г. </t>
  </si>
  <si>
    <t>Корнеев Дмитрий</t>
  </si>
  <si>
    <t>1. Корнеев Дмитрий</t>
  </si>
  <si>
    <t>Открытая (15.02.1987)/32</t>
  </si>
  <si>
    <t>88,90</t>
  </si>
  <si>
    <t>Саунин Дмитрий</t>
  </si>
  <si>
    <t>2. Саунин Дмитрий</t>
  </si>
  <si>
    <t>Открытая (23.04.1994)/25</t>
  </si>
  <si>
    <t xml:space="preserve">Шабров А. Г. </t>
  </si>
  <si>
    <t>-. Невежин Станислав</t>
  </si>
  <si>
    <t>Открытая (25.07.1988)/30</t>
  </si>
  <si>
    <t>87,00</t>
  </si>
  <si>
    <t xml:space="preserve">Берман Я.В. </t>
  </si>
  <si>
    <t>-. Галкин Дмитрий</t>
  </si>
  <si>
    <t>Открытая (14.08.1987)/31</t>
  </si>
  <si>
    <t>89,60</t>
  </si>
  <si>
    <t xml:space="preserve">Саратовская </t>
  </si>
  <si>
    <t xml:space="preserve">Саратов/Саратовская область </t>
  </si>
  <si>
    <t xml:space="preserve">Рахманов В.А. </t>
  </si>
  <si>
    <t>Рак Иван</t>
  </si>
  <si>
    <t>1. Рак Иван</t>
  </si>
  <si>
    <t>Ветераны 40 - 44 (27.08.1974)/44</t>
  </si>
  <si>
    <t>106,40</t>
  </si>
  <si>
    <t xml:space="preserve">Евстигнеев М. </t>
  </si>
  <si>
    <t>100,0110</t>
  </si>
  <si>
    <t>122,0560</t>
  </si>
  <si>
    <t>106,6395</t>
  </si>
  <si>
    <t>130,2790</t>
  </si>
  <si>
    <t>Кремлевский жим 2019 НЖ
WPU Народный жим (1/2 вес) с д.к.
Ершово/Московская область 20 - 21 апреля 2019 г.</t>
  </si>
  <si>
    <t>Gloss</t>
  </si>
  <si>
    <t>Жим мн. повт.</t>
  </si>
  <si>
    <t>Тоннаж</t>
  </si>
  <si>
    <t>Вес</t>
  </si>
  <si>
    <t>Повторы</t>
  </si>
  <si>
    <t>27,5</t>
  </si>
  <si>
    <t>30,0</t>
  </si>
  <si>
    <t>1. Цымбаленко Ирина</t>
  </si>
  <si>
    <t>Открытая (05.11.1984)/34</t>
  </si>
  <si>
    <t>39,0</t>
  </si>
  <si>
    <t xml:space="preserve">Цымбаленко Владимир Владимиров </t>
  </si>
  <si>
    <t>1. Соболевская Елена</t>
  </si>
  <si>
    <t>35,0</t>
  </si>
  <si>
    <t>34,0</t>
  </si>
  <si>
    <t xml:space="preserve">Gloss </t>
  </si>
  <si>
    <t>Цымбаленко Ирина</t>
  </si>
  <si>
    <t>1170,0</t>
  </si>
  <si>
    <t>1160,1720</t>
  </si>
  <si>
    <t>1190,0</t>
  </si>
  <si>
    <t>1085,6965</t>
  </si>
  <si>
    <t>825,0</t>
  </si>
  <si>
    <t>913,7700</t>
  </si>
  <si>
    <t>Кремлевский жим 2019 НЖ
WPU Народный жим (1 вес) с д.к.
Ершово/Московская область 20 - 21 апреля 2019 г.</t>
  </si>
  <si>
    <t>-. Камышникова Марина</t>
  </si>
  <si>
    <t>1. Толстухин Игорь</t>
  </si>
  <si>
    <t>Юниоры 20 - 23 (01.02.1998)/21</t>
  </si>
  <si>
    <t>59,80</t>
  </si>
  <si>
    <t>12,0</t>
  </si>
  <si>
    <t xml:space="preserve">Бирюков А. </t>
  </si>
  <si>
    <t>67,5</t>
  </si>
  <si>
    <t>36,0</t>
  </si>
  <si>
    <t>1. Гусев Илья</t>
  </si>
  <si>
    <t>69,60</t>
  </si>
  <si>
    <t>42,0</t>
  </si>
  <si>
    <t>1. Дудник Александр</t>
  </si>
  <si>
    <t>Открытая (12.02.1980)/39</t>
  </si>
  <si>
    <t>79,60</t>
  </si>
  <si>
    <t>38,0</t>
  </si>
  <si>
    <t>2. Анточ Михаил</t>
  </si>
  <si>
    <t>32,0</t>
  </si>
  <si>
    <t>3. Пивнов Владимир</t>
  </si>
  <si>
    <t>Открытая (05.11.1953)/65</t>
  </si>
  <si>
    <t>31,0</t>
  </si>
  <si>
    <t>4. Калашин Кирилл</t>
  </si>
  <si>
    <t>26,0</t>
  </si>
  <si>
    <t>5. Караич Юрий</t>
  </si>
  <si>
    <t>82,00</t>
  </si>
  <si>
    <t>23,0</t>
  </si>
  <si>
    <t>1. Шатухо Федор</t>
  </si>
  <si>
    <t>Мастера 40 - 49 (27.10.1974)/44</t>
  </si>
  <si>
    <t>75,30</t>
  </si>
  <si>
    <t>28,0</t>
  </si>
  <si>
    <t>1. Кушинас Русланас</t>
  </si>
  <si>
    <t>Мастера 40 - 49 (23.08.1969)/49</t>
  </si>
  <si>
    <t>76,90</t>
  </si>
  <si>
    <t xml:space="preserve">Кушинас Р. </t>
  </si>
  <si>
    <t>1. Орлов Сергей</t>
  </si>
  <si>
    <t>Мастера 50 - 59 (16.11.1967)/51</t>
  </si>
  <si>
    <t>78,10</t>
  </si>
  <si>
    <t>19,0</t>
  </si>
  <si>
    <t>Мастера 60+ (05.11.1953)/65</t>
  </si>
  <si>
    <t>1. Наумов Павел</t>
  </si>
  <si>
    <t>Открытая (12.07.1985)/33</t>
  </si>
  <si>
    <t>90,00</t>
  </si>
  <si>
    <t xml:space="preserve">Заболотников И.А. </t>
  </si>
  <si>
    <t>2. Конаныкин Дмитрий</t>
  </si>
  <si>
    <t>41,0</t>
  </si>
  <si>
    <t>Мастера 50 - 59 (25.12.1965)/53</t>
  </si>
  <si>
    <t>22,0</t>
  </si>
  <si>
    <t>Мастера 60+ (20.05.1952)/66</t>
  </si>
  <si>
    <t>85,60</t>
  </si>
  <si>
    <t>99,30</t>
  </si>
  <si>
    <t>2. Ряжских Алексей</t>
  </si>
  <si>
    <t>3. Комаров Андрей</t>
  </si>
  <si>
    <t>17,0</t>
  </si>
  <si>
    <t>1. Кошелев Александр</t>
  </si>
  <si>
    <t>105,90</t>
  </si>
  <si>
    <t>107,5</t>
  </si>
  <si>
    <t>25,0</t>
  </si>
  <si>
    <t>Толстухин Игорь</t>
  </si>
  <si>
    <t>720,0</t>
  </si>
  <si>
    <t>601,5960</t>
  </si>
  <si>
    <t>Наумов Павел</t>
  </si>
  <si>
    <t>3780,0</t>
  </si>
  <si>
    <t>2312,7931</t>
  </si>
  <si>
    <t>3690,0</t>
  </si>
  <si>
    <t>2286,6931</t>
  </si>
  <si>
    <t>Гусев Илья</t>
  </si>
  <si>
    <t>2940,0</t>
  </si>
  <si>
    <t>2145,1711</t>
  </si>
  <si>
    <t>Дудник Александр</t>
  </si>
  <si>
    <t>3040,0</t>
  </si>
  <si>
    <t>2006,5519</t>
  </si>
  <si>
    <t>2430,0</t>
  </si>
  <si>
    <t>1830,1545</t>
  </si>
  <si>
    <t>3100,0</t>
  </si>
  <si>
    <t>1807,4550</t>
  </si>
  <si>
    <t>2480,0</t>
  </si>
  <si>
    <t>1672,1400</t>
  </si>
  <si>
    <t>1636,9239</t>
  </si>
  <si>
    <t>2550,0</t>
  </si>
  <si>
    <t>1613,1300</t>
  </si>
  <si>
    <t>Кошелев Александр</t>
  </si>
  <si>
    <t>2687,5</t>
  </si>
  <si>
    <t>1529,1875</t>
  </si>
  <si>
    <t>2015,0</t>
  </si>
  <si>
    <t>1358,6138</t>
  </si>
  <si>
    <t>1897,5</t>
  </si>
  <si>
    <t>1227,9671</t>
  </si>
  <si>
    <t>Ряжских Алексей</t>
  </si>
  <si>
    <t>1852,5</t>
  </si>
  <si>
    <t>1097,6988</t>
  </si>
  <si>
    <t>Комаров Андрей</t>
  </si>
  <si>
    <t>1700,0</t>
  </si>
  <si>
    <t>996,7950</t>
  </si>
  <si>
    <t xml:space="preserve">Мастера </t>
  </si>
  <si>
    <t xml:space="preserve">Мастера 60+ </t>
  </si>
  <si>
    <t>2422,6474</t>
  </si>
  <si>
    <t>Кушинас Русланас</t>
  </si>
  <si>
    <t xml:space="preserve">Мастера 40 - 49 </t>
  </si>
  <si>
    <t>2170,0</t>
  </si>
  <si>
    <t>1632,9235</t>
  </si>
  <si>
    <t>1662,5</t>
  </si>
  <si>
    <t>1582,3324</t>
  </si>
  <si>
    <t>Шатухо Федор</t>
  </si>
  <si>
    <t>1553,7623</t>
  </si>
  <si>
    <t xml:space="preserve">Мастера 50 - 59 </t>
  </si>
  <si>
    <t>1870,0</t>
  </si>
  <si>
    <t>1416,2362</t>
  </si>
  <si>
    <t>Орлов Сергей</t>
  </si>
  <si>
    <t>1520,0</t>
  </si>
  <si>
    <t>1165,9255</t>
  </si>
  <si>
    <t>Кремлевский жим 2019 НЖ
WPU Народный жим (1/2 вес)
Ершово/Московская область 20 - 21 апреля 2019 г.</t>
  </si>
  <si>
    <t>1. Мищенко Тамара</t>
  </si>
  <si>
    <t>Открытая (27.06.1988)/30</t>
  </si>
  <si>
    <t>54,40</t>
  </si>
  <si>
    <t xml:space="preserve">Емельянов К. </t>
  </si>
  <si>
    <t>Мищенко Тамара</t>
  </si>
  <si>
    <t>1237,5</t>
  </si>
  <si>
    <t>1322,1450</t>
  </si>
  <si>
    <t>Кремлевский жим 2019 НЖ
WPU Народный жим (1 вес)
Ершово/Московская область 20 - 21 апреля 2019 г.</t>
  </si>
  <si>
    <t>2. Шахурин Василий</t>
  </si>
  <si>
    <t>Открытая (21.12.1985)/33</t>
  </si>
  <si>
    <t xml:space="preserve">Чуркин Р. И. </t>
  </si>
  <si>
    <t>1. Меженин Иван</t>
  </si>
  <si>
    <t>Открытая (08.01.1973)/46</t>
  </si>
  <si>
    <t>Мастера 40 - 49 (08.01.1973)/46</t>
  </si>
  <si>
    <t>2. Ануфриев Сергей</t>
  </si>
  <si>
    <t>Мастера 40 - 49 (03.10.1969)/49</t>
  </si>
  <si>
    <t>33,0</t>
  </si>
  <si>
    <t>1. Тимченко Сергей</t>
  </si>
  <si>
    <t>Открытая (23.12.1979)/39</t>
  </si>
  <si>
    <t>90,50</t>
  </si>
  <si>
    <t>37,0</t>
  </si>
  <si>
    <t xml:space="preserve">Тимченко Ю. </t>
  </si>
  <si>
    <t>1. Чапаев Максим</t>
  </si>
  <si>
    <t>27,0</t>
  </si>
  <si>
    <t>Мастера 50 - 59 (06.06.1963)/55</t>
  </si>
  <si>
    <t>10,0</t>
  </si>
  <si>
    <t>Мастера 50 - 59 (29.10.1962)/56</t>
  </si>
  <si>
    <t>8,0</t>
  </si>
  <si>
    <t>Тимченко Сергей</t>
  </si>
  <si>
    <t>3422,5</t>
  </si>
  <si>
    <t>2087,7250</t>
  </si>
  <si>
    <t>3120,0</t>
  </si>
  <si>
    <t>2064,6601</t>
  </si>
  <si>
    <t>Меженин Иван</t>
  </si>
  <si>
    <t>3150,0</t>
  </si>
  <si>
    <t>1935,8325</t>
  </si>
  <si>
    <t>2902,5</t>
  </si>
  <si>
    <t>1652,6835</t>
  </si>
  <si>
    <t>Шахурин Василий</t>
  </si>
  <si>
    <t>2067,4691</t>
  </si>
  <si>
    <t>2887,5</t>
  </si>
  <si>
    <t>1998,1724</t>
  </si>
  <si>
    <t>1050,0</t>
  </si>
  <si>
    <t>734,5130</t>
  </si>
  <si>
    <t>1000,0</t>
  </si>
  <si>
    <t>680,3160</t>
  </si>
  <si>
    <t>Кремлевский жим 2019 ЭЛИТА
WPF PRO Жим лежа в Многослойной экипировке
Ершово/Московская область 20 - 21 апреля 2019 г.</t>
  </si>
  <si>
    <t>1. Филин Илья</t>
  </si>
  <si>
    <t>Открытая (16.08.1988)/30</t>
  </si>
  <si>
    <t>85,70</t>
  </si>
  <si>
    <t xml:space="preserve">Ивантеевка/Московская область </t>
  </si>
  <si>
    <t xml:space="preserve">. </t>
  </si>
  <si>
    <t>1. Курочкин Валерий</t>
  </si>
  <si>
    <t>Открытая (09.11.1978)/40</t>
  </si>
  <si>
    <t>98,70</t>
  </si>
  <si>
    <t>275,0</t>
  </si>
  <si>
    <t>285,0</t>
  </si>
  <si>
    <t>2. Сапунков Константин</t>
  </si>
  <si>
    <t>Открытая (02.09.1981)/37</t>
  </si>
  <si>
    <t>99,50</t>
  </si>
  <si>
    <t>265,0</t>
  </si>
  <si>
    <t xml:space="preserve">Брехов Р.О. </t>
  </si>
  <si>
    <t>-. Филиппов Кирилл</t>
  </si>
  <si>
    <t>1. Бегалко Антон</t>
  </si>
  <si>
    <t>Открытая (06.11.1986)/32</t>
  </si>
  <si>
    <t>123,40</t>
  </si>
  <si>
    <t>400,0</t>
  </si>
  <si>
    <t>410,0</t>
  </si>
  <si>
    <t>420,0</t>
  </si>
  <si>
    <t>2. Найденов Виктор</t>
  </si>
  <si>
    <t>Открытая (25.01.1987)/32</t>
  </si>
  <si>
    <t>121,10</t>
  </si>
  <si>
    <t>380,0</t>
  </si>
  <si>
    <t>3. Горбачев Дмитрий</t>
  </si>
  <si>
    <t>Открытая (06.03.1970)/49</t>
  </si>
  <si>
    <t>117,80</t>
  </si>
  <si>
    <t>300,0</t>
  </si>
  <si>
    <t>310,0</t>
  </si>
  <si>
    <t>320,0</t>
  </si>
  <si>
    <t>4. Рысцов Александр</t>
  </si>
  <si>
    <t>280,0</t>
  </si>
  <si>
    <t>5. Рахманов Вячеслав</t>
  </si>
  <si>
    <t>Открытая (10.09.1968)/50</t>
  </si>
  <si>
    <t>-. Филатов Василий</t>
  </si>
  <si>
    <t>Открытая (29.09.1986)/32</t>
  </si>
  <si>
    <t>135,40</t>
  </si>
  <si>
    <t>370,0</t>
  </si>
  <si>
    <t>Бегалко Антон</t>
  </si>
  <si>
    <t>228,5600</t>
  </si>
  <si>
    <t>Найденов Виктор</t>
  </si>
  <si>
    <t>218,0060</t>
  </si>
  <si>
    <t>Горбачев Дмитрий</t>
  </si>
  <si>
    <t>179,0250</t>
  </si>
  <si>
    <t>Курочкин Валерий</t>
  </si>
  <si>
    <t>168,2450</t>
  </si>
  <si>
    <t>Филин Илья</t>
  </si>
  <si>
    <t>163,8250</t>
  </si>
  <si>
    <t>163,1280</t>
  </si>
  <si>
    <t>153,4000</t>
  </si>
  <si>
    <t>Сапунков Константин</t>
  </si>
  <si>
    <t>152,4500</t>
  </si>
  <si>
    <t>Рахманов Вячеслав</t>
  </si>
  <si>
    <t>149,2515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</si>
</sst>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1" fontId="0" fillId="0" borderId="14" xfId="0" applyNumberFormat="1" applyFont="1" applyFill="1" applyBorder="1" applyAlignment="1">
      <alignment horizontal="center"/>
    </xf>
    <xf numFmtId="1" fontId="0" fillId="0" borderId="16" xfId="0" applyNumberFormat="1" applyFont="1" applyFill="1" applyBorder="1" applyAlignment="1">
      <alignment horizontal="center"/>
    </xf>
    <xf numFmtId="1" fontId="0" fillId="0" borderId="15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K29" sqref="K29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2.28515625" style="4" bestFit="1" customWidth="1"/>
    <col min="14" max="16384" width="9.140625" style="3"/>
  </cols>
  <sheetData>
    <row r="1" spans="1:13" s="2" customFormat="1" ht="29.1" customHeight="1" x14ac:dyDescent="0.2">
      <c r="A1" s="45" t="s">
        <v>983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9</v>
      </c>
      <c r="E3" s="55" t="s">
        <v>3</v>
      </c>
      <c r="F3" s="55" t="s">
        <v>7</v>
      </c>
      <c r="G3" s="55" t="s">
        <v>10</v>
      </c>
      <c r="H3" s="55"/>
      <c r="I3" s="55"/>
      <c r="J3" s="55"/>
      <c r="K3" s="55" t="s">
        <v>209</v>
      </c>
      <c r="L3" s="55" t="s">
        <v>2</v>
      </c>
      <c r="M3" s="41" t="s">
        <v>1</v>
      </c>
    </row>
    <row r="4" spans="1:13" s="1" customFormat="1" ht="34.5" customHeight="1" thickBot="1" x14ac:dyDescent="0.25">
      <c r="A4" s="52"/>
      <c r="B4" s="54"/>
      <c r="C4" s="54"/>
      <c r="D4" s="54"/>
      <c r="E4" s="54"/>
      <c r="F4" s="54"/>
      <c r="G4" s="25">
        <v>1</v>
      </c>
      <c r="H4" s="25">
        <v>2</v>
      </c>
      <c r="I4" s="25">
        <v>3</v>
      </c>
      <c r="J4" s="25" t="s">
        <v>4</v>
      </c>
      <c r="K4" s="54"/>
      <c r="L4" s="54"/>
      <c r="M4" s="42"/>
    </row>
    <row r="5" spans="1:13" ht="15" x14ac:dyDescent="0.2">
      <c r="A5" s="43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">
      <c r="A6" s="26" t="s">
        <v>984</v>
      </c>
      <c r="B6" s="14" t="s">
        <v>985</v>
      </c>
      <c r="C6" s="14" t="s">
        <v>986</v>
      </c>
      <c r="D6" s="14" t="str">
        <f>"0,6553"</f>
        <v>0,6553</v>
      </c>
      <c r="E6" s="14" t="s">
        <v>16</v>
      </c>
      <c r="F6" s="14" t="s">
        <v>987</v>
      </c>
      <c r="G6" s="16" t="s">
        <v>216</v>
      </c>
      <c r="H6" s="15" t="s">
        <v>217</v>
      </c>
      <c r="I6" s="15" t="s">
        <v>217</v>
      </c>
      <c r="J6" s="15"/>
      <c r="K6" s="26" t="str">
        <f>"250,0"</f>
        <v>250,0</v>
      </c>
      <c r="L6" s="30" t="str">
        <f>"163,8250"</f>
        <v>163,8250</v>
      </c>
      <c r="M6" s="14" t="s">
        <v>988</v>
      </c>
    </row>
    <row r="8" spans="1:13" ht="15" x14ac:dyDescent="0.2">
      <c r="A8" s="44" t="s">
        <v>72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27" t="s">
        <v>989</v>
      </c>
      <c r="B9" s="5" t="s">
        <v>990</v>
      </c>
      <c r="C9" s="5" t="s">
        <v>991</v>
      </c>
      <c r="D9" s="5" t="str">
        <f>"0,6118"</f>
        <v>0,6118</v>
      </c>
      <c r="E9" s="5" t="s">
        <v>26</v>
      </c>
      <c r="F9" s="5" t="s">
        <v>27</v>
      </c>
      <c r="G9" s="7" t="s">
        <v>992</v>
      </c>
      <c r="H9" s="6" t="s">
        <v>993</v>
      </c>
      <c r="I9" s="6" t="s">
        <v>993</v>
      </c>
      <c r="J9" s="6"/>
      <c r="K9" s="27" t="str">
        <f>"275,0"</f>
        <v>275,0</v>
      </c>
      <c r="L9" s="31" t="str">
        <f>"168,2450"</f>
        <v>168,2450</v>
      </c>
      <c r="M9" s="5" t="s">
        <v>128</v>
      </c>
    </row>
    <row r="10" spans="1:13" x14ac:dyDescent="0.2">
      <c r="A10" s="28" t="s">
        <v>994</v>
      </c>
      <c r="B10" s="11" t="s">
        <v>995</v>
      </c>
      <c r="C10" s="11" t="s">
        <v>996</v>
      </c>
      <c r="D10" s="11" t="str">
        <f>"0,6098"</f>
        <v>0,6098</v>
      </c>
      <c r="E10" s="11" t="s">
        <v>16</v>
      </c>
      <c r="F10" s="11" t="s">
        <v>987</v>
      </c>
      <c r="G10" s="13" t="s">
        <v>216</v>
      </c>
      <c r="H10" s="12" t="s">
        <v>217</v>
      </c>
      <c r="I10" s="12" t="s">
        <v>997</v>
      </c>
      <c r="J10" s="12"/>
      <c r="K10" s="28" t="str">
        <f>"250,0"</f>
        <v>250,0</v>
      </c>
      <c r="L10" s="32" t="str">
        <f>"152,4500"</f>
        <v>152,4500</v>
      </c>
      <c r="M10" s="11" t="s">
        <v>998</v>
      </c>
    </row>
    <row r="11" spans="1:13" x14ac:dyDescent="0.2">
      <c r="A11" s="29" t="s">
        <v>999</v>
      </c>
      <c r="B11" s="8" t="s">
        <v>213</v>
      </c>
      <c r="C11" s="8" t="s">
        <v>214</v>
      </c>
      <c r="D11" s="8" t="str">
        <f>"0,6163"</f>
        <v>0,6163</v>
      </c>
      <c r="E11" s="8" t="s">
        <v>16</v>
      </c>
      <c r="F11" s="8" t="s">
        <v>215</v>
      </c>
      <c r="G11" s="9" t="s">
        <v>997</v>
      </c>
      <c r="H11" s="9" t="s">
        <v>997</v>
      </c>
      <c r="I11" s="9" t="s">
        <v>218</v>
      </c>
      <c r="J11" s="9"/>
      <c r="K11" s="29" t="str">
        <f>"0.00"</f>
        <v>0.00</v>
      </c>
      <c r="L11" s="33" t="str">
        <f>"0,0000"</f>
        <v>0,0000</v>
      </c>
      <c r="M11" s="8"/>
    </row>
    <row r="13" spans="1:13" ht="15" x14ac:dyDescent="0.2">
      <c r="A13" s="44" t="s">
        <v>91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x14ac:dyDescent="0.2">
      <c r="A14" s="26" t="s">
        <v>225</v>
      </c>
      <c r="B14" s="14" t="s">
        <v>226</v>
      </c>
      <c r="C14" s="14" t="s">
        <v>227</v>
      </c>
      <c r="D14" s="14" t="str">
        <f>"0,5900"</f>
        <v>0,5900</v>
      </c>
      <c r="E14" s="14" t="s">
        <v>16</v>
      </c>
      <c r="F14" s="14" t="s">
        <v>228</v>
      </c>
      <c r="G14" s="16" t="s">
        <v>217</v>
      </c>
      <c r="H14" s="15" t="s">
        <v>992</v>
      </c>
      <c r="I14" s="15" t="s">
        <v>992</v>
      </c>
      <c r="J14" s="15"/>
      <c r="K14" s="26" t="str">
        <f>"260,0"</f>
        <v>260,0</v>
      </c>
      <c r="L14" s="30" t="str">
        <f>"153,4000"</f>
        <v>153,4000</v>
      </c>
      <c r="M14" s="14" t="s">
        <v>232</v>
      </c>
    </row>
    <row r="16" spans="1:13" ht="15" x14ac:dyDescent="0.2">
      <c r="A16" s="44" t="s">
        <v>129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3" x14ac:dyDescent="0.2">
      <c r="A17" s="27" t="s">
        <v>1000</v>
      </c>
      <c r="B17" s="5" t="s">
        <v>1001</v>
      </c>
      <c r="C17" s="5" t="s">
        <v>1002</v>
      </c>
      <c r="D17" s="5" t="str">
        <f>"0,5714"</f>
        <v>0,5714</v>
      </c>
      <c r="E17" s="5" t="s">
        <v>26</v>
      </c>
      <c r="F17" s="5" t="s">
        <v>27</v>
      </c>
      <c r="G17" s="7" t="s">
        <v>1003</v>
      </c>
      <c r="H17" s="6" t="s">
        <v>1004</v>
      </c>
      <c r="I17" s="6" t="s">
        <v>1005</v>
      </c>
      <c r="J17" s="6"/>
      <c r="K17" s="27" t="str">
        <f>"400,0"</f>
        <v>400,0</v>
      </c>
      <c r="L17" s="31" t="str">
        <f>"228,5600"</f>
        <v>228,5600</v>
      </c>
      <c r="M17" s="5"/>
    </row>
    <row r="18" spans="1:13" x14ac:dyDescent="0.2">
      <c r="A18" s="28" t="s">
        <v>1006</v>
      </c>
      <c r="B18" s="11" t="s">
        <v>1007</v>
      </c>
      <c r="C18" s="11" t="s">
        <v>1008</v>
      </c>
      <c r="D18" s="11" t="str">
        <f>"0,5737"</f>
        <v>0,5737</v>
      </c>
      <c r="E18" s="11" t="s">
        <v>26</v>
      </c>
      <c r="F18" s="11" t="s">
        <v>26</v>
      </c>
      <c r="G18" s="13" t="s">
        <v>1009</v>
      </c>
      <c r="H18" s="12" t="s">
        <v>1004</v>
      </c>
      <c r="I18" s="12" t="s">
        <v>1004</v>
      </c>
      <c r="J18" s="12"/>
      <c r="K18" s="28" t="str">
        <f>"380,0"</f>
        <v>380,0</v>
      </c>
      <c r="L18" s="32" t="str">
        <f>"218,0060"</f>
        <v>218,0060</v>
      </c>
      <c r="M18" s="11"/>
    </row>
    <row r="19" spans="1:13" x14ac:dyDescent="0.2">
      <c r="A19" s="28" t="s">
        <v>1010</v>
      </c>
      <c r="B19" s="11" t="s">
        <v>1011</v>
      </c>
      <c r="C19" s="11" t="s">
        <v>1012</v>
      </c>
      <c r="D19" s="11" t="str">
        <f>"0,5775"</f>
        <v>0,5775</v>
      </c>
      <c r="E19" s="11" t="s">
        <v>16</v>
      </c>
      <c r="F19" s="11" t="s">
        <v>336</v>
      </c>
      <c r="G19" s="13" t="s">
        <v>1013</v>
      </c>
      <c r="H19" s="13" t="s">
        <v>1014</v>
      </c>
      <c r="I19" s="12" t="s">
        <v>1015</v>
      </c>
      <c r="J19" s="12"/>
      <c r="K19" s="28" t="str">
        <f>"310,0"</f>
        <v>310,0</v>
      </c>
      <c r="L19" s="32" t="str">
        <f>"179,0250"</f>
        <v>179,0250</v>
      </c>
      <c r="M19" s="11"/>
    </row>
    <row r="20" spans="1:13" x14ac:dyDescent="0.2">
      <c r="A20" s="28" t="s">
        <v>1016</v>
      </c>
      <c r="B20" s="11" t="s">
        <v>242</v>
      </c>
      <c r="C20" s="11" t="s">
        <v>243</v>
      </c>
      <c r="D20" s="11" t="str">
        <f>"0,5826"</f>
        <v>0,5826</v>
      </c>
      <c r="E20" s="11" t="s">
        <v>144</v>
      </c>
      <c r="F20" s="11" t="s">
        <v>145</v>
      </c>
      <c r="G20" s="12" t="s">
        <v>1017</v>
      </c>
      <c r="H20" s="12" t="s">
        <v>1017</v>
      </c>
      <c r="I20" s="13" t="s">
        <v>1017</v>
      </c>
      <c r="J20" s="12"/>
      <c r="K20" s="28" t="str">
        <f>"280,0"</f>
        <v>280,0</v>
      </c>
      <c r="L20" s="32" t="str">
        <f>"163,1280"</f>
        <v>163,1280</v>
      </c>
      <c r="M20" s="11"/>
    </row>
    <row r="21" spans="1:13" x14ac:dyDescent="0.2">
      <c r="A21" s="29" t="s">
        <v>1018</v>
      </c>
      <c r="B21" s="8" t="s">
        <v>1019</v>
      </c>
      <c r="C21" s="8" t="s">
        <v>661</v>
      </c>
      <c r="D21" s="8" t="str">
        <f>"0,5853"</f>
        <v>0,5853</v>
      </c>
      <c r="E21" s="8" t="s">
        <v>791</v>
      </c>
      <c r="F21" s="8" t="s">
        <v>792</v>
      </c>
      <c r="G21" s="10" t="s">
        <v>229</v>
      </c>
      <c r="H21" s="9" t="s">
        <v>997</v>
      </c>
      <c r="I21" s="9" t="s">
        <v>997</v>
      </c>
      <c r="J21" s="9"/>
      <c r="K21" s="29" t="str">
        <f>"255,0"</f>
        <v>255,0</v>
      </c>
      <c r="L21" s="33" t="str">
        <f>"149,2515"</f>
        <v>149,2515</v>
      </c>
      <c r="M21" s="8"/>
    </row>
    <row r="23" spans="1:13" ht="15" x14ac:dyDescent="0.2">
      <c r="A23" s="44" t="s">
        <v>151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3" x14ac:dyDescent="0.2">
      <c r="A24" s="26" t="s">
        <v>1020</v>
      </c>
      <c r="B24" s="14" t="s">
        <v>1021</v>
      </c>
      <c r="C24" s="14" t="s">
        <v>1022</v>
      </c>
      <c r="D24" s="14" t="str">
        <f>"0,5617"</f>
        <v>0,5617</v>
      </c>
      <c r="E24" s="14" t="s">
        <v>16</v>
      </c>
      <c r="F24" s="14" t="s">
        <v>139</v>
      </c>
      <c r="G24" s="15" t="s">
        <v>1023</v>
      </c>
      <c r="H24" s="15" t="s">
        <v>1023</v>
      </c>
      <c r="I24" s="15" t="s">
        <v>1023</v>
      </c>
      <c r="J24" s="15"/>
      <c r="K24" s="26" t="str">
        <f>"0.00"</f>
        <v>0.00</v>
      </c>
      <c r="L24" s="30" t="str">
        <f>"0,0000"</f>
        <v>0,0000</v>
      </c>
      <c r="M24" s="14"/>
    </row>
    <row r="26" spans="1:13" ht="15" x14ac:dyDescent="0.2">
      <c r="E26" s="17" t="s">
        <v>160</v>
      </c>
    </row>
    <row r="27" spans="1:13" ht="15" x14ac:dyDescent="0.2">
      <c r="E27" s="17" t="s">
        <v>161</v>
      </c>
    </row>
    <row r="28" spans="1:13" ht="15" x14ac:dyDescent="0.2">
      <c r="E28" s="17" t="s">
        <v>162</v>
      </c>
    </row>
    <row r="29" spans="1:13" ht="15" x14ac:dyDescent="0.2">
      <c r="E29" s="17" t="s">
        <v>163</v>
      </c>
    </row>
    <row r="30" spans="1:13" ht="15" x14ac:dyDescent="0.2">
      <c r="E30" s="17" t="s">
        <v>163</v>
      </c>
    </row>
    <row r="31" spans="1:13" ht="15" x14ac:dyDescent="0.2">
      <c r="E31" s="17" t="s">
        <v>164</v>
      </c>
    </row>
    <row r="32" spans="1:13" ht="15" x14ac:dyDescent="0.2">
      <c r="E32" s="17"/>
    </row>
    <row r="34" spans="1:5" ht="18" x14ac:dyDescent="0.25">
      <c r="A34" s="18" t="s">
        <v>165</v>
      </c>
      <c r="B34" s="18"/>
    </row>
    <row r="35" spans="1:5" ht="15" x14ac:dyDescent="0.2">
      <c r="A35" s="19" t="s">
        <v>176</v>
      </c>
      <c r="B35" s="19"/>
    </row>
    <row r="36" spans="1:5" ht="14.25" x14ac:dyDescent="0.2">
      <c r="A36" s="21"/>
      <c r="B36" s="22" t="s">
        <v>167</v>
      </c>
    </row>
    <row r="37" spans="1:5" ht="15" x14ac:dyDescent="0.2">
      <c r="A37" s="23" t="s">
        <v>168</v>
      </c>
      <c r="B37" s="23" t="s">
        <v>169</v>
      </c>
      <c r="C37" s="23" t="s">
        <v>170</v>
      </c>
      <c r="D37" s="23" t="s">
        <v>171</v>
      </c>
      <c r="E37" s="23" t="s">
        <v>172</v>
      </c>
    </row>
    <row r="38" spans="1:5" x14ac:dyDescent="0.2">
      <c r="A38" s="20" t="s">
        <v>1024</v>
      </c>
      <c r="B38" s="4" t="s">
        <v>167</v>
      </c>
      <c r="C38" s="4" t="s">
        <v>179</v>
      </c>
      <c r="D38" s="4" t="s">
        <v>1003</v>
      </c>
      <c r="E38" s="24" t="s">
        <v>1025</v>
      </c>
    </row>
    <row r="39" spans="1:5" x14ac:dyDescent="0.2">
      <c r="A39" s="20" t="s">
        <v>1026</v>
      </c>
      <c r="B39" s="4" t="s">
        <v>167</v>
      </c>
      <c r="C39" s="4" t="s">
        <v>179</v>
      </c>
      <c r="D39" s="4" t="s">
        <v>1009</v>
      </c>
      <c r="E39" s="24" t="s">
        <v>1027</v>
      </c>
    </row>
    <row r="40" spans="1:5" x14ac:dyDescent="0.2">
      <c r="A40" s="20" t="s">
        <v>1028</v>
      </c>
      <c r="B40" s="4" t="s">
        <v>167</v>
      </c>
      <c r="C40" s="4" t="s">
        <v>179</v>
      </c>
      <c r="D40" s="4" t="s">
        <v>1014</v>
      </c>
      <c r="E40" s="24" t="s">
        <v>1029</v>
      </c>
    </row>
    <row r="41" spans="1:5" x14ac:dyDescent="0.2">
      <c r="A41" s="20" t="s">
        <v>1030</v>
      </c>
      <c r="B41" s="4" t="s">
        <v>167</v>
      </c>
      <c r="C41" s="4" t="s">
        <v>186</v>
      </c>
      <c r="D41" s="4" t="s">
        <v>992</v>
      </c>
      <c r="E41" s="24" t="s">
        <v>1031</v>
      </c>
    </row>
    <row r="42" spans="1:5" x14ac:dyDescent="0.2">
      <c r="A42" s="20" t="s">
        <v>1032</v>
      </c>
      <c r="B42" s="4" t="s">
        <v>167</v>
      </c>
      <c r="C42" s="4" t="s">
        <v>183</v>
      </c>
      <c r="D42" s="4" t="s">
        <v>216</v>
      </c>
      <c r="E42" s="24" t="s">
        <v>1033</v>
      </c>
    </row>
    <row r="43" spans="1:5" x14ac:dyDescent="0.2">
      <c r="A43" s="20" t="s">
        <v>240</v>
      </c>
      <c r="B43" s="4" t="s">
        <v>167</v>
      </c>
      <c r="C43" s="4" t="s">
        <v>179</v>
      </c>
      <c r="D43" s="4" t="s">
        <v>1017</v>
      </c>
      <c r="E43" s="24" t="s">
        <v>1034</v>
      </c>
    </row>
    <row r="44" spans="1:5" x14ac:dyDescent="0.2">
      <c r="A44" s="20" t="s">
        <v>224</v>
      </c>
      <c r="B44" s="4" t="s">
        <v>167</v>
      </c>
      <c r="C44" s="4" t="s">
        <v>177</v>
      </c>
      <c r="D44" s="4" t="s">
        <v>217</v>
      </c>
      <c r="E44" s="24" t="s">
        <v>1035</v>
      </c>
    </row>
    <row r="45" spans="1:5" x14ac:dyDescent="0.2">
      <c r="A45" s="20" t="s">
        <v>1036</v>
      </c>
      <c r="B45" s="4" t="s">
        <v>167</v>
      </c>
      <c r="C45" s="4" t="s">
        <v>186</v>
      </c>
      <c r="D45" s="4" t="s">
        <v>216</v>
      </c>
      <c r="E45" s="24" t="s">
        <v>1037</v>
      </c>
    </row>
    <row r="46" spans="1:5" x14ac:dyDescent="0.2">
      <c r="A46" s="20" t="s">
        <v>1038</v>
      </c>
      <c r="B46" s="4" t="s">
        <v>167</v>
      </c>
      <c r="C46" s="4" t="s">
        <v>179</v>
      </c>
      <c r="D46" s="4" t="s">
        <v>229</v>
      </c>
      <c r="E46" s="24" t="s">
        <v>1039</v>
      </c>
    </row>
  </sheetData>
  <mergeCells count="16">
    <mergeCell ref="A23:L2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  <mergeCell ref="A13:L13"/>
    <mergeCell ref="A16:L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E17" sqref="E17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10" width="5.5703125" style="3" bestFit="1" customWidth="1"/>
    <col min="11" max="11" width="7.85546875" style="4" bestFit="1" customWidth="1"/>
    <col min="12" max="12" width="8.5703125" style="3" bestFit="1" customWidth="1"/>
    <col min="13" max="13" width="13.140625" style="4" bestFit="1" customWidth="1"/>
    <col min="14" max="16384" width="9.140625" style="3"/>
  </cols>
  <sheetData>
    <row r="1" spans="1:13" s="2" customFormat="1" ht="29.1" customHeight="1" x14ac:dyDescent="0.2">
      <c r="A1" s="45" t="s">
        <v>210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9</v>
      </c>
      <c r="E3" s="55" t="s">
        <v>3</v>
      </c>
      <c r="F3" s="55" t="s">
        <v>7</v>
      </c>
      <c r="G3" s="55" t="s">
        <v>10</v>
      </c>
      <c r="H3" s="55"/>
      <c r="I3" s="55"/>
      <c r="J3" s="55"/>
      <c r="K3" s="55" t="s">
        <v>209</v>
      </c>
      <c r="L3" s="55" t="s">
        <v>2</v>
      </c>
      <c r="M3" s="41" t="s">
        <v>1</v>
      </c>
    </row>
    <row r="4" spans="1:13" s="1" customFormat="1" ht="34.5" customHeight="1" thickBot="1" x14ac:dyDescent="0.25">
      <c r="A4" s="52"/>
      <c r="B4" s="54"/>
      <c r="C4" s="54"/>
      <c r="D4" s="54"/>
      <c r="E4" s="54"/>
      <c r="F4" s="54"/>
      <c r="G4" s="25">
        <v>1</v>
      </c>
      <c r="H4" s="25">
        <v>2</v>
      </c>
      <c r="I4" s="25">
        <v>3</v>
      </c>
      <c r="J4" s="25" t="s">
        <v>4</v>
      </c>
      <c r="K4" s="54"/>
      <c r="L4" s="54"/>
      <c r="M4" s="42"/>
    </row>
    <row r="5" spans="1:13" ht="15" x14ac:dyDescent="0.2">
      <c r="A5" s="43" t="s">
        <v>72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">
      <c r="A6" s="27" t="s">
        <v>212</v>
      </c>
      <c r="B6" s="5" t="s">
        <v>213</v>
      </c>
      <c r="C6" s="5" t="s">
        <v>214</v>
      </c>
      <c r="D6" s="5" t="str">
        <f>"0,6163"</f>
        <v>0,6163</v>
      </c>
      <c r="E6" s="5" t="s">
        <v>16</v>
      </c>
      <c r="F6" s="5" t="s">
        <v>215</v>
      </c>
      <c r="G6" s="7" t="s">
        <v>216</v>
      </c>
      <c r="H6" s="7" t="s">
        <v>217</v>
      </c>
      <c r="I6" s="6" t="s">
        <v>218</v>
      </c>
      <c r="J6" s="6"/>
      <c r="K6" s="27" t="str">
        <f>"260,0"</f>
        <v>260,0</v>
      </c>
      <c r="L6" s="31" t="str">
        <f>"160,2380"</f>
        <v>160,2380</v>
      </c>
      <c r="M6" s="5"/>
    </row>
    <row r="7" spans="1:13" x14ac:dyDescent="0.2">
      <c r="A7" s="29" t="s">
        <v>220</v>
      </c>
      <c r="B7" s="8" t="s">
        <v>221</v>
      </c>
      <c r="C7" s="8" t="s">
        <v>222</v>
      </c>
      <c r="D7" s="8" t="str">
        <f>"0,6111"</f>
        <v>0,6111</v>
      </c>
      <c r="E7" s="8" t="s">
        <v>26</v>
      </c>
      <c r="F7" s="8" t="s">
        <v>27</v>
      </c>
      <c r="G7" s="9" t="s">
        <v>97</v>
      </c>
      <c r="H7" s="10" t="s">
        <v>97</v>
      </c>
      <c r="I7" s="9" t="s">
        <v>98</v>
      </c>
      <c r="J7" s="9"/>
      <c r="K7" s="29" t="str">
        <f>"230,0"</f>
        <v>230,0</v>
      </c>
      <c r="L7" s="33" t="str">
        <f>"140,5530"</f>
        <v>140,5530</v>
      </c>
      <c r="M7" s="8" t="s">
        <v>223</v>
      </c>
    </row>
    <row r="9" spans="1:13" ht="15" x14ac:dyDescent="0.2">
      <c r="A9" s="44" t="s">
        <v>91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x14ac:dyDescent="0.2">
      <c r="A10" s="27" t="s">
        <v>225</v>
      </c>
      <c r="B10" s="5" t="s">
        <v>226</v>
      </c>
      <c r="C10" s="5" t="s">
        <v>227</v>
      </c>
      <c r="D10" s="5" t="str">
        <f>"0,5900"</f>
        <v>0,5900</v>
      </c>
      <c r="E10" s="5" t="s">
        <v>16</v>
      </c>
      <c r="F10" s="5" t="s">
        <v>228</v>
      </c>
      <c r="G10" s="7" t="s">
        <v>98</v>
      </c>
      <c r="H10" s="7" t="s">
        <v>229</v>
      </c>
      <c r="I10" s="7" t="s">
        <v>230</v>
      </c>
      <c r="J10" s="7" t="s">
        <v>231</v>
      </c>
      <c r="K10" s="27" t="str">
        <f>"262,5"</f>
        <v>262,5</v>
      </c>
      <c r="L10" s="31" t="str">
        <f>"154,8750"</f>
        <v>154,8750</v>
      </c>
      <c r="M10" s="5" t="s">
        <v>232</v>
      </c>
    </row>
    <row r="11" spans="1:13" x14ac:dyDescent="0.2">
      <c r="A11" s="29" t="s">
        <v>234</v>
      </c>
      <c r="B11" s="8" t="s">
        <v>235</v>
      </c>
      <c r="C11" s="8" t="s">
        <v>236</v>
      </c>
      <c r="D11" s="8" t="str">
        <f>"0,5890"</f>
        <v>0,5890</v>
      </c>
      <c r="E11" s="8" t="s">
        <v>16</v>
      </c>
      <c r="F11" s="8" t="s">
        <v>237</v>
      </c>
      <c r="G11" s="10" t="s">
        <v>238</v>
      </c>
      <c r="H11" s="10" t="s">
        <v>229</v>
      </c>
      <c r="I11" s="9" t="s">
        <v>217</v>
      </c>
      <c r="J11" s="9"/>
      <c r="K11" s="29" t="str">
        <f>"255,0"</f>
        <v>255,0</v>
      </c>
      <c r="L11" s="33" t="str">
        <f>"150,1950"</f>
        <v>150,1950</v>
      </c>
      <c r="M11" s="8" t="s">
        <v>239</v>
      </c>
    </row>
    <row r="13" spans="1:13" ht="15" x14ac:dyDescent="0.2">
      <c r="A13" s="44" t="s">
        <v>129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x14ac:dyDescent="0.2">
      <c r="A14" s="27" t="s">
        <v>241</v>
      </c>
      <c r="B14" s="5" t="s">
        <v>242</v>
      </c>
      <c r="C14" s="5" t="s">
        <v>243</v>
      </c>
      <c r="D14" s="5" t="str">
        <f>"0,5826"</f>
        <v>0,5826</v>
      </c>
      <c r="E14" s="5" t="s">
        <v>144</v>
      </c>
      <c r="F14" s="5" t="s">
        <v>145</v>
      </c>
      <c r="G14" s="7" t="s">
        <v>216</v>
      </c>
      <c r="H14" s="6" t="s">
        <v>244</v>
      </c>
      <c r="I14" s="7" t="s">
        <v>217</v>
      </c>
      <c r="J14" s="6"/>
      <c r="K14" s="27" t="str">
        <f>"260,0"</f>
        <v>260,0</v>
      </c>
      <c r="L14" s="31" t="str">
        <f>"151,4760"</f>
        <v>151,4760</v>
      </c>
      <c r="M14" s="5"/>
    </row>
    <row r="15" spans="1:13" x14ac:dyDescent="0.2">
      <c r="A15" s="29" t="s">
        <v>245</v>
      </c>
      <c r="B15" s="8" t="s">
        <v>142</v>
      </c>
      <c r="C15" s="8" t="s">
        <v>143</v>
      </c>
      <c r="D15" s="8" t="str">
        <f>"0,5803"</f>
        <v>0,5803</v>
      </c>
      <c r="E15" s="8" t="s">
        <v>144</v>
      </c>
      <c r="F15" s="8" t="s">
        <v>145</v>
      </c>
      <c r="G15" s="9" t="s">
        <v>157</v>
      </c>
      <c r="H15" s="9" t="s">
        <v>157</v>
      </c>
      <c r="I15" s="9"/>
      <c r="J15" s="9"/>
      <c r="K15" s="29" t="str">
        <f>"0.00"</f>
        <v>0.00</v>
      </c>
      <c r="L15" s="33" t="str">
        <f>"0,0000"</f>
        <v>0,0000</v>
      </c>
      <c r="M15" s="8" t="s">
        <v>146</v>
      </c>
    </row>
    <row r="17" spans="1:5" ht="15" x14ac:dyDescent="0.2">
      <c r="E17" s="17" t="s">
        <v>160</v>
      </c>
    </row>
    <row r="18" spans="1:5" ht="15" x14ac:dyDescent="0.2">
      <c r="E18" s="17" t="s">
        <v>161</v>
      </c>
    </row>
    <row r="19" spans="1:5" ht="15" x14ac:dyDescent="0.2">
      <c r="E19" s="17" t="s">
        <v>162</v>
      </c>
    </row>
    <row r="20" spans="1:5" ht="15" x14ac:dyDescent="0.2">
      <c r="E20" s="17" t="s">
        <v>163</v>
      </c>
    </row>
    <row r="21" spans="1:5" ht="15" x14ac:dyDescent="0.2">
      <c r="E21" s="17" t="s">
        <v>163</v>
      </c>
    </row>
    <row r="22" spans="1:5" ht="15" x14ac:dyDescent="0.2">
      <c r="E22" s="17" t="s">
        <v>164</v>
      </c>
    </row>
    <row r="23" spans="1:5" ht="15" x14ac:dyDescent="0.2">
      <c r="E23" s="17"/>
    </row>
    <row r="25" spans="1:5" ht="18" x14ac:dyDescent="0.25">
      <c r="A25" s="18" t="s">
        <v>165</v>
      </c>
      <c r="B25" s="18"/>
    </row>
    <row r="26" spans="1:5" ht="15" x14ac:dyDescent="0.2">
      <c r="A26" s="19" t="s">
        <v>176</v>
      </c>
      <c r="B26" s="19"/>
    </row>
    <row r="27" spans="1:5" ht="14.25" x14ac:dyDescent="0.2">
      <c r="A27" s="21"/>
      <c r="B27" s="22" t="s">
        <v>167</v>
      </c>
    </row>
    <row r="28" spans="1:5" ht="15" x14ac:dyDescent="0.2">
      <c r="A28" s="23" t="s">
        <v>168</v>
      </c>
      <c r="B28" s="23" t="s">
        <v>169</v>
      </c>
      <c r="C28" s="23" t="s">
        <v>170</v>
      </c>
      <c r="D28" s="23" t="s">
        <v>171</v>
      </c>
      <c r="E28" s="23" t="s">
        <v>172</v>
      </c>
    </row>
    <row r="29" spans="1:5" x14ac:dyDescent="0.2">
      <c r="A29" s="20" t="s">
        <v>211</v>
      </c>
      <c r="B29" s="4" t="s">
        <v>167</v>
      </c>
      <c r="C29" s="4" t="s">
        <v>186</v>
      </c>
      <c r="D29" s="4" t="s">
        <v>217</v>
      </c>
      <c r="E29" s="24" t="s">
        <v>246</v>
      </c>
    </row>
    <row r="30" spans="1:5" x14ac:dyDescent="0.2">
      <c r="A30" s="20" t="s">
        <v>224</v>
      </c>
      <c r="B30" s="4" t="s">
        <v>167</v>
      </c>
      <c r="C30" s="4" t="s">
        <v>177</v>
      </c>
      <c r="D30" s="4" t="s">
        <v>230</v>
      </c>
      <c r="E30" s="24" t="s">
        <v>247</v>
      </c>
    </row>
    <row r="31" spans="1:5" x14ac:dyDescent="0.2">
      <c r="A31" s="20" t="s">
        <v>240</v>
      </c>
      <c r="B31" s="4" t="s">
        <v>167</v>
      </c>
      <c r="C31" s="4" t="s">
        <v>179</v>
      </c>
      <c r="D31" s="4" t="s">
        <v>217</v>
      </c>
      <c r="E31" s="24" t="s">
        <v>248</v>
      </c>
    </row>
    <row r="32" spans="1:5" x14ac:dyDescent="0.2">
      <c r="A32" s="20" t="s">
        <v>233</v>
      </c>
      <c r="B32" s="4" t="s">
        <v>167</v>
      </c>
      <c r="C32" s="4" t="s">
        <v>177</v>
      </c>
      <c r="D32" s="4" t="s">
        <v>229</v>
      </c>
      <c r="E32" s="24" t="s">
        <v>249</v>
      </c>
    </row>
    <row r="33" spans="1:5" x14ac:dyDescent="0.2">
      <c r="A33" s="20" t="s">
        <v>219</v>
      </c>
      <c r="B33" s="4" t="s">
        <v>167</v>
      </c>
      <c r="C33" s="4" t="s">
        <v>186</v>
      </c>
      <c r="D33" s="4" t="s">
        <v>97</v>
      </c>
      <c r="E33" s="24" t="s">
        <v>250</v>
      </c>
    </row>
  </sheetData>
  <mergeCells count="14">
    <mergeCell ref="A13:L13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9:L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85"/>
  <sheetViews>
    <sheetView workbookViewId="0">
      <selection activeCell="M39" sqref="M39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4.140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6.85546875" style="4" bestFit="1" customWidth="1"/>
    <col min="14" max="16384" width="9.140625" style="3"/>
  </cols>
  <sheetData>
    <row r="1" spans="1:13" s="2" customFormat="1" ht="29.1" customHeight="1" x14ac:dyDescent="0.2">
      <c r="A1" s="45" t="s">
        <v>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9</v>
      </c>
      <c r="E3" s="55" t="s">
        <v>3</v>
      </c>
      <c r="F3" s="55" t="s">
        <v>7</v>
      </c>
      <c r="G3" s="55" t="s">
        <v>10</v>
      </c>
      <c r="H3" s="55"/>
      <c r="I3" s="55"/>
      <c r="J3" s="55"/>
      <c r="K3" s="55" t="s">
        <v>209</v>
      </c>
      <c r="L3" s="55" t="s">
        <v>2</v>
      </c>
      <c r="M3" s="41" t="s">
        <v>1</v>
      </c>
    </row>
    <row r="4" spans="1:13" s="1" customFormat="1" ht="33.75" customHeight="1" thickBot="1" x14ac:dyDescent="0.25">
      <c r="A4" s="52"/>
      <c r="B4" s="54"/>
      <c r="C4" s="54"/>
      <c r="D4" s="54"/>
      <c r="E4" s="54"/>
      <c r="F4" s="54"/>
      <c r="G4" s="25">
        <v>1</v>
      </c>
      <c r="H4" s="25">
        <v>2</v>
      </c>
      <c r="I4" s="25">
        <v>3</v>
      </c>
      <c r="J4" s="25" t="s">
        <v>4</v>
      </c>
      <c r="K4" s="54"/>
      <c r="L4" s="54"/>
      <c r="M4" s="42"/>
    </row>
    <row r="5" spans="1:13" ht="15" x14ac:dyDescent="0.2">
      <c r="A5" s="43" t="s">
        <v>11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">
      <c r="A6" s="27" t="s">
        <v>13</v>
      </c>
      <c r="B6" s="5" t="s">
        <v>14</v>
      </c>
      <c r="C6" s="5" t="s">
        <v>15</v>
      </c>
      <c r="D6" s="5" t="str">
        <f>"0,9779"</f>
        <v>0,9779</v>
      </c>
      <c r="E6" s="5" t="s">
        <v>16</v>
      </c>
      <c r="F6" s="5" t="s">
        <v>17</v>
      </c>
      <c r="G6" s="7" t="s">
        <v>18</v>
      </c>
      <c r="H6" s="7" t="s">
        <v>19</v>
      </c>
      <c r="I6" s="7" t="s">
        <v>20</v>
      </c>
      <c r="J6" s="6"/>
      <c r="K6" s="27" t="str">
        <f>"102,5"</f>
        <v>102,5</v>
      </c>
      <c r="L6" s="31" t="str">
        <f>"100,2348"</f>
        <v>100,2348</v>
      </c>
      <c r="M6" s="5" t="s">
        <v>21</v>
      </c>
    </row>
    <row r="7" spans="1:13" x14ac:dyDescent="0.2">
      <c r="A7" s="29" t="s">
        <v>23</v>
      </c>
      <c r="B7" s="8" t="s">
        <v>24</v>
      </c>
      <c r="C7" s="8" t="s">
        <v>25</v>
      </c>
      <c r="D7" s="8" t="str">
        <f>"0,9555"</f>
        <v>0,9555</v>
      </c>
      <c r="E7" s="8" t="s">
        <v>26</v>
      </c>
      <c r="F7" s="8" t="s">
        <v>27</v>
      </c>
      <c r="G7" s="9" t="s">
        <v>28</v>
      </c>
      <c r="H7" s="10" t="s">
        <v>18</v>
      </c>
      <c r="I7" s="9" t="s">
        <v>19</v>
      </c>
      <c r="J7" s="9"/>
      <c r="K7" s="29" t="str">
        <f>"95,0"</f>
        <v>95,0</v>
      </c>
      <c r="L7" s="33" t="str">
        <f>"90,7725"</f>
        <v>90,7725</v>
      </c>
      <c r="M7" s="8" t="s">
        <v>29</v>
      </c>
    </row>
    <row r="9" spans="1:13" ht="15" x14ac:dyDescent="0.2">
      <c r="A9" s="44" t="s">
        <v>11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x14ac:dyDescent="0.2">
      <c r="A10" s="27" t="s">
        <v>31</v>
      </c>
      <c r="B10" s="5" t="s">
        <v>32</v>
      </c>
      <c r="C10" s="5" t="s">
        <v>33</v>
      </c>
      <c r="D10" s="5" t="str">
        <f>"0,7193"</f>
        <v>0,7193</v>
      </c>
      <c r="E10" s="5" t="s">
        <v>26</v>
      </c>
      <c r="F10" s="5" t="s">
        <v>27</v>
      </c>
      <c r="G10" s="7" t="s">
        <v>34</v>
      </c>
      <c r="H10" s="7" t="s">
        <v>35</v>
      </c>
      <c r="I10" s="6"/>
      <c r="J10" s="6"/>
      <c r="K10" s="27" t="str">
        <f>"82,5"</f>
        <v>82,5</v>
      </c>
      <c r="L10" s="31" t="str">
        <f>"59,3422"</f>
        <v>59,3422</v>
      </c>
      <c r="M10" s="5"/>
    </row>
    <row r="11" spans="1:13" x14ac:dyDescent="0.2">
      <c r="A11" s="29" t="s">
        <v>31</v>
      </c>
      <c r="B11" s="8" t="s">
        <v>36</v>
      </c>
      <c r="C11" s="8" t="s">
        <v>33</v>
      </c>
      <c r="D11" s="8" t="str">
        <f>"0,7193"</f>
        <v>0,7193</v>
      </c>
      <c r="E11" s="8" t="s">
        <v>26</v>
      </c>
      <c r="F11" s="8" t="s">
        <v>27</v>
      </c>
      <c r="G11" s="10" t="s">
        <v>34</v>
      </c>
      <c r="H11" s="10" t="s">
        <v>35</v>
      </c>
      <c r="I11" s="9"/>
      <c r="J11" s="9"/>
      <c r="K11" s="29" t="str">
        <f>"82,5"</f>
        <v>82,5</v>
      </c>
      <c r="L11" s="33" t="str">
        <f>"84,3253"</f>
        <v>84,3253</v>
      </c>
      <c r="M11" s="8"/>
    </row>
    <row r="13" spans="1:13" ht="15" x14ac:dyDescent="0.2">
      <c r="A13" s="44" t="s">
        <v>37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3" x14ac:dyDescent="0.2">
      <c r="A14" s="27" t="s">
        <v>39</v>
      </c>
      <c r="B14" s="5" t="s">
        <v>40</v>
      </c>
      <c r="C14" s="5" t="s">
        <v>41</v>
      </c>
      <c r="D14" s="5" t="str">
        <f>"0,6865"</f>
        <v>0,6865</v>
      </c>
      <c r="E14" s="5" t="s">
        <v>26</v>
      </c>
      <c r="F14" s="5" t="s">
        <v>27</v>
      </c>
      <c r="G14" s="7" t="s">
        <v>42</v>
      </c>
      <c r="H14" s="7" t="s">
        <v>43</v>
      </c>
      <c r="I14" s="6" t="s">
        <v>44</v>
      </c>
      <c r="J14" s="6"/>
      <c r="K14" s="27" t="str">
        <f>"160,0"</f>
        <v>160,0</v>
      </c>
      <c r="L14" s="31" t="str">
        <f>"109,8400"</f>
        <v>109,8400</v>
      </c>
      <c r="M14" s="5" t="s">
        <v>128</v>
      </c>
    </row>
    <row r="15" spans="1:13" x14ac:dyDescent="0.2">
      <c r="A15" s="28" t="s">
        <v>46</v>
      </c>
      <c r="B15" s="11" t="s">
        <v>47</v>
      </c>
      <c r="C15" s="11" t="s">
        <v>48</v>
      </c>
      <c r="D15" s="11" t="str">
        <f>"0,6827"</f>
        <v>0,6827</v>
      </c>
      <c r="E15" s="11" t="s">
        <v>26</v>
      </c>
      <c r="F15" s="11" t="s">
        <v>27</v>
      </c>
      <c r="G15" s="13" t="s">
        <v>49</v>
      </c>
      <c r="H15" s="13" t="s">
        <v>50</v>
      </c>
      <c r="I15" s="13" t="s">
        <v>43</v>
      </c>
      <c r="J15" s="12"/>
      <c r="K15" s="28" t="str">
        <f>"160,0"</f>
        <v>160,0</v>
      </c>
      <c r="L15" s="32" t="str">
        <f>"119,8275"</f>
        <v>119,8275</v>
      </c>
      <c r="M15" s="11"/>
    </row>
    <row r="16" spans="1:13" x14ac:dyDescent="0.2">
      <c r="A16" s="29" t="s">
        <v>52</v>
      </c>
      <c r="B16" s="8" t="s">
        <v>53</v>
      </c>
      <c r="C16" s="8" t="s">
        <v>54</v>
      </c>
      <c r="D16" s="8" t="str">
        <f>"0,6957"</f>
        <v>0,6957</v>
      </c>
      <c r="E16" s="8" t="s">
        <v>26</v>
      </c>
      <c r="F16" s="8" t="s">
        <v>27</v>
      </c>
      <c r="G16" s="10" t="s">
        <v>55</v>
      </c>
      <c r="H16" s="10" t="s">
        <v>56</v>
      </c>
      <c r="I16" s="10" t="s">
        <v>57</v>
      </c>
      <c r="J16" s="9"/>
      <c r="K16" s="29" t="str">
        <f>"132,5"</f>
        <v>132,5</v>
      </c>
      <c r="L16" s="33" t="str">
        <f>"109,1414"</f>
        <v>109,1414</v>
      </c>
      <c r="M16" s="8" t="s">
        <v>58</v>
      </c>
    </row>
    <row r="18" spans="1:13" ht="15" x14ac:dyDescent="0.2">
      <c r="A18" s="44" t="s">
        <v>59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3" x14ac:dyDescent="0.2">
      <c r="A19" s="27" t="s">
        <v>61</v>
      </c>
      <c r="B19" s="5" t="s">
        <v>62</v>
      </c>
      <c r="C19" s="5" t="s">
        <v>63</v>
      </c>
      <c r="D19" s="5" t="str">
        <f>"0,6432"</f>
        <v>0,6432</v>
      </c>
      <c r="E19" s="5" t="s">
        <v>26</v>
      </c>
      <c r="F19" s="5" t="s">
        <v>27</v>
      </c>
      <c r="G19" s="7" t="s">
        <v>64</v>
      </c>
      <c r="H19" s="6" t="s">
        <v>65</v>
      </c>
      <c r="I19" s="6" t="s">
        <v>65</v>
      </c>
      <c r="J19" s="6"/>
      <c r="K19" s="27" t="str">
        <f>"185,0"</f>
        <v>185,0</v>
      </c>
      <c r="L19" s="31" t="str">
        <f>"118,9920"</f>
        <v>118,9920</v>
      </c>
      <c r="M19" s="5"/>
    </row>
    <row r="20" spans="1:13" x14ac:dyDescent="0.2">
      <c r="A20" s="29" t="s">
        <v>67</v>
      </c>
      <c r="B20" s="8" t="s">
        <v>68</v>
      </c>
      <c r="C20" s="8" t="s">
        <v>69</v>
      </c>
      <c r="D20" s="8" t="str">
        <f>"0,6463"</f>
        <v>0,6463</v>
      </c>
      <c r="E20" s="8" t="s">
        <v>26</v>
      </c>
      <c r="F20" s="8" t="s">
        <v>27</v>
      </c>
      <c r="G20" s="10" t="s">
        <v>70</v>
      </c>
      <c r="H20" s="10" t="s">
        <v>44</v>
      </c>
      <c r="I20" s="9" t="s">
        <v>71</v>
      </c>
      <c r="J20" s="9"/>
      <c r="K20" s="29" t="str">
        <f>"167,5"</f>
        <v>167,5</v>
      </c>
      <c r="L20" s="33" t="str">
        <f>"120,4881"</f>
        <v>120,4881</v>
      </c>
      <c r="M20" s="8" t="s">
        <v>128</v>
      </c>
    </row>
    <row r="22" spans="1:13" ht="15" x14ac:dyDescent="0.2">
      <c r="A22" s="44" t="s">
        <v>72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2">
      <c r="A23" s="27" t="s">
        <v>74</v>
      </c>
      <c r="B23" s="5" t="s">
        <v>75</v>
      </c>
      <c r="C23" s="5" t="s">
        <v>76</v>
      </c>
      <c r="D23" s="5" t="str">
        <f>"0,6211"</f>
        <v>0,6211</v>
      </c>
      <c r="E23" s="5" t="s">
        <v>26</v>
      </c>
      <c r="F23" s="5" t="s">
        <v>27</v>
      </c>
      <c r="G23" s="6" t="s">
        <v>71</v>
      </c>
      <c r="H23" s="7" t="s">
        <v>77</v>
      </c>
      <c r="I23" s="7" t="s">
        <v>78</v>
      </c>
      <c r="J23" s="6"/>
      <c r="K23" s="27" t="str">
        <f>"180,0"</f>
        <v>180,0</v>
      </c>
      <c r="L23" s="31" t="str">
        <f>"111,7980"</f>
        <v>111,7980</v>
      </c>
      <c r="M23" s="5" t="s">
        <v>79</v>
      </c>
    </row>
    <row r="24" spans="1:13" x14ac:dyDescent="0.2">
      <c r="A24" s="28" t="s">
        <v>81</v>
      </c>
      <c r="B24" s="11" t="s">
        <v>82</v>
      </c>
      <c r="C24" s="11" t="s">
        <v>83</v>
      </c>
      <c r="D24" s="11" t="str">
        <f>"0,6121"</f>
        <v>0,6121</v>
      </c>
      <c r="E24" s="11" t="s">
        <v>26</v>
      </c>
      <c r="F24" s="11" t="s">
        <v>27</v>
      </c>
      <c r="G24" s="13" t="s">
        <v>84</v>
      </c>
      <c r="H24" s="13" t="s">
        <v>49</v>
      </c>
      <c r="I24" s="12" t="s">
        <v>85</v>
      </c>
      <c r="J24" s="12"/>
      <c r="K24" s="28" t="str">
        <f>"152,5"</f>
        <v>152,5</v>
      </c>
      <c r="L24" s="32" t="str">
        <f>"93,3453"</f>
        <v>93,3453</v>
      </c>
      <c r="M24" s="11"/>
    </row>
    <row r="25" spans="1:13" x14ac:dyDescent="0.2">
      <c r="A25" s="29" t="s">
        <v>87</v>
      </c>
      <c r="B25" s="8" t="s">
        <v>88</v>
      </c>
      <c r="C25" s="8" t="s">
        <v>89</v>
      </c>
      <c r="D25" s="8" t="str">
        <f>"0,6161"</f>
        <v>0,6161</v>
      </c>
      <c r="E25" s="8" t="s">
        <v>26</v>
      </c>
      <c r="F25" s="8" t="s">
        <v>27</v>
      </c>
      <c r="G25" s="10" t="s">
        <v>84</v>
      </c>
      <c r="H25" s="10" t="s">
        <v>50</v>
      </c>
      <c r="I25" s="10" t="s">
        <v>85</v>
      </c>
      <c r="J25" s="9"/>
      <c r="K25" s="29" t="str">
        <f>"157,5"</f>
        <v>157,5</v>
      </c>
      <c r="L25" s="33" t="str">
        <f>"100,0439"</f>
        <v>100,0439</v>
      </c>
      <c r="M25" s="8" t="s">
        <v>90</v>
      </c>
    </row>
    <row r="27" spans="1:13" ht="15" x14ac:dyDescent="0.2">
      <c r="A27" s="44" t="s">
        <v>91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3" x14ac:dyDescent="0.2">
      <c r="A28" s="27" t="s">
        <v>93</v>
      </c>
      <c r="B28" s="5" t="s">
        <v>94</v>
      </c>
      <c r="C28" s="5" t="s">
        <v>95</v>
      </c>
      <c r="D28" s="5" t="str">
        <f>"0,5992"</f>
        <v>0,5992</v>
      </c>
      <c r="E28" s="5" t="s">
        <v>26</v>
      </c>
      <c r="F28" s="5" t="s">
        <v>17</v>
      </c>
      <c r="G28" s="7" t="s">
        <v>96</v>
      </c>
      <c r="H28" s="7" t="s">
        <v>97</v>
      </c>
      <c r="I28" s="6" t="s">
        <v>98</v>
      </c>
      <c r="J28" s="6"/>
      <c r="K28" s="27" t="str">
        <f>"230,0"</f>
        <v>230,0</v>
      </c>
      <c r="L28" s="31" t="str">
        <f>"137,8160"</f>
        <v>137,8160</v>
      </c>
      <c r="M28" s="5" t="s">
        <v>99</v>
      </c>
    </row>
    <row r="29" spans="1:13" x14ac:dyDescent="0.2">
      <c r="A29" s="28" t="s">
        <v>101</v>
      </c>
      <c r="B29" s="11" t="s">
        <v>102</v>
      </c>
      <c r="C29" s="11" t="s">
        <v>103</v>
      </c>
      <c r="D29" s="11" t="str">
        <f>"0,5962"</f>
        <v>0,5962</v>
      </c>
      <c r="E29" s="11" t="s">
        <v>26</v>
      </c>
      <c r="F29" s="11" t="s">
        <v>27</v>
      </c>
      <c r="G29" s="13" t="s">
        <v>78</v>
      </c>
      <c r="H29" s="13" t="s">
        <v>65</v>
      </c>
      <c r="I29" s="12" t="s">
        <v>104</v>
      </c>
      <c r="J29" s="12"/>
      <c r="K29" s="28" t="str">
        <f>"190,0"</f>
        <v>190,0</v>
      </c>
      <c r="L29" s="32" t="str">
        <f>"113,2780"</f>
        <v>113,2780</v>
      </c>
      <c r="M29" s="11"/>
    </row>
    <row r="30" spans="1:13" x14ac:dyDescent="0.2">
      <c r="A30" s="28" t="s">
        <v>106</v>
      </c>
      <c r="B30" s="11" t="s">
        <v>107</v>
      </c>
      <c r="C30" s="11" t="s">
        <v>108</v>
      </c>
      <c r="D30" s="11" t="str">
        <f>"0,5972"</f>
        <v>0,5972</v>
      </c>
      <c r="E30" s="11" t="s">
        <v>109</v>
      </c>
      <c r="F30" s="11" t="s">
        <v>110</v>
      </c>
      <c r="G30" s="13" t="s">
        <v>42</v>
      </c>
      <c r="H30" s="13" t="s">
        <v>43</v>
      </c>
      <c r="I30" s="12" t="s">
        <v>70</v>
      </c>
      <c r="J30" s="12"/>
      <c r="K30" s="28" t="str">
        <f>"160,0"</f>
        <v>160,0</v>
      </c>
      <c r="L30" s="32" t="str">
        <f>"95,5520"</f>
        <v>95,5520</v>
      </c>
      <c r="M30" s="11" t="s">
        <v>111</v>
      </c>
    </row>
    <row r="31" spans="1:13" x14ac:dyDescent="0.2">
      <c r="A31" s="28" t="s">
        <v>113</v>
      </c>
      <c r="B31" s="11" t="s">
        <v>114</v>
      </c>
      <c r="C31" s="11" t="s">
        <v>115</v>
      </c>
      <c r="D31" s="11" t="str">
        <f>"0,5917"</f>
        <v>0,5917</v>
      </c>
      <c r="E31" s="11" t="s">
        <v>26</v>
      </c>
      <c r="F31" s="11" t="s">
        <v>27</v>
      </c>
      <c r="G31" s="12" t="s">
        <v>49</v>
      </c>
      <c r="H31" s="13" t="s">
        <v>50</v>
      </c>
      <c r="I31" s="12" t="s">
        <v>43</v>
      </c>
      <c r="J31" s="12"/>
      <c r="K31" s="28" t="str">
        <f>"155,0"</f>
        <v>155,0</v>
      </c>
      <c r="L31" s="32" t="str">
        <f>"96,7577"</f>
        <v>96,7577</v>
      </c>
      <c r="M31" s="11"/>
    </row>
    <row r="32" spans="1:13" x14ac:dyDescent="0.2">
      <c r="A32" s="28" t="s">
        <v>117</v>
      </c>
      <c r="B32" s="11" t="s">
        <v>118</v>
      </c>
      <c r="C32" s="11" t="s">
        <v>119</v>
      </c>
      <c r="D32" s="11" t="str">
        <f>"0,5980"</f>
        <v>0,5980</v>
      </c>
      <c r="E32" s="11" t="s">
        <v>26</v>
      </c>
      <c r="F32" s="11" t="s">
        <v>27</v>
      </c>
      <c r="G32" s="13" t="s">
        <v>120</v>
      </c>
      <c r="H32" s="13" t="s">
        <v>121</v>
      </c>
      <c r="I32" s="13" t="s">
        <v>122</v>
      </c>
      <c r="J32" s="12"/>
      <c r="K32" s="28" t="str">
        <f>"125,0"</f>
        <v>125,0</v>
      </c>
      <c r="L32" s="32" t="str">
        <f>"91,5687"</f>
        <v>91,5687</v>
      </c>
      <c r="M32" s="11" t="s">
        <v>128</v>
      </c>
    </row>
    <row r="33" spans="1:13" x14ac:dyDescent="0.2">
      <c r="A33" s="29" t="s">
        <v>124</v>
      </c>
      <c r="B33" s="8" t="s">
        <v>125</v>
      </c>
      <c r="C33" s="8" t="s">
        <v>126</v>
      </c>
      <c r="D33" s="8" t="str">
        <f>"0,6044"</f>
        <v>0,6044</v>
      </c>
      <c r="E33" s="8" t="s">
        <v>26</v>
      </c>
      <c r="F33" s="8" t="s">
        <v>27</v>
      </c>
      <c r="G33" s="10" t="s">
        <v>127</v>
      </c>
      <c r="H33" s="10" t="s">
        <v>42</v>
      </c>
      <c r="I33" s="9" t="s">
        <v>85</v>
      </c>
      <c r="J33" s="9"/>
      <c r="K33" s="29" t="str">
        <f>"150,0"</f>
        <v>150,0</v>
      </c>
      <c r="L33" s="33" t="str">
        <f>"123,8416"</f>
        <v>123,8416</v>
      </c>
      <c r="M33" s="8" t="s">
        <v>128</v>
      </c>
    </row>
    <row r="35" spans="1:13" ht="15" x14ac:dyDescent="0.2">
      <c r="A35" s="44" t="s">
        <v>129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3" x14ac:dyDescent="0.2">
      <c r="A36" s="27" t="s">
        <v>131</v>
      </c>
      <c r="B36" s="5" t="s">
        <v>132</v>
      </c>
      <c r="C36" s="5" t="s">
        <v>133</v>
      </c>
      <c r="D36" s="5" t="str">
        <f>"0,5715"</f>
        <v>0,5715</v>
      </c>
      <c r="E36" s="5" t="s">
        <v>16</v>
      </c>
      <c r="F36" s="5" t="s">
        <v>17</v>
      </c>
      <c r="G36" s="7" t="s">
        <v>134</v>
      </c>
      <c r="H36" s="7" t="s">
        <v>96</v>
      </c>
      <c r="I36" s="7" t="s">
        <v>135</v>
      </c>
      <c r="J36" s="6"/>
      <c r="K36" s="27" t="str">
        <f>"225,0"</f>
        <v>225,0</v>
      </c>
      <c r="L36" s="31" t="str">
        <f>"128,5875"</f>
        <v>128,5875</v>
      </c>
      <c r="M36" s="5" t="s">
        <v>99</v>
      </c>
    </row>
    <row r="37" spans="1:13" x14ac:dyDescent="0.2">
      <c r="A37" s="28" t="s">
        <v>136</v>
      </c>
      <c r="B37" s="11" t="s">
        <v>137</v>
      </c>
      <c r="C37" s="11" t="s">
        <v>138</v>
      </c>
      <c r="D37" s="11" t="str">
        <f>"0,5836"</f>
        <v>0,5836</v>
      </c>
      <c r="E37" s="11" t="s">
        <v>16</v>
      </c>
      <c r="F37" s="11" t="s">
        <v>139</v>
      </c>
      <c r="G37" s="12" t="s">
        <v>134</v>
      </c>
      <c r="H37" s="12" t="s">
        <v>134</v>
      </c>
      <c r="I37" s="12"/>
      <c r="J37" s="12"/>
      <c r="K37" s="28" t="str">
        <f>"0.00"</f>
        <v>0.00</v>
      </c>
      <c r="L37" s="32" t="str">
        <f>"0,0000"</f>
        <v>0,0000</v>
      </c>
      <c r="M37" s="11" t="s">
        <v>128</v>
      </c>
    </row>
    <row r="38" spans="1:13" x14ac:dyDescent="0.2">
      <c r="A38" s="28" t="s">
        <v>141</v>
      </c>
      <c r="B38" s="11" t="s">
        <v>142</v>
      </c>
      <c r="C38" s="11" t="s">
        <v>143</v>
      </c>
      <c r="D38" s="11" t="str">
        <f>"0,5803"</f>
        <v>0,5803</v>
      </c>
      <c r="E38" s="11" t="s">
        <v>144</v>
      </c>
      <c r="F38" s="11" t="s">
        <v>145</v>
      </c>
      <c r="G38" s="12" t="s">
        <v>50</v>
      </c>
      <c r="H38" s="12" t="s">
        <v>50</v>
      </c>
      <c r="I38" s="13" t="s">
        <v>50</v>
      </c>
      <c r="J38" s="12"/>
      <c r="K38" s="28" t="str">
        <f>"155,0"</f>
        <v>155,0</v>
      </c>
      <c r="L38" s="32" t="str">
        <f>"96,0629"</f>
        <v>96,0629</v>
      </c>
      <c r="M38" s="11" t="s">
        <v>146</v>
      </c>
    </row>
    <row r="39" spans="1:13" x14ac:dyDescent="0.2">
      <c r="A39" s="29" t="s">
        <v>148</v>
      </c>
      <c r="B39" s="8" t="s">
        <v>149</v>
      </c>
      <c r="C39" s="8" t="s">
        <v>150</v>
      </c>
      <c r="D39" s="8" t="str">
        <f>"0,5703"</f>
        <v>0,5703</v>
      </c>
      <c r="E39" s="8" t="s">
        <v>26</v>
      </c>
      <c r="F39" s="8" t="s">
        <v>27</v>
      </c>
      <c r="G39" s="10" t="s">
        <v>78</v>
      </c>
      <c r="H39" s="10" t="s">
        <v>64</v>
      </c>
      <c r="I39" s="9" t="s">
        <v>65</v>
      </c>
      <c r="J39" s="9"/>
      <c r="K39" s="29" t="str">
        <f>"185,0"</f>
        <v>185,0</v>
      </c>
      <c r="L39" s="33" t="str">
        <f>"131,4598"</f>
        <v>131,4598</v>
      </c>
      <c r="M39" s="8"/>
    </row>
    <row r="41" spans="1:13" ht="15" x14ac:dyDescent="0.2">
      <c r="A41" s="44" t="s">
        <v>151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</row>
    <row r="42" spans="1:13" x14ac:dyDescent="0.2">
      <c r="A42" s="26" t="s">
        <v>153</v>
      </c>
      <c r="B42" s="14" t="s">
        <v>154</v>
      </c>
      <c r="C42" s="14" t="s">
        <v>155</v>
      </c>
      <c r="D42" s="14" t="str">
        <f>"0,5665"</f>
        <v>0,5665</v>
      </c>
      <c r="E42" s="14" t="s">
        <v>16</v>
      </c>
      <c r="F42" s="14" t="s">
        <v>156</v>
      </c>
      <c r="G42" s="16" t="s">
        <v>157</v>
      </c>
      <c r="H42" s="16" t="s">
        <v>158</v>
      </c>
      <c r="I42" s="15"/>
      <c r="J42" s="15"/>
      <c r="K42" s="26" t="str">
        <f>"212,5"</f>
        <v>212,5</v>
      </c>
      <c r="L42" s="30" t="str">
        <f>"120,3813"</f>
        <v>120,3813</v>
      </c>
      <c r="M42" s="14" t="s">
        <v>159</v>
      </c>
    </row>
    <row r="44" spans="1:13" ht="15" x14ac:dyDescent="0.2">
      <c r="E44" s="17" t="s">
        <v>160</v>
      </c>
    </row>
    <row r="45" spans="1:13" ht="15" x14ac:dyDescent="0.2">
      <c r="E45" s="17" t="s">
        <v>161</v>
      </c>
    </row>
    <row r="46" spans="1:13" ht="15" x14ac:dyDescent="0.2">
      <c r="E46" s="17" t="s">
        <v>162</v>
      </c>
    </row>
    <row r="47" spans="1:13" ht="15" x14ac:dyDescent="0.2">
      <c r="E47" s="17" t="s">
        <v>163</v>
      </c>
    </row>
    <row r="48" spans="1:13" ht="15" x14ac:dyDescent="0.2">
      <c r="E48" s="17" t="s">
        <v>163</v>
      </c>
    </row>
    <row r="49" spans="1:5" ht="15" x14ac:dyDescent="0.2">
      <c r="E49" s="17" t="s">
        <v>164</v>
      </c>
    </row>
    <row r="50" spans="1:5" ht="15" x14ac:dyDescent="0.2">
      <c r="E50" s="17"/>
    </row>
    <row r="52" spans="1:5" ht="18" x14ac:dyDescent="0.25">
      <c r="A52" s="18" t="s">
        <v>165</v>
      </c>
      <c r="B52" s="18"/>
    </row>
    <row r="53" spans="1:5" ht="15" x14ac:dyDescent="0.2">
      <c r="A53" s="19" t="s">
        <v>166</v>
      </c>
      <c r="B53" s="19"/>
    </row>
    <row r="54" spans="1:5" ht="14.25" x14ac:dyDescent="0.2">
      <c r="A54" s="21"/>
      <c r="B54" s="22" t="s">
        <v>167</v>
      </c>
    </row>
    <row r="55" spans="1:5" ht="15" x14ac:dyDescent="0.2">
      <c r="A55" s="23" t="s">
        <v>168</v>
      </c>
      <c r="B55" s="23" t="s">
        <v>169</v>
      </c>
      <c r="C55" s="23" t="s">
        <v>170</v>
      </c>
      <c r="D55" s="23" t="s">
        <v>171</v>
      </c>
      <c r="E55" s="23" t="s">
        <v>172</v>
      </c>
    </row>
    <row r="56" spans="1:5" x14ac:dyDescent="0.2">
      <c r="A56" s="20" t="s">
        <v>12</v>
      </c>
      <c r="B56" s="4" t="s">
        <v>167</v>
      </c>
      <c r="C56" s="4" t="s">
        <v>173</v>
      </c>
      <c r="D56" s="4" t="s">
        <v>20</v>
      </c>
      <c r="E56" s="24" t="s">
        <v>174</v>
      </c>
    </row>
    <row r="57" spans="1:5" x14ac:dyDescent="0.2">
      <c r="A57" s="20" t="s">
        <v>22</v>
      </c>
      <c r="B57" s="4" t="s">
        <v>167</v>
      </c>
      <c r="C57" s="4" t="s">
        <v>173</v>
      </c>
      <c r="D57" s="4" t="s">
        <v>18</v>
      </c>
      <c r="E57" s="24" t="s">
        <v>175</v>
      </c>
    </row>
    <row r="60" spans="1:5" ht="15" x14ac:dyDescent="0.2">
      <c r="A60" s="19" t="s">
        <v>176</v>
      </c>
      <c r="B60" s="19"/>
    </row>
    <row r="61" spans="1:5" ht="14.25" x14ac:dyDescent="0.2">
      <c r="A61" s="21"/>
      <c r="B61" s="22" t="s">
        <v>167</v>
      </c>
    </row>
    <row r="62" spans="1:5" ht="15" x14ac:dyDescent="0.2">
      <c r="A62" s="23" t="s">
        <v>168</v>
      </c>
      <c r="B62" s="23" t="s">
        <v>169</v>
      </c>
      <c r="C62" s="23" t="s">
        <v>170</v>
      </c>
      <c r="D62" s="23" t="s">
        <v>171</v>
      </c>
      <c r="E62" s="23" t="s">
        <v>172</v>
      </c>
    </row>
    <row r="63" spans="1:5" x14ac:dyDescent="0.2">
      <c r="A63" s="20" t="s">
        <v>92</v>
      </c>
      <c r="B63" s="4" t="s">
        <v>167</v>
      </c>
      <c r="C63" s="4" t="s">
        <v>177</v>
      </c>
      <c r="D63" s="4" t="s">
        <v>97</v>
      </c>
      <c r="E63" s="24" t="s">
        <v>178</v>
      </c>
    </row>
    <row r="64" spans="1:5" x14ac:dyDescent="0.2">
      <c r="A64" s="20" t="s">
        <v>130</v>
      </c>
      <c r="B64" s="4" t="s">
        <v>167</v>
      </c>
      <c r="C64" s="4" t="s">
        <v>179</v>
      </c>
      <c r="D64" s="4" t="s">
        <v>135</v>
      </c>
      <c r="E64" s="24" t="s">
        <v>180</v>
      </c>
    </row>
    <row r="65" spans="1:5" x14ac:dyDescent="0.2">
      <c r="A65" s="20" t="s">
        <v>152</v>
      </c>
      <c r="B65" s="4" t="s">
        <v>167</v>
      </c>
      <c r="C65" s="4" t="s">
        <v>181</v>
      </c>
      <c r="D65" s="4" t="s">
        <v>158</v>
      </c>
      <c r="E65" s="24" t="s">
        <v>182</v>
      </c>
    </row>
    <row r="66" spans="1:5" x14ac:dyDescent="0.2">
      <c r="A66" s="20" t="s">
        <v>60</v>
      </c>
      <c r="B66" s="4" t="s">
        <v>167</v>
      </c>
      <c r="C66" s="4" t="s">
        <v>183</v>
      </c>
      <c r="D66" s="4" t="s">
        <v>64</v>
      </c>
      <c r="E66" s="24" t="s">
        <v>184</v>
      </c>
    </row>
    <row r="67" spans="1:5" x14ac:dyDescent="0.2">
      <c r="A67" s="20" t="s">
        <v>100</v>
      </c>
      <c r="B67" s="4" t="s">
        <v>167</v>
      </c>
      <c r="C67" s="4" t="s">
        <v>177</v>
      </c>
      <c r="D67" s="4" t="s">
        <v>65</v>
      </c>
      <c r="E67" s="24" t="s">
        <v>185</v>
      </c>
    </row>
    <row r="68" spans="1:5" x14ac:dyDescent="0.2">
      <c r="A68" s="20" t="s">
        <v>73</v>
      </c>
      <c r="B68" s="4" t="s">
        <v>167</v>
      </c>
      <c r="C68" s="4" t="s">
        <v>186</v>
      </c>
      <c r="D68" s="4" t="s">
        <v>78</v>
      </c>
      <c r="E68" s="24" t="s">
        <v>187</v>
      </c>
    </row>
    <row r="69" spans="1:5" x14ac:dyDescent="0.2">
      <c r="A69" s="20" t="s">
        <v>38</v>
      </c>
      <c r="B69" s="4" t="s">
        <v>167</v>
      </c>
      <c r="C69" s="4" t="s">
        <v>188</v>
      </c>
      <c r="D69" s="4" t="s">
        <v>43</v>
      </c>
      <c r="E69" s="24" t="s">
        <v>189</v>
      </c>
    </row>
    <row r="70" spans="1:5" x14ac:dyDescent="0.2">
      <c r="A70" s="20" t="s">
        <v>105</v>
      </c>
      <c r="B70" s="4" t="s">
        <v>167</v>
      </c>
      <c r="C70" s="4" t="s">
        <v>177</v>
      </c>
      <c r="D70" s="4" t="s">
        <v>43</v>
      </c>
      <c r="E70" s="24" t="s">
        <v>190</v>
      </c>
    </row>
    <row r="71" spans="1:5" x14ac:dyDescent="0.2">
      <c r="A71" s="20" t="s">
        <v>80</v>
      </c>
      <c r="B71" s="4" t="s">
        <v>167</v>
      </c>
      <c r="C71" s="4" t="s">
        <v>186</v>
      </c>
      <c r="D71" s="4" t="s">
        <v>49</v>
      </c>
      <c r="E71" s="24" t="s">
        <v>191</v>
      </c>
    </row>
    <row r="72" spans="1:5" x14ac:dyDescent="0.2">
      <c r="A72" s="20" t="s">
        <v>30</v>
      </c>
      <c r="B72" s="4" t="s">
        <v>167</v>
      </c>
      <c r="C72" s="4" t="s">
        <v>173</v>
      </c>
      <c r="D72" s="4" t="s">
        <v>35</v>
      </c>
      <c r="E72" s="24" t="s">
        <v>192</v>
      </c>
    </row>
    <row r="74" spans="1:5" ht="14.25" x14ac:dyDescent="0.2">
      <c r="A74" s="21"/>
      <c r="B74" s="22" t="s">
        <v>193</v>
      </c>
    </row>
    <row r="75" spans="1:5" ht="15" x14ac:dyDescent="0.2">
      <c r="A75" s="23" t="s">
        <v>168</v>
      </c>
      <c r="B75" s="23" t="s">
        <v>169</v>
      </c>
      <c r="C75" s="23" t="s">
        <v>170</v>
      </c>
      <c r="D75" s="23" t="s">
        <v>171</v>
      </c>
      <c r="E75" s="23" t="s">
        <v>172</v>
      </c>
    </row>
    <row r="76" spans="1:5" x14ac:dyDescent="0.2">
      <c r="A76" s="20" t="s">
        <v>147</v>
      </c>
      <c r="B76" s="4" t="s">
        <v>194</v>
      </c>
      <c r="C76" s="4" t="s">
        <v>179</v>
      </c>
      <c r="D76" s="4" t="s">
        <v>64</v>
      </c>
      <c r="E76" s="24" t="s">
        <v>195</v>
      </c>
    </row>
    <row r="77" spans="1:5" x14ac:dyDescent="0.2">
      <c r="A77" s="20" t="s">
        <v>123</v>
      </c>
      <c r="B77" s="4" t="s">
        <v>196</v>
      </c>
      <c r="C77" s="4" t="s">
        <v>177</v>
      </c>
      <c r="D77" s="4" t="s">
        <v>42</v>
      </c>
      <c r="E77" s="24" t="s">
        <v>197</v>
      </c>
    </row>
    <row r="78" spans="1:5" x14ac:dyDescent="0.2">
      <c r="A78" s="20" t="s">
        <v>66</v>
      </c>
      <c r="B78" s="4" t="s">
        <v>198</v>
      </c>
      <c r="C78" s="4" t="s">
        <v>183</v>
      </c>
      <c r="D78" s="4" t="s">
        <v>44</v>
      </c>
      <c r="E78" s="24" t="s">
        <v>199</v>
      </c>
    </row>
    <row r="79" spans="1:5" x14ac:dyDescent="0.2">
      <c r="A79" s="20" t="s">
        <v>45</v>
      </c>
      <c r="B79" s="4" t="s">
        <v>198</v>
      </c>
      <c r="C79" s="4" t="s">
        <v>188</v>
      </c>
      <c r="D79" s="4" t="s">
        <v>43</v>
      </c>
      <c r="E79" s="24" t="s">
        <v>200</v>
      </c>
    </row>
    <row r="80" spans="1:5" x14ac:dyDescent="0.2">
      <c r="A80" s="20" t="s">
        <v>51</v>
      </c>
      <c r="B80" s="4" t="s">
        <v>201</v>
      </c>
      <c r="C80" s="4" t="s">
        <v>188</v>
      </c>
      <c r="D80" s="4" t="s">
        <v>57</v>
      </c>
      <c r="E80" s="24" t="s">
        <v>202</v>
      </c>
    </row>
    <row r="81" spans="1:5" x14ac:dyDescent="0.2">
      <c r="A81" s="20" t="s">
        <v>86</v>
      </c>
      <c r="B81" s="4" t="s">
        <v>203</v>
      </c>
      <c r="C81" s="4" t="s">
        <v>186</v>
      </c>
      <c r="D81" s="4" t="s">
        <v>85</v>
      </c>
      <c r="E81" s="24" t="s">
        <v>204</v>
      </c>
    </row>
    <row r="82" spans="1:5" x14ac:dyDescent="0.2">
      <c r="A82" s="20" t="s">
        <v>112</v>
      </c>
      <c r="B82" s="4" t="s">
        <v>198</v>
      </c>
      <c r="C82" s="4" t="s">
        <v>177</v>
      </c>
      <c r="D82" s="4" t="s">
        <v>50</v>
      </c>
      <c r="E82" s="24" t="s">
        <v>205</v>
      </c>
    </row>
    <row r="83" spans="1:5" x14ac:dyDescent="0.2">
      <c r="A83" s="20" t="s">
        <v>140</v>
      </c>
      <c r="B83" s="4" t="s">
        <v>198</v>
      </c>
      <c r="C83" s="4" t="s">
        <v>179</v>
      </c>
      <c r="D83" s="4" t="s">
        <v>50</v>
      </c>
      <c r="E83" s="24" t="s">
        <v>206</v>
      </c>
    </row>
    <row r="84" spans="1:5" x14ac:dyDescent="0.2">
      <c r="A84" s="20" t="s">
        <v>116</v>
      </c>
      <c r="B84" s="4" t="s">
        <v>194</v>
      </c>
      <c r="C84" s="4" t="s">
        <v>177</v>
      </c>
      <c r="D84" s="4" t="s">
        <v>122</v>
      </c>
      <c r="E84" s="24" t="s">
        <v>207</v>
      </c>
    </row>
    <row r="85" spans="1:5" x14ac:dyDescent="0.2">
      <c r="A85" s="20" t="s">
        <v>30</v>
      </c>
      <c r="B85" s="4" t="s">
        <v>196</v>
      </c>
      <c r="C85" s="4" t="s">
        <v>173</v>
      </c>
      <c r="D85" s="4" t="s">
        <v>35</v>
      </c>
      <c r="E85" s="24" t="s">
        <v>208</v>
      </c>
    </row>
  </sheetData>
  <mergeCells count="19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27:L27"/>
    <mergeCell ref="A35:L35"/>
    <mergeCell ref="A41:L41"/>
    <mergeCell ref="A5:L5"/>
    <mergeCell ref="A9:L9"/>
    <mergeCell ref="A13:L13"/>
    <mergeCell ref="A18:L18"/>
    <mergeCell ref="A22:L22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F17" sqref="F17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8.57031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4.5703125" style="4" bestFit="1" customWidth="1"/>
    <col min="14" max="16384" width="9.140625" style="3"/>
  </cols>
  <sheetData>
    <row r="1" spans="1:13" s="2" customFormat="1" ht="29.1" customHeight="1" x14ac:dyDescent="0.2">
      <c r="A1" s="45" t="s">
        <v>771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9</v>
      </c>
      <c r="E3" s="55" t="s">
        <v>3</v>
      </c>
      <c r="F3" s="55" t="s">
        <v>7</v>
      </c>
      <c r="G3" s="55" t="s">
        <v>10</v>
      </c>
      <c r="H3" s="55"/>
      <c r="I3" s="55"/>
      <c r="J3" s="55"/>
      <c r="K3" s="55" t="s">
        <v>209</v>
      </c>
      <c r="L3" s="55" t="s">
        <v>2</v>
      </c>
      <c r="M3" s="41" t="s">
        <v>1</v>
      </c>
    </row>
    <row r="4" spans="1:13" s="1" customFormat="1" ht="29.25" customHeight="1" thickBot="1" x14ac:dyDescent="0.25">
      <c r="A4" s="52"/>
      <c r="B4" s="54"/>
      <c r="C4" s="54"/>
      <c r="D4" s="54"/>
      <c r="E4" s="54"/>
      <c r="F4" s="54"/>
      <c r="G4" s="25">
        <v>1</v>
      </c>
      <c r="H4" s="25">
        <v>2</v>
      </c>
      <c r="I4" s="25">
        <v>3</v>
      </c>
      <c r="J4" s="25" t="s">
        <v>4</v>
      </c>
      <c r="K4" s="54"/>
      <c r="L4" s="54"/>
      <c r="M4" s="42"/>
    </row>
    <row r="5" spans="1:13" ht="15" x14ac:dyDescent="0.2">
      <c r="A5" s="43" t="s">
        <v>277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">
      <c r="A6" s="26" t="s">
        <v>773</v>
      </c>
      <c r="B6" s="14" t="s">
        <v>774</v>
      </c>
      <c r="C6" s="14" t="s">
        <v>281</v>
      </c>
      <c r="D6" s="14" t="str">
        <f>"1,1766"</f>
        <v>1,1766</v>
      </c>
      <c r="E6" s="14" t="s">
        <v>26</v>
      </c>
      <c r="F6" s="14" t="s">
        <v>27</v>
      </c>
      <c r="G6" s="16" t="s">
        <v>292</v>
      </c>
      <c r="H6" s="16" t="s">
        <v>35</v>
      </c>
      <c r="I6" s="16" t="s">
        <v>294</v>
      </c>
      <c r="J6" s="15"/>
      <c r="K6" s="26" t="str">
        <f>"85,0"</f>
        <v>85,0</v>
      </c>
      <c r="L6" s="30" t="str">
        <f>"100,0110"</f>
        <v>100,0110</v>
      </c>
      <c r="M6" s="14" t="s">
        <v>775</v>
      </c>
    </row>
    <row r="8" spans="1:13" ht="15" x14ac:dyDescent="0.2">
      <c r="A8" s="44" t="s">
        <v>59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">
      <c r="A9" s="27" t="s">
        <v>777</v>
      </c>
      <c r="B9" s="5" t="s">
        <v>778</v>
      </c>
      <c r="C9" s="5" t="s">
        <v>779</v>
      </c>
      <c r="D9" s="5" t="str">
        <f>"0,6424"</f>
        <v>0,6424</v>
      </c>
      <c r="E9" s="5" t="s">
        <v>26</v>
      </c>
      <c r="F9" s="5" t="s">
        <v>27</v>
      </c>
      <c r="G9" s="6" t="s">
        <v>496</v>
      </c>
      <c r="H9" s="7" t="s">
        <v>496</v>
      </c>
      <c r="I9" s="7" t="s">
        <v>65</v>
      </c>
      <c r="J9" s="6"/>
      <c r="K9" s="27" t="str">
        <f>"190,0"</f>
        <v>190,0</v>
      </c>
      <c r="L9" s="31" t="str">
        <f>"122,0560"</f>
        <v>122,0560</v>
      </c>
      <c r="M9" s="5" t="s">
        <v>128</v>
      </c>
    </row>
    <row r="10" spans="1:13" x14ac:dyDescent="0.2">
      <c r="A10" s="28" t="s">
        <v>781</v>
      </c>
      <c r="B10" s="11" t="s">
        <v>782</v>
      </c>
      <c r="C10" s="11" t="s">
        <v>69</v>
      </c>
      <c r="D10" s="11" t="str">
        <f>"0,6463"</f>
        <v>0,6463</v>
      </c>
      <c r="E10" s="11" t="s">
        <v>16</v>
      </c>
      <c r="F10" s="11" t="s">
        <v>318</v>
      </c>
      <c r="G10" s="12" t="s">
        <v>43</v>
      </c>
      <c r="H10" s="13" t="s">
        <v>495</v>
      </c>
      <c r="I10" s="12" t="s">
        <v>419</v>
      </c>
      <c r="J10" s="12"/>
      <c r="K10" s="28" t="str">
        <f>"165,0"</f>
        <v>165,0</v>
      </c>
      <c r="L10" s="32" t="str">
        <f>"106,6395"</f>
        <v>106,6395</v>
      </c>
      <c r="M10" s="11" t="s">
        <v>783</v>
      </c>
    </row>
    <row r="11" spans="1:13" x14ac:dyDescent="0.2">
      <c r="A11" s="28" t="s">
        <v>784</v>
      </c>
      <c r="B11" s="11" t="s">
        <v>785</v>
      </c>
      <c r="C11" s="11" t="s">
        <v>786</v>
      </c>
      <c r="D11" s="11" t="str">
        <f>"0,6499"</f>
        <v>0,6499</v>
      </c>
      <c r="E11" s="11" t="s">
        <v>16</v>
      </c>
      <c r="F11" s="11" t="s">
        <v>266</v>
      </c>
      <c r="G11" s="12" t="s">
        <v>78</v>
      </c>
      <c r="H11" s="12" t="s">
        <v>64</v>
      </c>
      <c r="I11" s="12" t="s">
        <v>64</v>
      </c>
      <c r="J11" s="12"/>
      <c r="K11" s="28" t="str">
        <f>"0.00"</f>
        <v>0.00</v>
      </c>
      <c r="L11" s="32" t="str">
        <f>"0,0000"</f>
        <v>0,0000</v>
      </c>
      <c r="M11" s="11" t="s">
        <v>787</v>
      </c>
    </row>
    <row r="12" spans="1:13" x14ac:dyDescent="0.2">
      <c r="A12" s="29" t="s">
        <v>788</v>
      </c>
      <c r="B12" s="8" t="s">
        <v>789</v>
      </c>
      <c r="C12" s="8" t="s">
        <v>790</v>
      </c>
      <c r="D12" s="8" t="str">
        <f>"0,6398"</f>
        <v>0,6398</v>
      </c>
      <c r="E12" s="8" t="s">
        <v>791</v>
      </c>
      <c r="F12" s="8" t="s">
        <v>792</v>
      </c>
      <c r="G12" s="9" t="s">
        <v>65</v>
      </c>
      <c r="H12" s="9" t="s">
        <v>104</v>
      </c>
      <c r="I12" s="9" t="s">
        <v>104</v>
      </c>
      <c r="J12" s="9"/>
      <c r="K12" s="29" t="str">
        <f>"0.00"</f>
        <v>0.00</v>
      </c>
      <c r="L12" s="33" t="str">
        <f>"0,0000"</f>
        <v>0,0000</v>
      </c>
      <c r="M12" s="8" t="s">
        <v>793</v>
      </c>
    </row>
    <row r="14" spans="1:13" ht="15" x14ac:dyDescent="0.2">
      <c r="A14" s="44" t="s">
        <v>91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3" x14ac:dyDescent="0.2">
      <c r="A15" s="26" t="s">
        <v>795</v>
      </c>
      <c r="B15" s="14" t="s">
        <v>796</v>
      </c>
      <c r="C15" s="14" t="s">
        <v>797</v>
      </c>
      <c r="D15" s="14" t="str">
        <f>"0,5948"</f>
        <v>0,5948</v>
      </c>
      <c r="E15" s="14" t="s">
        <v>16</v>
      </c>
      <c r="F15" s="14" t="s">
        <v>237</v>
      </c>
      <c r="G15" s="15" t="s">
        <v>675</v>
      </c>
      <c r="H15" s="15" t="s">
        <v>675</v>
      </c>
      <c r="I15" s="16" t="s">
        <v>675</v>
      </c>
      <c r="J15" s="15"/>
      <c r="K15" s="26" t="str">
        <f>"210,0"</f>
        <v>210,0</v>
      </c>
      <c r="L15" s="30" t="str">
        <f>"130,2790"</f>
        <v>130,2790</v>
      </c>
      <c r="M15" s="14" t="s">
        <v>798</v>
      </c>
    </row>
    <row r="17" spans="1:5" ht="15" x14ac:dyDescent="0.2">
      <c r="E17" s="17" t="s">
        <v>160</v>
      </c>
    </row>
    <row r="18" spans="1:5" ht="15" x14ac:dyDescent="0.2">
      <c r="E18" s="17" t="s">
        <v>161</v>
      </c>
    </row>
    <row r="19" spans="1:5" ht="15" x14ac:dyDescent="0.2">
      <c r="E19" s="17" t="s">
        <v>162</v>
      </c>
    </row>
    <row r="20" spans="1:5" ht="15" x14ac:dyDescent="0.2">
      <c r="E20" s="17" t="s">
        <v>163</v>
      </c>
    </row>
    <row r="21" spans="1:5" ht="15" x14ac:dyDescent="0.2">
      <c r="E21" s="17" t="s">
        <v>163</v>
      </c>
    </row>
    <row r="22" spans="1:5" ht="15" x14ac:dyDescent="0.2">
      <c r="E22" s="17" t="s">
        <v>164</v>
      </c>
    </row>
    <row r="23" spans="1:5" ht="15" x14ac:dyDescent="0.2">
      <c r="E23" s="17"/>
    </row>
    <row r="25" spans="1:5" ht="18" x14ac:dyDescent="0.25">
      <c r="A25" s="18" t="s">
        <v>165</v>
      </c>
      <c r="B25" s="18"/>
    </row>
    <row r="26" spans="1:5" ht="15" x14ac:dyDescent="0.2">
      <c r="A26" s="19" t="s">
        <v>166</v>
      </c>
      <c r="B26" s="19"/>
    </row>
    <row r="27" spans="1:5" ht="14.25" x14ac:dyDescent="0.2">
      <c r="A27" s="21"/>
      <c r="B27" s="22" t="s">
        <v>167</v>
      </c>
    </row>
    <row r="28" spans="1:5" ht="15" x14ac:dyDescent="0.2">
      <c r="A28" s="23" t="s">
        <v>168</v>
      </c>
      <c r="B28" s="23" t="s">
        <v>169</v>
      </c>
      <c r="C28" s="23" t="s">
        <v>170</v>
      </c>
      <c r="D28" s="23" t="s">
        <v>171</v>
      </c>
      <c r="E28" s="23" t="s">
        <v>172</v>
      </c>
    </row>
    <row r="29" spans="1:5" x14ac:dyDescent="0.2">
      <c r="A29" s="20" t="s">
        <v>772</v>
      </c>
      <c r="B29" s="4" t="s">
        <v>167</v>
      </c>
      <c r="C29" s="4" t="s">
        <v>708</v>
      </c>
      <c r="D29" s="4" t="s">
        <v>294</v>
      </c>
      <c r="E29" s="24" t="s">
        <v>799</v>
      </c>
    </row>
    <row r="32" spans="1:5" ht="15" x14ac:dyDescent="0.2">
      <c r="A32" s="19" t="s">
        <v>176</v>
      </c>
      <c r="B32" s="19"/>
    </row>
    <row r="33" spans="1:5" ht="14.25" x14ac:dyDescent="0.2">
      <c r="A33" s="21"/>
      <c r="B33" s="22" t="s">
        <v>167</v>
      </c>
    </row>
    <row r="34" spans="1:5" ht="15" x14ac:dyDescent="0.2">
      <c r="A34" s="23" t="s">
        <v>168</v>
      </c>
      <c r="B34" s="23" t="s">
        <v>169</v>
      </c>
      <c r="C34" s="23" t="s">
        <v>170</v>
      </c>
      <c r="D34" s="23" t="s">
        <v>171</v>
      </c>
      <c r="E34" s="23" t="s">
        <v>172</v>
      </c>
    </row>
    <row r="35" spans="1:5" x14ac:dyDescent="0.2">
      <c r="A35" s="20" t="s">
        <v>776</v>
      </c>
      <c r="B35" s="4" t="s">
        <v>167</v>
      </c>
      <c r="C35" s="4" t="s">
        <v>183</v>
      </c>
      <c r="D35" s="4" t="s">
        <v>65</v>
      </c>
      <c r="E35" s="24" t="s">
        <v>800</v>
      </c>
    </row>
    <row r="36" spans="1:5" x14ac:dyDescent="0.2">
      <c r="A36" s="20" t="s">
        <v>780</v>
      </c>
      <c r="B36" s="4" t="s">
        <v>167</v>
      </c>
      <c r="C36" s="4" t="s">
        <v>183</v>
      </c>
      <c r="D36" s="4" t="s">
        <v>495</v>
      </c>
      <c r="E36" s="24" t="s">
        <v>801</v>
      </c>
    </row>
    <row r="38" spans="1:5" ht="14.25" x14ac:dyDescent="0.2">
      <c r="A38" s="21"/>
      <c r="B38" s="22" t="s">
        <v>193</v>
      </c>
    </row>
    <row r="39" spans="1:5" ht="15" x14ac:dyDescent="0.2">
      <c r="A39" s="23" t="s">
        <v>168</v>
      </c>
      <c r="B39" s="23" t="s">
        <v>169</v>
      </c>
      <c r="C39" s="23" t="s">
        <v>170</v>
      </c>
      <c r="D39" s="23" t="s">
        <v>171</v>
      </c>
      <c r="E39" s="23" t="s">
        <v>172</v>
      </c>
    </row>
    <row r="40" spans="1:5" x14ac:dyDescent="0.2">
      <c r="A40" s="20" t="s">
        <v>794</v>
      </c>
      <c r="B40" s="4" t="s">
        <v>203</v>
      </c>
      <c r="C40" s="4" t="s">
        <v>177</v>
      </c>
      <c r="D40" s="4" t="s">
        <v>675</v>
      </c>
      <c r="E40" s="24" t="s">
        <v>802</v>
      </c>
    </row>
  </sheetData>
  <mergeCells count="14">
    <mergeCell ref="A14:L14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workbookViewId="0">
      <selection activeCell="M97" sqref="M97"/>
    </sheetView>
  </sheetViews>
  <sheetFormatPr defaultRowHeight="12.75" x14ac:dyDescent="0.2"/>
  <cols>
    <col min="1" max="1" width="26" style="4" bestFit="1" customWidth="1"/>
    <col min="2" max="2" width="29.710937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7.28515625" style="4" bestFit="1" customWidth="1"/>
    <col min="7" max="9" width="5.5703125" style="3" bestFit="1" customWidth="1"/>
    <col min="10" max="10" width="4.85546875" style="3" bestFit="1" customWidth="1"/>
    <col min="11" max="11" width="7.85546875" style="4" bestFit="1" customWidth="1"/>
    <col min="12" max="12" width="8.5703125" style="3" bestFit="1" customWidth="1"/>
    <col min="13" max="13" width="18.140625" style="4" bestFit="1" customWidth="1"/>
    <col min="14" max="16384" width="9.140625" style="3"/>
  </cols>
  <sheetData>
    <row r="1" spans="1:13" s="2" customFormat="1" ht="29.1" customHeight="1" x14ac:dyDescent="0.2">
      <c r="A1" s="45" t="s">
        <v>251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3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9</v>
      </c>
      <c r="E3" s="55" t="s">
        <v>3</v>
      </c>
      <c r="F3" s="55" t="s">
        <v>7</v>
      </c>
      <c r="G3" s="55" t="s">
        <v>10</v>
      </c>
      <c r="H3" s="55"/>
      <c r="I3" s="55"/>
      <c r="J3" s="55"/>
      <c r="K3" s="55" t="s">
        <v>209</v>
      </c>
      <c r="L3" s="55" t="s">
        <v>2</v>
      </c>
      <c r="M3" s="41" t="s">
        <v>1</v>
      </c>
    </row>
    <row r="4" spans="1:13" s="1" customFormat="1" ht="36" customHeight="1" thickBot="1" x14ac:dyDescent="0.25">
      <c r="A4" s="52"/>
      <c r="B4" s="54"/>
      <c r="C4" s="54"/>
      <c r="D4" s="54"/>
      <c r="E4" s="54"/>
      <c r="F4" s="54"/>
      <c r="G4" s="25">
        <v>1</v>
      </c>
      <c r="H4" s="25">
        <v>2</v>
      </c>
      <c r="I4" s="25">
        <v>3</v>
      </c>
      <c r="J4" s="25" t="s">
        <v>4</v>
      </c>
      <c r="K4" s="54"/>
      <c r="L4" s="54"/>
      <c r="M4" s="42"/>
    </row>
    <row r="5" spans="1:13" ht="15" x14ac:dyDescent="0.2">
      <c r="A5" s="43" t="s">
        <v>252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x14ac:dyDescent="0.2">
      <c r="A6" s="27" t="s">
        <v>254</v>
      </c>
      <c r="B6" s="5" t="s">
        <v>255</v>
      </c>
      <c r="C6" s="5" t="s">
        <v>256</v>
      </c>
      <c r="D6" s="5" t="str">
        <f>"1,3326"</f>
        <v>1,3326</v>
      </c>
      <c r="E6" s="5" t="s">
        <v>257</v>
      </c>
      <c r="F6" s="5" t="s">
        <v>258</v>
      </c>
      <c r="G6" s="7" t="s">
        <v>259</v>
      </c>
      <c r="H6" s="7" t="s">
        <v>260</v>
      </c>
      <c r="I6" s="6" t="s">
        <v>261</v>
      </c>
      <c r="J6" s="6"/>
      <c r="K6" s="27" t="str">
        <f>"52,5"</f>
        <v>52,5</v>
      </c>
      <c r="L6" s="31" t="str">
        <f>"69,9615"</f>
        <v>69,9615</v>
      </c>
      <c r="M6" s="5" t="s">
        <v>262</v>
      </c>
    </row>
    <row r="7" spans="1:13" x14ac:dyDescent="0.2">
      <c r="A7" s="29" t="s">
        <v>264</v>
      </c>
      <c r="B7" s="8" t="s">
        <v>265</v>
      </c>
      <c r="C7" s="8" t="s">
        <v>256</v>
      </c>
      <c r="D7" s="8" t="str">
        <f>"1,3326"</f>
        <v>1,3326</v>
      </c>
      <c r="E7" s="8" t="s">
        <v>16</v>
      </c>
      <c r="F7" s="8" t="s">
        <v>266</v>
      </c>
      <c r="G7" s="10" t="s">
        <v>267</v>
      </c>
      <c r="H7" s="9" t="s">
        <v>268</v>
      </c>
      <c r="I7" s="9" t="s">
        <v>268</v>
      </c>
      <c r="J7" s="9"/>
      <c r="K7" s="29" t="str">
        <f>"45,0"</f>
        <v>45,0</v>
      </c>
      <c r="L7" s="33" t="str">
        <f>"59,9670"</f>
        <v>59,9670</v>
      </c>
      <c r="M7" s="8" t="s">
        <v>269</v>
      </c>
    </row>
    <row r="9" spans="1:13" ht="15" x14ac:dyDescent="0.2">
      <c r="A9" s="44" t="s">
        <v>270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3" x14ac:dyDescent="0.2">
      <c r="A10" s="26" t="s">
        <v>272</v>
      </c>
      <c r="B10" s="14" t="s">
        <v>273</v>
      </c>
      <c r="C10" s="14" t="s">
        <v>274</v>
      </c>
      <c r="D10" s="14" t="str">
        <f>"1,2466"</f>
        <v>1,2466</v>
      </c>
      <c r="E10" s="14" t="s">
        <v>26</v>
      </c>
      <c r="F10" s="14" t="s">
        <v>27</v>
      </c>
      <c r="G10" s="16" t="s">
        <v>260</v>
      </c>
      <c r="H10" s="16" t="s">
        <v>261</v>
      </c>
      <c r="I10" s="15" t="s">
        <v>275</v>
      </c>
      <c r="J10" s="15"/>
      <c r="K10" s="26" t="str">
        <f>"55,0"</f>
        <v>55,0</v>
      </c>
      <c r="L10" s="30" t="str">
        <f>"68,5630"</f>
        <v>68,5630</v>
      </c>
      <c r="M10" s="14" t="s">
        <v>276</v>
      </c>
    </row>
    <row r="12" spans="1:13" ht="15" x14ac:dyDescent="0.2">
      <c r="A12" s="44" t="s">
        <v>277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3" x14ac:dyDescent="0.2">
      <c r="A13" s="27" t="s">
        <v>279</v>
      </c>
      <c r="B13" s="5" t="s">
        <v>280</v>
      </c>
      <c r="C13" s="5" t="s">
        <v>281</v>
      </c>
      <c r="D13" s="5" t="str">
        <f>"1,1766"</f>
        <v>1,1766</v>
      </c>
      <c r="E13" s="5" t="s">
        <v>26</v>
      </c>
      <c r="F13" s="5" t="s">
        <v>27</v>
      </c>
      <c r="G13" s="6" t="s">
        <v>267</v>
      </c>
      <c r="H13" s="7" t="s">
        <v>260</v>
      </c>
      <c r="I13" s="6"/>
      <c r="J13" s="6"/>
      <c r="K13" s="27" t="str">
        <f>"52,5"</f>
        <v>52,5</v>
      </c>
      <c r="L13" s="31" t="str">
        <f>"62,3892"</f>
        <v>62,3892</v>
      </c>
      <c r="M13" s="5" t="s">
        <v>282</v>
      </c>
    </row>
    <row r="14" spans="1:13" x14ac:dyDescent="0.2">
      <c r="A14" s="29" t="s">
        <v>283</v>
      </c>
      <c r="B14" s="8" t="s">
        <v>284</v>
      </c>
      <c r="C14" s="8" t="s">
        <v>285</v>
      </c>
      <c r="D14" s="8" t="str">
        <f>"1,1832"</f>
        <v>1,1832</v>
      </c>
      <c r="E14" s="8" t="s">
        <v>26</v>
      </c>
      <c r="F14" s="8" t="s">
        <v>27</v>
      </c>
      <c r="G14" s="9" t="s">
        <v>261</v>
      </c>
      <c r="H14" s="9" t="s">
        <v>261</v>
      </c>
      <c r="I14" s="9" t="s">
        <v>261</v>
      </c>
      <c r="J14" s="9"/>
      <c r="K14" s="29" t="str">
        <f>"0.00"</f>
        <v>0.00</v>
      </c>
      <c r="L14" s="33" t="str">
        <f>"0,0000"</f>
        <v>0,0000</v>
      </c>
      <c r="M14" s="8" t="s">
        <v>286</v>
      </c>
    </row>
    <row r="16" spans="1:13" ht="15" x14ac:dyDescent="0.2">
      <c r="A16" s="44" t="s">
        <v>287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3" x14ac:dyDescent="0.2">
      <c r="A17" s="27" t="s">
        <v>289</v>
      </c>
      <c r="B17" s="5" t="s">
        <v>290</v>
      </c>
      <c r="C17" s="5" t="s">
        <v>291</v>
      </c>
      <c r="D17" s="5" t="str">
        <f>"1,1192"</f>
        <v>1,1192</v>
      </c>
      <c r="E17" s="5" t="s">
        <v>26</v>
      </c>
      <c r="F17" s="5" t="s">
        <v>27</v>
      </c>
      <c r="G17" s="7" t="s">
        <v>292</v>
      </c>
      <c r="H17" s="7" t="s">
        <v>293</v>
      </c>
      <c r="I17" s="7" t="s">
        <v>294</v>
      </c>
      <c r="J17" s="6"/>
      <c r="K17" s="27" t="str">
        <f>"85,0"</f>
        <v>85,0</v>
      </c>
      <c r="L17" s="31" t="str">
        <f>"95,1320"</f>
        <v>95,1320</v>
      </c>
      <c r="M17" s="5" t="s">
        <v>128</v>
      </c>
    </row>
    <row r="18" spans="1:13" x14ac:dyDescent="0.2">
      <c r="A18" s="28" t="s">
        <v>296</v>
      </c>
      <c r="B18" s="11" t="s">
        <v>297</v>
      </c>
      <c r="C18" s="11" t="s">
        <v>298</v>
      </c>
      <c r="D18" s="11" t="str">
        <f>"1,1266"</f>
        <v>1,1266</v>
      </c>
      <c r="E18" s="11" t="s">
        <v>26</v>
      </c>
      <c r="F18" s="11" t="s">
        <v>27</v>
      </c>
      <c r="G18" s="13" t="s">
        <v>292</v>
      </c>
      <c r="H18" s="12" t="s">
        <v>293</v>
      </c>
      <c r="I18" s="12" t="s">
        <v>293</v>
      </c>
      <c r="J18" s="12"/>
      <c r="K18" s="28" t="str">
        <f>"75,0"</f>
        <v>75,0</v>
      </c>
      <c r="L18" s="32" t="str">
        <f>"84,4950"</f>
        <v>84,4950</v>
      </c>
      <c r="M18" s="11" t="s">
        <v>299</v>
      </c>
    </row>
    <row r="19" spans="1:13" x14ac:dyDescent="0.2">
      <c r="A19" s="28" t="s">
        <v>301</v>
      </c>
      <c r="B19" s="11" t="s">
        <v>302</v>
      </c>
      <c r="C19" s="11" t="s">
        <v>303</v>
      </c>
      <c r="D19" s="11" t="str">
        <f>"1,1251"</f>
        <v>1,1251</v>
      </c>
      <c r="E19" s="11" t="s">
        <v>16</v>
      </c>
      <c r="F19" s="11" t="s">
        <v>304</v>
      </c>
      <c r="G19" s="13" t="s">
        <v>305</v>
      </c>
      <c r="H19" s="12" t="s">
        <v>306</v>
      </c>
      <c r="I19" s="12" t="s">
        <v>306</v>
      </c>
      <c r="J19" s="12"/>
      <c r="K19" s="28" t="str">
        <f>"65,0"</f>
        <v>65,0</v>
      </c>
      <c r="L19" s="32" t="str">
        <f>"73,1315"</f>
        <v>73,1315</v>
      </c>
      <c r="M19" s="11" t="s">
        <v>307</v>
      </c>
    </row>
    <row r="20" spans="1:13" x14ac:dyDescent="0.2">
      <c r="A20" s="29" t="s">
        <v>309</v>
      </c>
      <c r="B20" s="8" t="s">
        <v>310</v>
      </c>
      <c r="C20" s="8" t="s">
        <v>311</v>
      </c>
      <c r="D20" s="8" t="str">
        <f>"1,1340"</f>
        <v>1,1340</v>
      </c>
      <c r="E20" s="8" t="s">
        <v>16</v>
      </c>
      <c r="F20" s="8" t="s">
        <v>312</v>
      </c>
      <c r="G20" s="10" t="s">
        <v>259</v>
      </c>
      <c r="H20" s="9" t="s">
        <v>260</v>
      </c>
      <c r="I20" s="9" t="s">
        <v>260</v>
      </c>
      <c r="J20" s="9"/>
      <c r="K20" s="29" t="str">
        <f>"50,0"</f>
        <v>50,0</v>
      </c>
      <c r="L20" s="33" t="str">
        <f>"70,6482"</f>
        <v>70,6482</v>
      </c>
      <c r="M20" s="8"/>
    </row>
    <row r="22" spans="1:13" ht="15" x14ac:dyDescent="0.2">
      <c r="A22" s="44" t="s">
        <v>313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3" x14ac:dyDescent="0.2">
      <c r="A23" s="27" t="s">
        <v>315</v>
      </c>
      <c r="B23" s="5" t="s">
        <v>316</v>
      </c>
      <c r="C23" s="5" t="s">
        <v>317</v>
      </c>
      <c r="D23" s="5" t="str">
        <f>"1,0317"</f>
        <v>1,0317</v>
      </c>
      <c r="E23" s="5" t="s">
        <v>16</v>
      </c>
      <c r="F23" s="5" t="s">
        <v>318</v>
      </c>
      <c r="G23" s="7" t="s">
        <v>319</v>
      </c>
      <c r="H23" s="7" t="s">
        <v>28</v>
      </c>
      <c r="I23" s="7" t="s">
        <v>18</v>
      </c>
      <c r="J23" s="6"/>
      <c r="K23" s="27" t="str">
        <f>"95,0"</f>
        <v>95,0</v>
      </c>
      <c r="L23" s="31" t="str">
        <f>"98,0115"</f>
        <v>98,0115</v>
      </c>
      <c r="M23" s="5" t="s">
        <v>320</v>
      </c>
    </row>
    <row r="24" spans="1:13" x14ac:dyDescent="0.2">
      <c r="A24" s="28" t="s">
        <v>322</v>
      </c>
      <c r="B24" s="11" t="s">
        <v>323</v>
      </c>
      <c r="C24" s="11" t="s">
        <v>324</v>
      </c>
      <c r="D24" s="11" t="str">
        <f>"1,0339"</f>
        <v>1,0339</v>
      </c>
      <c r="E24" s="11" t="s">
        <v>26</v>
      </c>
      <c r="F24" s="11" t="s">
        <v>27</v>
      </c>
      <c r="G24" s="12" t="s">
        <v>275</v>
      </c>
      <c r="H24" s="13" t="s">
        <v>275</v>
      </c>
      <c r="I24" s="13" t="s">
        <v>325</v>
      </c>
      <c r="J24" s="12"/>
      <c r="K24" s="28" t="str">
        <f>"60,0"</f>
        <v>60,0</v>
      </c>
      <c r="L24" s="32" t="str">
        <f>"62,0340"</f>
        <v>62,0340</v>
      </c>
      <c r="M24" s="11" t="s">
        <v>326</v>
      </c>
    </row>
    <row r="25" spans="1:13" x14ac:dyDescent="0.2">
      <c r="A25" s="29" t="s">
        <v>328</v>
      </c>
      <c r="B25" s="8" t="s">
        <v>329</v>
      </c>
      <c r="C25" s="8" t="s">
        <v>330</v>
      </c>
      <c r="D25" s="8" t="str">
        <f>"1,0374"</f>
        <v>1,0374</v>
      </c>
      <c r="E25" s="8" t="s">
        <v>16</v>
      </c>
      <c r="F25" s="8" t="s">
        <v>312</v>
      </c>
      <c r="G25" s="10" t="s">
        <v>325</v>
      </c>
      <c r="H25" s="9" t="s">
        <v>331</v>
      </c>
      <c r="I25" s="9" t="s">
        <v>331</v>
      </c>
      <c r="J25" s="9"/>
      <c r="K25" s="29" t="str">
        <f>"60,0"</f>
        <v>60,0</v>
      </c>
      <c r="L25" s="33" t="str">
        <f>"63,4889"</f>
        <v>63,4889</v>
      </c>
      <c r="M25" s="8"/>
    </row>
    <row r="27" spans="1:13" ht="15" x14ac:dyDescent="0.2">
      <c r="A27" s="44" t="s">
        <v>37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3" x14ac:dyDescent="0.2">
      <c r="A28" s="26" t="s">
        <v>333</v>
      </c>
      <c r="B28" s="14" t="s">
        <v>334</v>
      </c>
      <c r="C28" s="14" t="s">
        <v>335</v>
      </c>
      <c r="D28" s="14" t="str">
        <f>"0,9076"</f>
        <v>0,9076</v>
      </c>
      <c r="E28" s="14" t="s">
        <v>16</v>
      </c>
      <c r="F28" s="14" t="s">
        <v>336</v>
      </c>
      <c r="G28" s="16" t="s">
        <v>293</v>
      </c>
      <c r="H28" s="15" t="s">
        <v>294</v>
      </c>
      <c r="I28" s="15" t="s">
        <v>294</v>
      </c>
      <c r="J28" s="15"/>
      <c r="K28" s="26" t="str">
        <f>"80,0"</f>
        <v>80,0</v>
      </c>
      <c r="L28" s="30" t="str">
        <f>"72,6080"</f>
        <v>72,6080</v>
      </c>
      <c r="M28" s="14" t="s">
        <v>128</v>
      </c>
    </row>
    <row r="30" spans="1:13" ht="15" x14ac:dyDescent="0.2">
      <c r="A30" s="44" t="s">
        <v>277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3" x14ac:dyDescent="0.2">
      <c r="A31" s="26" t="s">
        <v>338</v>
      </c>
      <c r="B31" s="14" t="s">
        <v>339</v>
      </c>
      <c r="C31" s="14" t="s">
        <v>340</v>
      </c>
      <c r="D31" s="14" t="str">
        <f>"0,9352"</f>
        <v>0,9352</v>
      </c>
      <c r="E31" s="14" t="s">
        <v>16</v>
      </c>
      <c r="F31" s="14" t="s">
        <v>17</v>
      </c>
      <c r="G31" s="16" t="s">
        <v>292</v>
      </c>
      <c r="H31" s="16" t="s">
        <v>293</v>
      </c>
      <c r="I31" s="15" t="s">
        <v>35</v>
      </c>
      <c r="J31" s="15"/>
      <c r="K31" s="26" t="str">
        <f>"80,0"</f>
        <v>80,0</v>
      </c>
      <c r="L31" s="30" t="str">
        <f>"74,8160"</f>
        <v>74,8160</v>
      </c>
      <c r="M31" s="14" t="s">
        <v>341</v>
      </c>
    </row>
    <row r="33" spans="1:13" ht="15" x14ac:dyDescent="0.2">
      <c r="A33" s="44" t="s">
        <v>313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</row>
    <row r="34" spans="1:13" x14ac:dyDescent="0.2">
      <c r="A34" s="27" t="s">
        <v>343</v>
      </c>
      <c r="B34" s="5" t="s">
        <v>344</v>
      </c>
      <c r="C34" s="5" t="s">
        <v>345</v>
      </c>
      <c r="D34" s="5" t="str">
        <f>"0,8100"</f>
        <v>0,8100</v>
      </c>
      <c r="E34" s="5" t="s">
        <v>16</v>
      </c>
      <c r="F34" s="5" t="s">
        <v>346</v>
      </c>
      <c r="G34" s="7" t="s">
        <v>19</v>
      </c>
      <c r="H34" s="6" t="s">
        <v>347</v>
      </c>
      <c r="I34" s="7" t="s">
        <v>347</v>
      </c>
      <c r="J34" s="6"/>
      <c r="K34" s="27" t="str">
        <f>"105,0"</f>
        <v>105,0</v>
      </c>
      <c r="L34" s="31" t="str">
        <f>"85,0500"</f>
        <v>85,0500</v>
      </c>
      <c r="M34" s="5" t="s">
        <v>128</v>
      </c>
    </row>
    <row r="35" spans="1:13" x14ac:dyDescent="0.2">
      <c r="A35" s="28" t="s">
        <v>349</v>
      </c>
      <c r="B35" s="11" t="s">
        <v>350</v>
      </c>
      <c r="C35" s="11" t="s">
        <v>351</v>
      </c>
      <c r="D35" s="11" t="str">
        <f>"0,7952"</f>
        <v>0,7952</v>
      </c>
      <c r="E35" s="11" t="s">
        <v>26</v>
      </c>
      <c r="F35" s="11" t="s">
        <v>27</v>
      </c>
      <c r="G35" s="13" t="s">
        <v>352</v>
      </c>
      <c r="H35" s="12" t="s">
        <v>347</v>
      </c>
      <c r="I35" s="12" t="s">
        <v>347</v>
      </c>
      <c r="J35" s="12"/>
      <c r="K35" s="28" t="str">
        <f>"97,5"</f>
        <v>97,5</v>
      </c>
      <c r="L35" s="32" t="str">
        <f>"77,5320"</f>
        <v>77,5320</v>
      </c>
      <c r="M35" s="11" t="s">
        <v>353</v>
      </c>
    </row>
    <row r="36" spans="1:13" x14ac:dyDescent="0.2">
      <c r="A36" s="28" t="s">
        <v>355</v>
      </c>
      <c r="B36" s="11" t="s">
        <v>356</v>
      </c>
      <c r="C36" s="11" t="s">
        <v>357</v>
      </c>
      <c r="D36" s="11" t="str">
        <f>"0,7756"</f>
        <v>0,7756</v>
      </c>
      <c r="E36" s="11" t="s">
        <v>26</v>
      </c>
      <c r="F36" s="11" t="s">
        <v>27</v>
      </c>
      <c r="G36" s="13" t="s">
        <v>55</v>
      </c>
      <c r="H36" s="13" t="s">
        <v>358</v>
      </c>
      <c r="I36" s="13" t="s">
        <v>56</v>
      </c>
      <c r="J36" s="12"/>
      <c r="K36" s="28" t="str">
        <f>"130,0"</f>
        <v>130,0</v>
      </c>
      <c r="L36" s="32" t="str">
        <f>"100,8280"</f>
        <v>100,8280</v>
      </c>
      <c r="M36" s="11" t="s">
        <v>128</v>
      </c>
    </row>
    <row r="37" spans="1:13" x14ac:dyDescent="0.2">
      <c r="A37" s="28" t="s">
        <v>360</v>
      </c>
      <c r="B37" s="11" t="s">
        <v>361</v>
      </c>
      <c r="C37" s="11" t="s">
        <v>362</v>
      </c>
      <c r="D37" s="11" t="str">
        <f>"0,7813"</f>
        <v>0,7813</v>
      </c>
      <c r="E37" s="11" t="s">
        <v>26</v>
      </c>
      <c r="F37" s="11" t="s">
        <v>27</v>
      </c>
      <c r="G37" s="13" t="s">
        <v>363</v>
      </c>
      <c r="H37" s="13" t="s">
        <v>55</v>
      </c>
      <c r="I37" s="12" t="s">
        <v>358</v>
      </c>
      <c r="J37" s="12"/>
      <c r="K37" s="28" t="str">
        <f>"122,5"</f>
        <v>122,5</v>
      </c>
      <c r="L37" s="32" t="str">
        <f>"95,7093"</f>
        <v>95,7093</v>
      </c>
      <c r="M37" s="11"/>
    </row>
    <row r="38" spans="1:13" x14ac:dyDescent="0.2">
      <c r="A38" s="28" t="s">
        <v>364</v>
      </c>
      <c r="B38" s="11" t="s">
        <v>365</v>
      </c>
      <c r="C38" s="11" t="s">
        <v>366</v>
      </c>
      <c r="D38" s="11" t="str">
        <f>"0,7922"</f>
        <v>0,7922</v>
      </c>
      <c r="E38" s="11" t="s">
        <v>367</v>
      </c>
      <c r="F38" s="11" t="s">
        <v>368</v>
      </c>
      <c r="G38" s="13" t="s">
        <v>19</v>
      </c>
      <c r="H38" s="13" t="s">
        <v>369</v>
      </c>
      <c r="I38" s="12" t="s">
        <v>370</v>
      </c>
      <c r="J38" s="12"/>
      <c r="K38" s="28" t="str">
        <f>"110,0"</f>
        <v>110,0</v>
      </c>
      <c r="L38" s="32" t="str">
        <f>"87,1420"</f>
        <v>87,1420</v>
      </c>
      <c r="M38" s="11" t="s">
        <v>371</v>
      </c>
    </row>
    <row r="39" spans="1:13" x14ac:dyDescent="0.2">
      <c r="A39" s="28" t="s">
        <v>372</v>
      </c>
      <c r="B39" s="11" t="s">
        <v>373</v>
      </c>
      <c r="C39" s="11" t="s">
        <v>330</v>
      </c>
      <c r="D39" s="11" t="str">
        <f>"0,7852"</f>
        <v>0,7852</v>
      </c>
      <c r="E39" s="11" t="s">
        <v>26</v>
      </c>
      <c r="F39" s="11" t="s">
        <v>27</v>
      </c>
      <c r="G39" s="13" t="s">
        <v>19</v>
      </c>
      <c r="H39" s="13" t="s">
        <v>347</v>
      </c>
      <c r="I39" s="12" t="s">
        <v>369</v>
      </c>
      <c r="J39" s="12"/>
      <c r="K39" s="28" t="str">
        <f>"105,0"</f>
        <v>105,0</v>
      </c>
      <c r="L39" s="32" t="str">
        <f>"82,4460"</f>
        <v>82,4460</v>
      </c>
      <c r="M39" s="11" t="s">
        <v>374</v>
      </c>
    </row>
    <row r="40" spans="1:13" x14ac:dyDescent="0.2">
      <c r="A40" s="29" t="s">
        <v>375</v>
      </c>
      <c r="B40" s="8" t="s">
        <v>376</v>
      </c>
      <c r="C40" s="8" t="s">
        <v>362</v>
      </c>
      <c r="D40" s="8" t="str">
        <f>"0,7813"</f>
        <v>0,7813</v>
      </c>
      <c r="E40" s="8" t="s">
        <v>26</v>
      </c>
      <c r="F40" s="8" t="s">
        <v>27</v>
      </c>
      <c r="G40" s="10" t="s">
        <v>363</v>
      </c>
      <c r="H40" s="10" t="s">
        <v>55</v>
      </c>
      <c r="I40" s="9" t="s">
        <v>358</v>
      </c>
      <c r="J40" s="9"/>
      <c r="K40" s="29" t="str">
        <f>"122,5"</f>
        <v>122,5</v>
      </c>
      <c r="L40" s="33" t="str">
        <f>"100,9733"</f>
        <v>100,9733</v>
      </c>
      <c r="M40" s="8"/>
    </row>
    <row r="42" spans="1:13" ht="15" x14ac:dyDescent="0.2">
      <c r="A42" s="44" t="s">
        <v>11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3" x14ac:dyDescent="0.2">
      <c r="A43" s="27" t="s">
        <v>378</v>
      </c>
      <c r="B43" s="5" t="s">
        <v>379</v>
      </c>
      <c r="C43" s="5" t="s">
        <v>25</v>
      </c>
      <c r="D43" s="5" t="str">
        <f>"0,7166"</f>
        <v>0,7166</v>
      </c>
      <c r="E43" s="5" t="s">
        <v>26</v>
      </c>
      <c r="F43" s="5" t="s">
        <v>27</v>
      </c>
      <c r="G43" s="7" t="s">
        <v>56</v>
      </c>
      <c r="H43" s="7" t="s">
        <v>380</v>
      </c>
      <c r="I43" s="7" t="s">
        <v>127</v>
      </c>
      <c r="J43" s="6"/>
      <c r="K43" s="27" t="str">
        <f>"140,0"</f>
        <v>140,0</v>
      </c>
      <c r="L43" s="31" t="str">
        <f>"100,3240"</f>
        <v>100,3240</v>
      </c>
      <c r="M43" s="5" t="s">
        <v>381</v>
      </c>
    </row>
    <row r="44" spans="1:13" x14ac:dyDescent="0.2">
      <c r="A44" s="28" t="s">
        <v>383</v>
      </c>
      <c r="B44" s="11" t="s">
        <v>384</v>
      </c>
      <c r="C44" s="11" t="s">
        <v>33</v>
      </c>
      <c r="D44" s="11" t="str">
        <f>"0,7193"</f>
        <v>0,7193</v>
      </c>
      <c r="E44" s="11" t="s">
        <v>26</v>
      </c>
      <c r="F44" s="11" t="s">
        <v>27</v>
      </c>
      <c r="G44" s="13" t="s">
        <v>292</v>
      </c>
      <c r="H44" s="13" t="s">
        <v>293</v>
      </c>
      <c r="I44" s="13" t="s">
        <v>294</v>
      </c>
      <c r="J44" s="12"/>
      <c r="K44" s="28" t="str">
        <f>"85,0"</f>
        <v>85,0</v>
      </c>
      <c r="L44" s="32" t="str">
        <f>"61,1405"</f>
        <v>61,1405</v>
      </c>
      <c r="M44" s="11" t="s">
        <v>385</v>
      </c>
    </row>
    <row r="45" spans="1:13" x14ac:dyDescent="0.2">
      <c r="A45" s="28" t="s">
        <v>387</v>
      </c>
      <c r="B45" s="11" t="s">
        <v>388</v>
      </c>
      <c r="C45" s="11" t="s">
        <v>33</v>
      </c>
      <c r="D45" s="11" t="str">
        <f>"0,7193"</f>
        <v>0,7193</v>
      </c>
      <c r="E45" s="11" t="s">
        <v>26</v>
      </c>
      <c r="F45" s="11" t="s">
        <v>27</v>
      </c>
      <c r="G45" s="13" t="s">
        <v>42</v>
      </c>
      <c r="H45" s="13" t="s">
        <v>50</v>
      </c>
      <c r="I45" s="13" t="s">
        <v>85</v>
      </c>
      <c r="J45" s="12"/>
      <c r="K45" s="28" t="str">
        <f>"157,5"</f>
        <v>157,5</v>
      </c>
      <c r="L45" s="32" t="str">
        <f>"113,2897"</f>
        <v>113,2897</v>
      </c>
      <c r="M45" s="11" t="s">
        <v>128</v>
      </c>
    </row>
    <row r="46" spans="1:13" x14ac:dyDescent="0.2">
      <c r="A46" s="28" t="s">
        <v>390</v>
      </c>
      <c r="B46" s="11" t="s">
        <v>391</v>
      </c>
      <c r="C46" s="11" t="s">
        <v>392</v>
      </c>
      <c r="D46" s="11" t="str">
        <f>"0,7126"</f>
        <v>0,7126</v>
      </c>
      <c r="E46" s="11" t="s">
        <v>26</v>
      </c>
      <c r="F46" s="11" t="s">
        <v>27</v>
      </c>
      <c r="G46" s="13" t="s">
        <v>57</v>
      </c>
      <c r="H46" s="13" t="s">
        <v>393</v>
      </c>
      <c r="I46" s="13" t="s">
        <v>380</v>
      </c>
      <c r="J46" s="12"/>
      <c r="K46" s="28" t="str">
        <f>"137,5"</f>
        <v>137,5</v>
      </c>
      <c r="L46" s="32" t="str">
        <f>"97,9825"</f>
        <v>97,9825</v>
      </c>
      <c r="M46" s="11" t="s">
        <v>128</v>
      </c>
    </row>
    <row r="47" spans="1:13" x14ac:dyDescent="0.2">
      <c r="A47" s="28" t="s">
        <v>395</v>
      </c>
      <c r="B47" s="11" t="s">
        <v>396</v>
      </c>
      <c r="C47" s="11" t="s">
        <v>397</v>
      </c>
      <c r="D47" s="11" t="str">
        <f>"0,7315"</f>
        <v>0,7315</v>
      </c>
      <c r="E47" s="11" t="s">
        <v>16</v>
      </c>
      <c r="F47" s="11" t="s">
        <v>304</v>
      </c>
      <c r="G47" s="13" t="s">
        <v>56</v>
      </c>
      <c r="H47" s="12" t="s">
        <v>393</v>
      </c>
      <c r="I47" s="13" t="s">
        <v>393</v>
      </c>
      <c r="J47" s="12"/>
      <c r="K47" s="28" t="str">
        <f>"135,0"</f>
        <v>135,0</v>
      </c>
      <c r="L47" s="32" t="str">
        <f>"98,7525"</f>
        <v>98,7525</v>
      </c>
      <c r="M47" s="11" t="s">
        <v>128</v>
      </c>
    </row>
    <row r="48" spans="1:13" x14ac:dyDescent="0.2">
      <c r="A48" s="28" t="s">
        <v>398</v>
      </c>
      <c r="B48" s="11" t="s">
        <v>399</v>
      </c>
      <c r="C48" s="11" t="s">
        <v>400</v>
      </c>
      <c r="D48" s="11" t="str">
        <f>"0,7221"</f>
        <v>0,7221</v>
      </c>
      <c r="E48" s="11" t="s">
        <v>26</v>
      </c>
      <c r="F48" s="11" t="s">
        <v>27</v>
      </c>
      <c r="G48" s="12" t="s">
        <v>369</v>
      </c>
      <c r="H48" s="13" t="s">
        <v>363</v>
      </c>
      <c r="I48" s="12" t="s">
        <v>121</v>
      </c>
      <c r="J48" s="12"/>
      <c r="K48" s="28" t="str">
        <f>"117,5"</f>
        <v>117,5</v>
      </c>
      <c r="L48" s="32" t="str">
        <f>"84,8468"</f>
        <v>84,8468</v>
      </c>
      <c r="M48" s="11" t="s">
        <v>401</v>
      </c>
    </row>
    <row r="49" spans="1:13" x14ac:dyDescent="0.2">
      <c r="A49" s="28" t="s">
        <v>402</v>
      </c>
      <c r="B49" s="11" t="s">
        <v>403</v>
      </c>
      <c r="C49" s="11" t="s">
        <v>404</v>
      </c>
      <c r="D49" s="11" t="str">
        <f>"0,7612"</f>
        <v>0,7612</v>
      </c>
      <c r="E49" s="11" t="s">
        <v>26</v>
      </c>
      <c r="F49" s="11" t="s">
        <v>27</v>
      </c>
      <c r="G49" s="13" t="s">
        <v>293</v>
      </c>
      <c r="H49" s="13" t="s">
        <v>294</v>
      </c>
      <c r="I49" s="12" t="s">
        <v>405</v>
      </c>
      <c r="J49" s="12"/>
      <c r="K49" s="28" t="str">
        <f>"85,0"</f>
        <v>85,0</v>
      </c>
      <c r="L49" s="32" t="str">
        <f>"64,7020"</f>
        <v>64,7020</v>
      </c>
      <c r="M49" s="11"/>
    </row>
    <row r="50" spans="1:13" x14ac:dyDescent="0.2">
      <c r="A50" s="29" t="s">
        <v>407</v>
      </c>
      <c r="B50" s="8" t="s">
        <v>408</v>
      </c>
      <c r="C50" s="8" t="s">
        <v>409</v>
      </c>
      <c r="D50" s="8" t="str">
        <f>"0,7264"</f>
        <v>0,7264</v>
      </c>
      <c r="E50" s="8" t="s">
        <v>26</v>
      </c>
      <c r="F50" s="8" t="s">
        <v>27</v>
      </c>
      <c r="G50" s="10" t="s">
        <v>358</v>
      </c>
      <c r="H50" s="10" t="s">
        <v>393</v>
      </c>
      <c r="I50" s="9" t="s">
        <v>127</v>
      </c>
      <c r="J50" s="9"/>
      <c r="K50" s="29" t="str">
        <f>"135,0"</f>
        <v>135,0</v>
      </c>
      <c r="L50" s="33" t="str">
        <f>"106,1053"</f>
        <v>106,1053</v>
      </c>
      <c r="M50" s="8"/>
    </row>
    <row r="52" spans="1:13" ht="15" x14ac:dyDescent="0.2">
      <c r="A52" s="44" t="s">
        <v>37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3" x14ac:dyDescent="0.2">
      <c r="A53" s="27" t="s">
        <v>411</v>
      </c>
      <c r="B53" s="5" t="s">
        <v>412</v>
      </c>
      <c r="C53" s="5" t="s">
        <v>413</v>
      </c>
      <c r="D53" s="5" t="str">
        <f>"0,6759"</f>
        <v>0,6759</v>
      </c>
      <c r="E53" s="5" t="s">
        <v>16</v>
      </c>
      <c r="F53" s="5" t="s">
        <v>414</v>
      </c>
      <c r="G53" s="7" t="s">
        <v>78</v>
      </c>
      <c r="H53" s="7" t="s">
        <v>64</v>
      </c>
      <c r="I53" s="6" t="s">
        <v>65</v>
      </c>
      <c r="J53" s="6"/>
      <c r="K53" s="27" t="str">
        <f>"185,0"</f>
        <v>185,0</v>
      </c>
      <c r="L53" s="31" t="str">
        <f>"125,0415"</f>
        <v>125,0415</v>
      </c>
      <c r="M53" s="5" t="s">
        <v>128</v>
      </c>
    </row>
    <row r="54" spans="1:13" x14ac:dyDescent="0.2">
      <c r="A54" s="28" t="s">
        <v>416</v>
      </c>
      <c r="B54" s="11" t="s">
        <v>417</v>
      </c>
      <c r="C54" s="11" t="s">
        <v>418</v>
      </c>
      <c r="D54" s="11" t="str">
        <f>"0,6739"</f>
        <v>0,6739</v>
      </c>
      <c r="E54" s="11" t="s">
        <v>26</v>
      </c>
      <c r="F54" s="11" t="s">
        <v>27</v>
      </c>
      <c r="G54" s="13" t="s">
        <v>43</v>
      </c>
      <c r="H54" s="13" t="s">
        <v>419</v>
      </c>
      <c r="I54" s="13" t="s">
        <v>77</v>
      </c>
      <c r="J54" s="12"/>
      <c r="K54" s="28" t="str">
        <f>"175,0"</f>
        <v>175,0</v>
      </c>
      <c r="L54" s="32" t="str">
        <f>"117,9325"</f>
        <v>117,9325</v>
      </c>
      <c r="M54" s="11" t="s">
        <v>420</v>
      </c>
    </row>
    <row r="55" spans="1:13" x14ac:dyDescent="0.2">
      <c r="A55" s="28" t="s">
        <v>422</v>
      </c>
      <c r="B55" s="11" t="s">
        <v>423</v>
      </c>
      <c r="C55" s="11" t="s">
        <v>41</v>
      </c>
      <c r="D55" s="11" t="str">
        <f>"0,6865"</f>
        <v>0,6865</v>
      </c>
      <c r="E55" s="11" t="s">
        <v>16</v>
      </c>
      <c r="F55" s="11" t="s">
        <v>17</v>
      </c>
      <c r="G55" s="13" t="s">
        <v>42</v>
      </c>
      <c r="H55" s="13" t="s">
        <v>50</v>
      </c>
      <c r="I55" s="12" t="s">
        <v>43</v>
      </c>
      <c r="J55" s="12"/>
      <c r="K55" s="28" t="str">
        <f>"155,0"</f>
        <v>155,0</v>
      </c>
      <c r="L55" s="32" t="str">
        <f>"106,4075"</f>
        <v>106,4075</v>
      </c>
      <c r="M55" s="11" t="s">
        <v>341</v>
      </c>
    </row>
    <row r="56" spans="1:13" x14ac:dyDescent="0.2">
      <c r="A56" s="28" t="s">
        <v>425</v>
      </c>
      <c r="B56" s="11" t="s">
        <v>426</v>
      </c>
      <c r="C56" s="11" t="s">
        <v>427</v>
      </c>
      <c r="D56" s="11" t="str">
        <f>"0,6800"</f>
        <v>0,6800</v>
      </c>
      <c r="E56" s="11" t="s">
        <v>16</v>
      </c>
      <c r="F56" s="11" t="s">
        <v>428</v>
      </c>
      <c r="G56" s="13" t="s">
        <v>429</v>
      </c>
      <c r="H56" s="13" t="s">
        <v>50</v>
      </c>
      <c r="I56" s="12" t="s">
        <v>43</v>
      </c>
      <c r="J56" s="12"/>
      <c r="K56" s="28" t="str">
        <f>"155,0"</f>
        <v>155,0</v>
      </c>
      <c r="L56" s="32" t="str">
        <f>"105,4000"</f>
        <v>105,4000</v>
      </c>
      <c r="M56" s="11" t="s">
        <v>128</v>
      </c>
    </row>
    <row r="57" spans="1:13" x14ac:dyDescent="0.2">
      <c r="A57" s="28" t="s">
        <v>431</v>
      </c>
      <c r="B57" s="11" t="s">
        <v>432</v>
      </c>
      <c r="C57" s="11" t="s">
        <v>433</v>
      </c>
      <c r="D57" s="11" t="str">
        <f>"0,6790"</f>
        <v>0,6790</v>
      </c>
      <c r="E57" s="11" t="s">
        <v>26</v>
      </c>
      <c r="F57" s="11" t="s">
        <v>27</v>
      </c>
      <c r="G57" s="12" t="s">
        <v>42</v>
      </c>
      <c r="H57" s="13" t="s">
        <v>42</v>
      </c>
      <c r="I57" s="12" t="s">
        <v>70</v>
      </c>
      <c r="J57" s="12"/>
      <c r="K57" s="28" t="str">
        <f>"150,0"</f>
        <v>150,0</v>
      </c>
      <c r="L57" s="32" t="str">
        <f>"101,8500"</f>
        <v>101,8500</v>
      </c>
      <c r="M57" s="11" t="s">
        <v>128</v>
      </c>
    </row>
    <row r="58" spans="1:13" x14ac:dyDescent="0.2">
      <c r="A58" s="28" t="s">
        <v>435</v>
      </c>
      <c r="B58" s="11" t="s">
        <v>436</v>
      </c>
      <c r="C58" s="11" t="s">
        <v>418</v>
      </c>
      <c r="D58" s="11" t="str">
        <f>"0,6739"</f>
        <v>0,6739</v>
      </c>
      <c r="E58" s="11" t="s">
        <v>16</v>
      </c>
      <c r="F58" s="11" t="s">
        <v>437</v>
      </c>
      <c r="G58" s="13" t="s">
        <v>42</v>
      </c>
      <c r="H58" s="12" t="s">
        <v>50</v>
      </c>
      <c r="I58" s="12" t="s">
        <v>50</v>
      </c>
      <c r="J58" s="12"/>
      <c r="K58" s="28" t="str">
        <f>"150,0"</f>
        <v>150,0</v>
      </c>
      <c r="L58" s="32" t="str">
        <f>"101,0850"</f>
        <v>101,0850</v>
      </c>
      <c r="M58" s="11" t="s">
        <v>438</v>
      </c>
    </row>
    <row r="59" spans="1:13" x14ac:dyDescent="0.2">
      <c r="A59" s="28" t="s">
        <v>440</v>
      </c>
      <c r="B59" s="11" t="s">
        <v>441</v>
      </c>
      <c r="C59" s="11" t="s">
        <v>442</v>
      </c>
      <c r="D59" s="11" t="str">
        <f>"0,6774"</f>
        <v>0,6774</v>
      </c>
      <c r="E59" s="11" t="s">
        <v>26</v>
      </c>
      <c r="F59" s="11" t="s">
        <v>27</v>
      </c>
      <c r="G59" s="13" t="s">
        <v>56</v>
      </c>
      <c r="H59" s="13" t="s">
        <v>127</v>
      </c>
      <c r="I59" s="13" t="s">
        <v>84</v>
      </c>
      <c r="J59" s="12"/>
      <c r="K59" s="28" t="str">
        <f>"145,0"</f>
        <v>145,0</v>
      </c>
      <c r="L59" s="32" t="str">
        <f>"98,2230"</f>
        <v>98,2230</v>
      </c>
      <c r="M59" s="11" t="s">
        <v>128</v>
      </c>
    </row>
    <row r="60" spans="1:13" x14ac:dyDescent="0.2">
      <c r="A60" s="28" t="s">
        <v>444</v>
      </c>
      <c r="B60" s="11" t="s">
        <v>445</v>
      </c>
      <c r="C60" s="11" t="s">
        <v>446</v>
      </c>
      <c r="D60" s="11" t="str">
        <f>"0,6987"</f>
        <v>0,6987</v>
      </c>
      <c r="E60" s="11" t="s">
        <v>16</v>
      </c>
      <c r="F60" s="11" t="s">
        <v>414</v>
      </c>
      <c r="G60" s="13" t="s">
        <v>121</v>
      </c>
      <c r="H60" s="13" t="s">
        <v>56</v>
      </c>
      <c r="I60" s="13" t="s">
        <v>127</v>
      </c>
      <c r="J60" s="12"/>
      <c r="K60" s="28" t="str">
        <f>"140,0"</f>
        <v>140,0</v>
      </c>
      <c r="L60" s="32" t="str">
        <f>"97,8180"</f>
        <v>97,8180</v>
      </c>
      <c r="M60" s="11" t="s">
        <v>128</v>
      </c>
    </row>
    <row r="61" spans="1:13" x14ac:dyDescent="0.2">
      <c r="A61" s="28" t="s">
        <v>447</v>
      </c>
      <c r="B61" s="11" t="s">
        <v>448</v>
      </c>
      <c r="C61" s="11" t="s">
        <v>335</v>
      </c>
      <c r="D61" s="11" t="str">
        <f>"0,6764"</f>
        <v>0,6764</v>
      </c>
      <c r="E61" s="11" t="s">
        <v>26</v>
      </c>
      <c r="F61" s="11" t="s">
        <v>27</v>
      </c>
      <c r="G61" s="12" t="s">
        <v>393</v>
      </c>
      <c r="H61" s="12" t="s">
        <v>393</v>
      </c>
      <c r="I61" s="13" t="s">
        <v>393</v>
      </c>
      <c r="J61" s="12"/>
      <c r="K61" s="28" t="str">
        <f>"135,0"</f>
        <v>135,0</v>
      </c>
      <c r="L61" s="32" t="str">
        <f>"91,3140"</f>
        <v>91,3140</v>
      </c>
      <c r="M61" s="11" t="s">
        <v>449</v>
      </c>
    </row>
    <row r="62" spans="1:13" x14ac:dyDescent="0.2">
      <c r="A62" s="28" t="s">
        <v>450</v>
      </c>
      <c r="B62" s="11" t="s">
        <v>451</v>
      </c>
      <c r="C62" s="11" t="s">
        <v>418</v>
      </c>
      <c r="D62" s="11" t="str">
        <f>"0,6739"</f>
        <v>0,6739</v>
      </c>
      <c r="E62" s="11" t="s">
        <v>26</v>
      </c>
      <c r="F62" s="11" t="s">
        <v>27</v>
      </c>
      <c r="G62" s="12" t="s">
        <v>393</v>
      </c>
      <c r="H62" s="12" t="s">
        <v>393</v>
      </c>
      <c r="I62" s="13" t="s">
        <v>393</v>
      </c>
      <c r="J62" s="12"/>
      <c r="K62" s="28" t="str">
        <f>"135,0"</f>
        <v>135,0</v>
      </c>
      <c r="L62" s="32" t="str">
        <f>"90,9765"</f>
        <v>90,9765</v>
      </c>
      <c r="M62" s="11" t="s">
        <v>128</v>
      </c>
    </row>
    <row r="63" spans="1:13" x14ac:dyDescent="0.2">
      <c r="A63" s="28" t="s">
        <v>452</v>
      </c>
      <c r="B63" s="11" t="s">
        <v>453</v>
      </c>
      <c r="C63" s="11" t="s">
        <v>454</v>
      </c>
      <c r="D63" s="11" t="str">
        <f>"0,6822"</f>
        <v>0,6822</v>
      </c>
      <c r="E63" s="11" t="s">
        <v>16</v>
      </c>
      <c r="F63" s="11" t="s">
        <v>318</v>
      </c>
      <c r="G63" s="13" t="s">
        <v>121</v>
      </c>
      <c r="H63" s="13" t="s">
        <v>56</v>
      </c>
      <c r="I63" s="12" t="s">
        <v>127</v>
      </c>
      <c r="J63" s="12"/>
      <c r="K63" s="28" t="str">
        <f>"130,0"</f>
        <v>130,0</v>
      </c>
      <c r="L63" s="32" t="str">
        <f>"88,6860"</f>
        <v>88,6860</v>
      </c>
      <c r="M63" s="11" t="s">
        <v>320</v>
      </c>
    </row>
    <row r="64" spans="1:13" x14ac:dyDescent="0.2">
      <c r="A64" s="28" t="s">
        <v>456</v>
      </c>
      <c r="B64" s="11" t="s">
        <v>457</v>
      </c>
      <c r="C64" s="11" t="s">
        <v>48</v>
      </c>
      <c r="D64" s="11" t="str">
        <f>"0,6827"</f>
        <v>0,6827</v>
      </c>
      <c r="E64" s="11" t="s">
        <v>16</v>
      </c>
      <c r="F64" s="11" t="s">
        <v>17</v>
      </c>
      <c r="G64" s="13" t="s">
        <v>127</v>
      </c>
      <c r="H64" s="13" t="s">
        <v>84</v>
      </c>
      <c r="I64" s="13" t="s">
        <v>42</v>
      </c>
      <c r="J64" s="12"/>
      <c r="K64" s="28" t="str">
        <f>"150,0"</f>
        <v>150,0</v>
      </c>
      <c r="L64" s="32" t="str">
        <f>"109,3685"</f>
        <v>109,3685</v>
      </c>
      <c r="M64" s="11" t="s">
        <v>458</v>
      </c>
    </row>
    <row r="65" spans="1:13" x14ac:dyDescent="0.2">
      <c r="A65" s="28" t="s">
        <v>460</v>
      </c>
      <c r="B65" s="11" t="s">
        <v>461</v>
      </c>
      <c r="C65" s="11" t="s">
        <v>442</v>
      </c>
      <c r="D65" s="11" t="str">
        <f>"0,6774"</f>
        <v>0,6774</v>
      </c>
      <c r="E65" s="11" t="s">
        <v>26</v>
      </c>
      <c r="F65" s="11" t="s">
        <v>27</v>
      </c>
      <c r="G65" s="13" t="s">
        <v>56</v>
      </c>
      <c r="H65" s="13" t="s">
        <v>393</v>
      </c>
      <c r="I65" s="12" t="s">
        <v>462</v>
      </c>
      <c r="J65" s="12"/>
      <c r="K65" s="28" t="str">
        <f>"135,0"</f>
        <v>135,0</v>
      </c>
      <c r="L65" s="32" t="str">
        <f>"96,4787"</f>
        <v>96,4787</v>
      </c>
      <c r="M65" s="11" t="s">
        <v>463</v>
      </c>
    </row>
    <row r="66" spans="1:13" x14ac:dyDescent="0.2">
      <c r="A66" s="28" t="s">
        <v>464</v>
      </c>
      <c r="B66" s="11" t="s">
        <v>465</v>
      </c>
      <c r="C66" s="11" t="s">
        <v>466</v>
      </c>
      <c r="D66" s="11" t="str">
        <f>"0,6969"</f>
        <v>0,6969</v>
      </c>
      <c r="E66" s="11" t="s">
        <v>26</v>
      </c>
      <c r="F66" s="11" t="s">
        <v>27</v>
      </c>
      <c r="G66" s="12" t="s">
        <v>120</v>
      </c>
      <c r="H66" s="12" t="s">
        <v>120</v>
      </c>
      <c r="I66" s="12" t="s">
        <v>120</v>
      </c>
      <c r="J66" s="12"/>
      <c r="K66" s="28" t="str">
        <f>"0.00"</f>
        <v>0.00</v>
      </c>
      <c r="L66" s="32" t="str">
        <f>"0,0000"</f>
        <v>0,0000</v>
      </c>
      <c r="M66" s="11" t="s">
        <v>128</v>
      </c>
    </row>
    <row r="67" spans="1:13" x14ac:dyDescent="0.2">
      <c r="A67" s="28" t="s">
        <v>468</v>
      </c>
      <c r="B67" s="11" t="s">
        <v>469</v>
      </c>
      <c r="C67" s="11" t="s">
        <v>470</v>
      </c>
      <c r="D67" s="11" t="str">
        <f>"0,6719"</f>
        <v>0,6719</v>
      </c>
      <c r="E67" s="11" t="s">
        <v>16</v>
      </c>
      <c r="F67" s="11" t="s">
        <v>17</v>
      </c>
      <c r="G67" s="13" t="s">
        <v>42</v>
      </c>
      <c r="H67" s="13" t="s">
        <v>85</v>
      </c>
      <c r="I67" s="13" t="s">
        <v>70</v>
      </c>
      <c r="J67" s="12"/>
      <c r="K67" s="28" t="str">
        <f>"162,5"</f>
        <v>162,5</v>
      </c>
      <c r="L67" s="32" t="str">
        <f>"140,9562"</f>
        <v>140,9562</v>
      </c>
      <c r="M67" s="11" t="s">
        <v>99</v>
      </c>
    </row>
    <row r="68" spans="1:13" x14ac:dyDescent="0.2">
      <c r="A68" s="28" t="s">
        <v>472</v>
      </c>
      <c r="B68" s="11" t="s">
        <v>473</v>
      </c>
      <c r="C68" s="11" t="s">
        <v>418</v>
      </c>
      <c r="D68" s="11" t="str">
        <f>"0,6739"</f>
        <v>0,6739</v>
      </c>
      <c r="E68" s="11" t="s">
        <v>16</v>
      </c>
      <c r="F68" s="11" t="s">
        <v>346</v>
      </c>
      <c r="G68" s="13" t="s">
        <v>121</v>
      </c>
      <c r="H68" s="13" t="s">
        <v>122</v>
      </c>
      <c r="I68" s="13" t="s">
        <v>358</v>
      </c>
      <c r="J68" s="12"/>
      <c r="K68" s="28" t="str">
        <f>"127,5"</f>
        <v>127,5</v>
      </c>
      <c r="L68" s="32" t="str">
        <f>"105,2548"</f>
        <v>105,2548</v>
      </c>
      <c r="M68" s="11"/>
    </row>
    <row r="69" spans="1:13" x14ac:dyDescent="0.2">
      <c r="A69" s="29" t="s">
        <v>475</v>
      </c>
      <c r="B69" s="8" t="s">
        <v>476</v>
      </c>
      <c r="C69" s="8" t="s">
        <v>477</v>
      </c>
      <c r="D69" s="8" t="str">
        <f>"0,6854"</f>
        <v>0,6854</v>
      </c>
      <c r="E69" s="8" t="s">
        <v>26</v>
      </c>
      <c r="F69" s="8" t="s">
        <v>27</v>
      </c>
      <c r="G69" s="10" t="s">
        <v>56</v>
      </c>
      <c r="H69" s="10" t="s">
        <v>393</v>
      </c>
      <c r="I69" s="10" t="s">
        <v>127</v>
      </c>
      <c r="J69" s="9"/>
      <c r="K69" s="29" t="str">
        <f>"140,0"</f>
        <v>140,0</v>
      </c>
      <c r="L69" s="33" t="str">
        <f>"142,0149"</f>
        <v>142,0149</v>
      </c>
      <c r="M69" s="8" t="s">
        <v>478</v>
      </c>
    </row>
    <row r="71" spans="1:13" ht="15" x14ac:dyDescent="0.2">
      <c r="A71" s="44" t="s">
        <v>59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3" x14ac:dyDescent="0.2">
      <c r="A72" s="27" t="s">
        <v>480</v>
      </c>
      <c r="B72" s="5" t="s">
        <v>481</v>
      </c>
      <c r="C72" s="5" t="s">
        <v>63</v>
      </c>
      <c r="D72" s="5" t="str">
        <f>"0,6432"</f>
        <v>0,6432</v>
      </c>
      <c r="E72" s="5" t="s">
        <v>26</v>
      </c>
      <c r="F72" s="5" t="s">
        <v>27</v>
      </c>
      <c r="G72" s="6" t="s">
        <v>122</v>
      </c>
      <c r="H72" s="7" t="s">
        <v>56</v>
      </c>
      <c r="I72" s="6" t="s">
        <v>393</v>
      </c>
      <c r="J72" s="6"/>
      <c r="K72" s="27" t="str">
        <f>"130,0"</f>
        <v>130,0</v>
      </c>
      <c r="L72" s="31" t="str">
        <f>"83,6160"</f>
        <v>83,6160</v>
      </c>
      <c r="M72" s="5" t="s">
        <v>482</v>
      </c>
    </row>
    <row r="73" spans="1:13" x14ac:dyDescent="0.2">
      <c r="A73" s="28" t="s">
        <v>484</v>
      </c>
      <c r="B73" s="11" t="s">
        <v>485</v>
      </c>
      <c r="C73" s="11" t="s">
        <v>486</v>
      </c>
      <c r="D73" s="11" t="str">
        <f>"0,6459"</f>
        <v>0,6459</v>
      </c>
      <c r="E73" s="11" t="s">
        <v>16</v>
      </c>
      <c r="F73" s="11" t="s">
        <v>487</v>
      </c>
      <c r="G73" s="13" t="s">
        <v>488</v>
      </c>
      <c r="H73" s="13" t="s">
        <v>64</v>
      </c>
      <c r="I73" s="12" t="s">
        <v>65</v>
      </c>
      <c r="J73" s="12"/>
      <c r="K73" s="28" t="str">
        <f>"185,0"</f>
        <v>185,0</v>
      </c>
      <c r="L73" s="32" t="str">
        <f>"119,4915"</f>
        <v>119,4915</v>
      </c>
      <c r="M73" s="11" t="s">
        <v>489</v>
      </c>
    </row>
    <row r="74" spans="1:13" x14ac:dyDescent="0.2">
      <c r="A74" s="28" t="s">
        <v>491</v>
      </c>
      <c r="B74" s="11" t="s">
        <v>492</v>
      </c>
      <c r="C74" s="11" t="s">
        <v>493</v>
      </c>
      <c r="D74" s="11" t="str">
        <f>"0,6395"</f>
        <v>0,6395</v>
      </c>
      <c r="E74" s="11" t="s">
        <v>16</v>
      </c>
      <c r="F74" s="11" t="s">
        <v>494</v>
      </c>
      <c r="G74" s="13" t="s">
        <v>495</v>
      </c>
      <c r="H74" s="13" t="s">
        <v>488</v>
      </c>
      <c r="I74" s="13" t="s">
        <v>496</v>
      </c>
      <c r="J74" s="12"/>
      <c r="K74" s="28" t="str">
        <f>"182,5"</f>
        <v>182,5</v>
      </c>
      <c r="L74" s="32" t="str">
        <f>"116,7088"</f>
        <v>116,7088</v>
      </c>
      <c r="M74" s="11"/>
    </row>
    <row r="75" spans="1:13" x14ac:dyDescent="0.2">
      <c r="A75" s="28" t="s">
        <v>498</v>
      </c>
      <c r="B75" s="11" t="s">
        <v>499</v>
      </c>
      <c r="C75" s="11" t="s">
        <v>500</v>
      </c>
      <c r="D75" s="11" t="str">
        <f>"0,6575"</f>
        <v>0,6575</v>
      </c>
      <c r="E75" s="11" t="s">
        <v>26</v>
      </c>
      <c r="F75" s="11" t="s">
        <v>27</v>
      </c>
      <c r="G75" s="13" t="s">
        <v>42</v>
      </c>
      <c r="H75" s="13" t="s">
        <v>50</v>
      </c>
      <c r="I75" s="13" t="s">
        <v>43</v>
      </c>
      <c r="J75" s="12"/>
      <c r="K75" s="28" t="str">
        <f>"160,0"</f>
        <v>160,0</v>
      </c>
      <c r="L75" s="32" t="str">
        <f>"105,2000"</f>
        <v>105,2000</v>
      </c>
      <c r="M75" s="11" t="s">
        <v>128</v>
      </c>
    </row>
    <row r="76" spans="1:13" x14ac:dyDescent="0.2">
      <c r="A76" s="28" t="s">
        <v>501</v>
      </c>
      <c r="B76" s="11" t="s">
        <v>502</v>
      </c>
      <c r="C76" s="11" t="s">
        <v>493</v>
      </c>
      <c r="D76" s="11" t="str">
        <f>"0,6395"</f>
        <v>0,6395</v>
      </c>
      <c r="E76" s="11" t="s">
        <v>26</v>
      </c>
      <c r="F76" s="11" t="s">
        <v>27</v>
      </c>
      <c r="G76" s="13" t="s">
        <v>462</v>
      </c>
      <c r="H76" s="12" t="s">
        <v>84</v>
      </c>
      <c r="I76" s="12" t="s">
        <v>84</v>
      </c>
      <c r="J76" s="12"/>
      <c r="K76" s="28" t="str">
        <f>"142,5"</f>
        <v>142,5</v>
      </c>
      <c r="L76" s="32" t="str">
        <f>"91,1288"</f>
        <v>91,1288</v>
      </c>
      <c r="M76" s="11" t="s">
        <v>503</v>
      </c>
    </row>
    <row r="77" spans="1:13" x14ac:dyDescent="0.2">
      <c r="A77" s="28" t="s">
        <v>504</v>
      </c>
      <c r="B77" s="11" t="s">
        <v>505</v>
      </c>
      <c r="C77" s="11" t="s">
        <v>69</v>
      </c>
      <c r="D77" s="11" t="str">
        <f>"0,6463"</f>
        <v>0,6463</v>
      </c>
      <c r="E77" s="11" t="s">
        <v>26</v>
      </c>
      <c r="F77" s="11" t="s">
        <v>27</v>
      </c>
      <c r="G77" s="12" t="s">
        <v>393</v>
      </c>
      <c r="H77" s="13" t="s">
        <v>393</v>
      </c>
      <c r="I77" s="12" t="s">
        <v>127</v>
      </c>
      <c r="J77" s="12"/>
      <c r="K77" s="28" t="str">
        <f>"135,0"</f>
        <v>135,0</v>
      </c>
      <c r="L77" s="32" t="str">
        <f>"87,2505"</f>
        <v>87,2505</v>
      </c>
      <c r="M77" s="11" t="s">
        <v>506</v>
      </c>
    </row>
    <row r="78" spans="1:13" x14ac:dyDescent="0.2">
      <c r="A78" s="28" t="s">
        <v>507</v>
      </c>
      <c r="B78" s="11" t="s">
        <v>508</v>
      </c>
      <c r="C78" s="11" t="s">
        <v>509</v>
      </c>
      <c r="D78" s="11" t="str">
        <f>"0,6410"</f>
        <v>0,6410</v>
      </c>
      <c r="E78" s="11" t="s">
        <v>16</v>
      </c>
      <c r="F78" s="11" t="s">
        <v>414</v>
      </c>
      <c r="G78" s="12" t="s">
        <v>369</v>
      </c>
      <c r="H78" s="13" t="s">
        <v>120</v>
      </c>
      <c r="I78" s="13" t="s">
        <v>121</v>
      </c>
      <c r="J78" s="12"/>
      <c r="K78" s="28" t="str">
        <f>"120,0"</f>
        <v>120,0</v>
      </c>
      <c r="L78" s="32" t="str">
        <f>"76,9200"</f>
        <v>76,9200</v>
      </c>
      <c r="M78" s="11" t="s">
        <v>510</v>
      </c>
    </row>
    <row r="79" spans="1:13" x14ac:dyDescent="0.2">
      <c r="A79" s="28" t="s">
        <v>511</v>
      </c>
      <c r="B79" s="11" t="s">
        <v>512</v>
      </c>
      <c r="C79" s="11" t="s">
        <v>513</v>
      </c>
      <c r="D79" s="11" t="str">
        <f>"0,6523"</f>
        <v>0,6523</v>
      </c>
      <c r="E79" s="11" t="s">
        <v>257</v>
      </c>
      <c r="F79" s="11" t="s">
        <v>258</v>
      </c>
      <c r="G79" s="12" t="s">
        <v>462</v>
      </c>
      <c r="H79" s="12" t="s">
        <v>49</v>
      </c>
      <c r="I79" s="12" t="s">
        <v>49</v>
      </c>
      <c r="J79" s="12"/>
      <c r="K79" s="28" t="str">
        <f>"0.00"</f>
        <v>0.00</v>
      </c>
      <c r="L79" s="32" t="str">
        <f>"0,0000"</f>
        <v>0,0000</v>
      </c>
      <c r="M79" s="11" t="s">
        <v>514</v>
      </c>
    </row>
    <row r="80" spans="1:13" x14ac:dyDescent="0.2">
      <c r="A80" s="28" t="s">
        <v>515</v>
      </c>
      <c r="B80" s="11" t="s">
        <v>516</v>
      </c>
      <c r="C80" s="11" t="s">
        <v>517</v>
      </c>
      <c r="D80" s="11" t="str">
        <f>"0,6495"</f>
        <v>0,6495</v>
      </c>
      <c r="E80" s="11" t="s">
        <v>16</v>
      </c>
      <c r="F80" s="11" t="s">
        <v>266</v>
      </c>
      <c r="G80" s="12" t="s">
        <v>122</v>
      </c>
      <c r="H80" s="12" t="s">
        <v>122</v>
      </c>
      <c r="I80" s="12" t="s">
        <v>122</v>
      </c>
      <c r="J80" s="12"/>
      <c r="K80" s="28" t="str">
        <f>"0.00"</f>
        <v>0.00</v>
      </c>
      <c r="L80" s="32" t="str">
        <f>"0,0000"</f>
        <v>0,0000</v>
      </c>
      <c r="M80" s="11" t="s">
        <v>128</v>
      </c>
    </row>
    <row r="81" spans="1:13" x14ac:dyDescent="0.2">
      <c r="A81" s="28" t="s">
        <v>518</v>
      </c>
      <c r="B81" s="11" t="s">
        <v>492</v>
      </c>
      <c r="C81" s="11" t="s">
        <v>493</v>
      </c>
      <c r="D81" s="11" t="str">
        <f>"0,6395"</f>
        <v>0,6395</v>
      </c>
      <c r="E81" s="11" t="s">
        <v>16</v>
      </c>
      <c r="F81" s="11" t="s">
        <v>494</v>
      </c>
      <c r="G81" s="12" t="s">
        <v>495</v>
      </c>
      <c r="H81" s="12"/>
      <c r="I81" s="12"/>
      <c r="J81" s="12"/>
      <c r="K81" s="28" t="str">
        <f>"0.00"</f>
        <v>0.00</v>
      </c>
      <c r="L81" s="32" t="str">
        <f>"0,0000"</f>
        <v>0,0000</v>
      </c>
      <c r="M81" s="11"/>
    </row>
    <row r="82" spans="1:13" x14ac:dyDescent="0.2">
      <c r="A82" s="28" t="s">
        <v>519</v>
      </c>
      <c r="B82" s="11" t="s">
        <v>520</v>
      </c>
      <c r="C82" s="11" t="s">
        <v>493</v>
      </c>
      <c r="D82" s="11" t="str">
        <f>"0,6395"</f>
        <v>0,6395</v>
      </c>
      <c r="E82" s="11" t="s">
        <v>16</v>
      </c>
      <c r="F82" s="11" t="s">
        <v>494</v>
      </c>
      <c r="G82" s="13" t="s">
        <v>495</v>
      </c>
      <c r="H82" s="13" t="s">
        <v>488</v>
      </c>
      <c r="I82" s="13" t="s">
        <v>496</v>
      </c>
      <c r="J82" s="12"/>
      <c r="K82" s="28" t="str">
        <f>"182,5"</f>
        <v>182,5</v>
      </c>
      <c r="L82" s="32" t="str">
        <f>"126,2789"</f>
        <v>126,2789</v>
      </c>
      <c r="M82" s="11"/>
    </row>
    <row r="83" spans="1:13" x14ac:dyDescent="0.2">
      <c r="A83" s="28" t="s">
        <v>522</v>
      </c>
      <c r="B83" s="11" t="s">
        <v>523</v>
      </c>
      <c r="C83" s="11" t="s">
        <v>524</v>
      </c>
      <c r="D83" s="11" t="str">
        <f>"0,6436"</f>
        <v>0,6436</v>
      </c>
      <c r="E83" s="11" t="s">
        <v>26</v>
      </c>
      <c r="F83" s="11" t="s">
        <v>26</v>
      </c>
      <c r="G83" s="13" t="s">
        <v>462</v>
      </c>
      <c r="H83" s="13" t="s">
        <v>42</v>
      </c>
      <c r="I83" s="12" t="s">
        <v>50</v>
      </c>
      <c r="J83" s="12"/>
      <c r="K83" s="28" t="str">
        <f>"150,0"</f>
        <v>150,0</v>
      </c>
      <c r="L83" s="32" t="str">
        <f>"107,4490"</f>
        <v>107,4490</v>
      </c>
      <c r="M83" s="11" t="s">
        <v>525</v>
      </c>
    </row>
    <row r="84" spans="1:13" x14ac:dyDescent="0.2">
      <c r="A84" s="28" t="s">
        <v>526</v>
      </c>
      <c r="B84" s="11" t="s">
        <v>527</v>
      </c>
      <c r="C84" s="11" t="s">
        <v>528</v>
      </c>
      <c r="D84" s="11" t="str">
        <f>"0,6428"</f>
        <v>0,6428</v>
      </c>
      <c r="E84" s="11" t="s">
        <v>26</v>
      </c>
      <c r="F84" s="11" t="s">
        <v>27</v>
      </c>
      <c r="G84" s="13" t="s">
        <v>369</v>
      </c>
      <c r="H84" s="13" t="s">
        <v>121</v>
      </c>
      <c r="I84" s="12" t="s">
        <v>358</v>
      </c>
      <c r="J84" s="12"/>
      <c r="K84" s="28" t="str">
        <f>"120,0"</f>
        <v>120,0</v>
      </c>
      <c r="L84" s="32" t="str">
        <f>"81,3785"</f>
        <v>81,3785</v>
      </c>
      <c r="M84" s="11" t="s">
        <v>529</v>
      </c>
    </row>
    <row r="85" spans="1:13" x14ac:dyDescent="0.2">
      <c r="A85" s="28" t="s">
        <v>531</v>
      </c>
      <c r="B85" s="11" t="s">
        <v>532</v>
      </c>
      <c r="C85" s="11" t="s">
        <v>533</v>
      </c>
      <c r="D85" s="11" t="str">
        <f>"0,6651"</f>
        <v>0,6651</v>
      </c>
      <c r="E85" s="11" t="s">
        <v>26</v>
      </c>
      <c r="F85" s="11" t="s">
        <v>27</v>
      </c>
      <c r="G85" s="13" t="s">
        <v>121</v>
      </c>
      <c r="H85" s="13" t="s">
        <v>122</v>
      </c>
      <c r="I85" s="12" t="s">
        <v>358</v>
      </c>
      <c r="J85" s="12"/>
      <c r="K85" s="28" t="str">
        <f>"125,0"</f>
        <v>125,0</v>
      </c>
      <c r="L85" s="32" t="str">
        <f>"98,4348"</f>
        <v>98,4348</v>
      </c>
      <c r="M85" s="11"/>
    </row>
    <row r="86" spans="1:13" x14ac:dyDescent="0.2">
      <c r="A86" s="28" t="s">
        <v>535</v>
      </c>
      <c r="B86" s="11" t="s">
        <v>536</v>
      </c>
      <c r="C86" s="11" t="s">
        <v>537</v>
      </c>
      <c r="D86" s="11" t="str">
        <f>"0,6479"</f>
        <v>0,6479</v>
      </c>
      <c r="E86" s="11" t="s">
        <v>16</v>
      </c>
      <c r="F86" s="11" t="s">
        <v>538</v>
      </c>
      <c r="G86" s="13" t="s">
        <v>19</v>
      </c>
      <c r="H86" s="13" t="s">
        <v>347</v>
      </c>
      <c r="I86" s="12" t="s">
        <v>369</v>
      </c>
      <c r="J86" s="12"/>
      <c r="K86" s="28" t="str">
        <f>"105,0"</f>
        <v>105,0</v>
      </c>
      <c r="L86" s="32" t="str">
        <f>"98,6428"</f>
        <v>98,6428</v>
      </c>
      <c r="M86" s="11"/>
    </row>
    <row r="87" spans="1:13" x14ac:dyDescent="0.2">
      <c r="A87" s="29" t="s">
        <v>540</v>
      </c>
      <c r="B87" s="8" t="s">
        <v>541</v>
      </c>
      <c r="C87" s="8" t="s">
        <v>542</v>
      </c>
      <c r="D87" s="8" t="str">
        <f>"0,6583"</f>
        <v>0,6583</v>
      </c>
      <c r="E87" s="8" t="s">
        <v>26</v>
      </c>
      <c r="F87" s="8" t="s">
        <v>27</v>
      </c>
      <c r="G87" s="10" t="s">
        <v>121</v>
      </c>
      <c r="H87" s="9" t="s">
        <v>55</v>
      </c>
      <c r="I87" s="10" t="s">
        <v>55</v>
      </c>
      <c r="J87" s="9"/>
      <c r="K87" s="29" t="str">
        <f>"122,5"</f>
        <v>122,5</v>
      </c>
      <c r="L87" s="33" t="str">
        <f>"121,8497"</f>
        <v>121,8497</v>
      </c>
      <c r="M87" s="8"/>
    </row>
    <row r="89" spans="1:13" ht="15" x14ac:dyDescent="0.2">
      <c r="A89" s="44" t="s">
        <v>72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3" x14ac:dyDescent="0.2">
      <c r="A90" s="27" t="s">
        <v>544</v>
      </c>
      <c r="B90" s="5" t="s">
        <v>545</v>
      </c>
      <c r="C90" s="5" t="s">
        <v>546</v>
      </c>
      <c r="D90" s="5" t="str">
        <f>"0,6091"</f>
        <v>0,6091</v>
      </c>
      <c r="E90" s="5" t="s">
        <v>26</v>
      </c>
      <c r="F90" s="5" t="s">
        <v>27</v>
      </c>
      <c r="G90" s="7" t="s">
        <v>419</v>
      </c>
      <c r="H90" s="7" t="s">
        <v>78</v>
      </c>
      <c r="I90" s="7" t="s">
        <v>64</v>
      </c>
      <c r="J90" s="6"/>
      <c r="K90" s="27" t="str">
        <f>"185,0"</f>
        <v>185,0</v>
      </c>
      <c r="L90" s="31" t="str">
        <f>"112,6835"</f>
        <v>112,6835</v>
      </c>
      <c r="M90" s="5"/>
    </row>
    <row r="91" spans="1:13" x14ac:dyDescent="0.2">
      <c r="A91" s="28" t="s">
        <v>547</v>
      </c>
      <c r="B91" s="11" t="s">
        <v>548</v>
      </c>
      <c r="C91" s="11" t="s">
        <v>549</v>
      </c>
      <c r="D91" s="11" t="str">
        <f>"0,6370"</f>
        <v>0,6370</v>
      </c>
      <c r="E91" s="11" t="s">
        <v>26</v>
      </c>
      <c r="F91" s="11" t="s">
        <v>27</v>
      </c>
      <c r="G91" s="12" t="s">
        <v>462</v>
      </c>
      <c r="H91" s="13" t="s">
        <v>462</v>
      </c>
      <c r="I91" s="13" t="s">
        <v>42</v>
      </c>
      <c r="J91" s="12"/>
      <c r="K91" s="28" t="str">
        <f>"150,0"</f>
        <v>150,0</v>
      </c>
      <c r="L91" s="32" t="str">
        <f>"95,5500"</f>
        <v>95,5500</v>
      </c>
      <c r="M91" s="11" t="s">
        <v>550</v>
      </c>
    </row>
    <row r="92" spans="1:13" x14ac:dyDescent="0.2">
      <c r="A92" s="28" t="s">
        <v>551</v>
      </c>
      <c r="B92" s="11" t="s">
        <v>552</v>
      </c>
      <c r="C92" s="11" t="s">
        <v>553</v>
      </c>
      <c r="D92" s="11" t="str">
        <f>"0,6197"</f>
        <v>0,6197</v>
      </c>
      <c r="E92" s="11" t="s">
        <v>144</v>
      </c>
      <c r="F92" s="11" t="s">
        <v>145</v>
      </c>
      <c r="G92" s="13" t="s">
        <v>462</v>
      </c>
      <c r="H92" s="12" t="s">
        <v>429</v>
      </c>
      <c r="I92" s="12" t="s">
        <v>429</v>
      </c>
      <c r="J92" s="12"/>
      <c r="K92" s="28" t="str">
        <f>"142,5"</f>
        <v>142,5</v>
      </c>
      <c r="L92" s="32" t="str">
        <f>"88,3073"</f>
        <v>88,3073</v>
      </c>
      <c r="M92" s="11"/>
    </row>
    <row r="93" spans="1:13" x14ac:dyDescent="0.2">
      <c r="A93" s="28" t="s">
        <v>554</v>
      </c>
      <c r="B93" s="11" t="s">
        <v>555</v>
      </c>
      <c r="C93" s="11" t="s">
        <v>556</v>
      </c>
      <c r="D93" s="11" t="str">
        <f>"0,6136"</f>
        <v>0,6136</v>
      </c>
      <c r="E93" s="11" t="s">
        <v>26</v>
      </c>
      <c r="F93" s="11" t="s">
        <v>27</v>
      </c>
      <c r="G93" s="12" t="s">
        <v>56</v>
      </c>
      <c r="H93" s="12"/>
      <c r="I93" s="12"/>
      <c r="J93" s="12"/>
      <c r="K93" s="28" t="str">
        <f>"0.00"</f>
        <v>0.00</v>
      </c>
      <c r="L93" s="32" t="str">
        <f>"0,0000"</f>
        <v>0,0000</v>
      </c>
      <c r="M93" s="11"/>
    </row>
    <row r="94" spans="1:13" x14ac:dyDescent="0.2">
      <c r="A94" s="28" t="s">
        <v>558</v>
      </c>
      <c r="B94" s="11" t="s">
        <v>559</v>
      </c>
      <c r="C94" s="11" t="s">
        <v>560</v>
      </c>
      <c r="D94" s="11" t="str">
        <f>"0,6144"</f>
        <v>0,6144</v>
      </c>
      <c r="E94" s="11" t="s">
        <v>16</v>
      </c>
      <c r="F94" s="11" t="s">
        <v>17</v>
      </c>
      <c r="G94" s="13" t="s">
        <v>42</v>
      </c>
      <c r="H94" s="13" t="s">
        <v>43</v>
      </c>
      <c r="I94" s="12" t="s">
        <v>495</v>
      </c>
      <c r="J94" s="12"/>
      <c r="K94" s="28" t="str">
        <f>"160,0"</f>
        <v>160,0</v>
      </c>
      <c r="L94" s="32" t="str">
        <f>"101,3514"</f>
        <v>101,3514</v>
      </c>
      <c r="M94" s="11" t="s">
        <v>561</v>
      </c>
    </row>
    <row r="95" spans="1:13" x14ac:dyDescent="0.2">
      <c r="A95" s="28" t="s">
        <v>562</v>
      </c>
      <c r="B95" s="11" t="s">
        <v>563</v>
      </c>
      <c r="C95" s="11" t="s">
        <v>564</v>
      </c>
      <c r="D95" s="11" t="str">
        <f>"0,6086"</f>
        <v>0,6086</v>
      </c>
      <c r="E95" s="11" t="s">
        <v>26</v>
      </c>
      <c r="F95" s="11" t="s">
        <v>27</v>
      </c>
      <c r="G95" s="13" t="s">
        <v>84</v>
      </c>
      <c r="H95" s="13" t="s">
        <v>42</v>
      </c>
      <c r="I95" s="12" t="s">
        <v>49</v>
      </c>
      <c r="J95" s="12"/>
      <c r="K95" s="28" t="str">
        <f>"150,0"</f>
        <v>150,0</v>
      </c>
      <c r="L95" s="32" t="str">
        <f>"91,2900"</f>
        <v>91,2900</v>
      </c>
      <c r="M95" s="11"/>
    </row>
    <row r="96" spans="1:13" x14ac:dyDescent="0.2">
      <c r="A96" s="28" t="s">
        <v>566</v>
      </c>
      <c r="B96" s="11" t="s">
        <v>567</v>
      </c>
      <c r="C96" s="11" t="s">
        <v>546</v>
      </c>
      <c r="D96" s="11" t="str">
        <f>"0,6091"</f>
        <v>0,6091</v>
      </c>
      <c r="E96" s="11" t="s">
        <v>16</v>
      </c>
      <c r="F96" s="11" t="s">
        <v>237</v>
      </c>
      <c r="G96" s="13" t="s">
        <v>50</v>
      </c>
      <c r="H96" s="13" t="s">
        <v>85</v>
      </c>
      <c r="I96" s="13" t="s">
        <v>43</v>
      </c>
      <c r="J96" s="12"/>
      <c r="K96" s="28" t="str">
        <f>"160,0"</f>
        <v>160,0</v>
      </c>
      <c r="L96" s="32" t="str">
        <f>"102,8161"</f>
        <v>102,8161</v>
      </c>
      <c r="M96" s="11" t="s">
        <v>568</v>
      </c>
    </row>
    <row r="97" spans="1:13" x14ac:dyDescent="0.2">
      <c r="A97" s="28" t="s">
        <v>570</v>
      </c>
      <c r="B97" s="11" t="s">
        <v>571</v>
      </c>
      <c r="C97" s="11" t="s">
        <v>553</v>
      </c>
      <c r="D97" s="11" t="str">
        <f>"0,6197"</f>
        <v>0,6197</v>
      </c>
      <c r="E97" s="11" t="s">
        <v>16</v>
      </c>
      <c r="F97" s="11" t="s">
        <v>572</v>
      </c>
      <c r="G97" s="13" t="s">
        <v>127</v>
      </c>
      <c r="H97" s="13" t="s">
        <v>42</v>
      </c>
      <c r="I97" s="13" t="s">
        <v>49</v>
      </c>
      <c r="J97" s="12"/>
      <c r="K97" s="28" t="str">
        <f>"152,5"</f>
        <v>152,5</v>
      </c>
      <c r="L97" s="32" t="str">
        <f>"105,1832"</f>
        <v>105,1832</v>
      </c>
      <c r="M97" s="11"/>
    </row>
    <row r="98" spans="1:13" x14ac:dyDescent="0.2">
      <c r="A98" s="28" t="s">
        <v>573</v>
      </c>
      <c r="B98" s="11" t="s">
        <v>574</v>
      </c>
      <c r="C98" s="11" t="s">
        <v>575</v>
      </c>
      <c r="D98" s="11" t="str">
        <f>"0,6096"</f>
        <v>0,6096</v>
      </c>
      <c r="E98" s="11" t="s">
        <v>26</v>
      </c>
      <c r="F98" s="11" t="s">
        <v>27</v>
      </c>
      <c r="G98" s="13" t="s">
        <v>127</v>
      </c>
      <c r="H98" s="12" t="s">
        <v>42</v>
      </c>
      <c r="I98" s="12" t="s">
        <v>42</v>
      </c>
      <c r="J98" s="12"/>
      <c r="K98" s="28" t="str">
        <f>"140,0"</f>
        <v>140,0</v>
      </c>
      <c r="L98" s="32" t="str">
        <f>"94,9879"</f>
        <v>94,9879</v>
      </c>
      <c r="M98" s="11" t="s">
        <v>128</v>
      </c>
    </row>
    <row r="99" spans="1:13" x14ac:dyDescent="0.2">
      <c r="A99" s="29" t="s">
        <v>577</v>
      </c>
      <c r="B99" s="8" t="s">
        <v>578</v>
      </c>
      <c r="C99" s="8" t="s">
        <v>579</v>
      </c>
      <c r="D99" s="8" t="str">
        <f>"0,6101"</f>
        <v>0,6101</v>
      </c>
      <c r="E99" s="8" t="s">
        <v>16</v>
      </c>
      <c r="F99" s="8" t="s">
        <v>580</v>
      </c>
      <c r="G99" s="9" t="s">
        <v>393</v>
      </c>
      <c r="H99" s="10" t="s">
        <v>127</v>
      </c>
      <c r="I99" s="9" t="s">
        <v>84</v>
      </c>
      <c r="J99" s="9"/>
      <c r="K99" s="29" t="str">
        <f>"140,0"</f>
        <v>140,0</v>
      </c>
      <c r="L99" s="33" t="str">
        <f>"97,9699"</f>
        <v>97,9699</v>
      </c>
      <c r="M99" s="8" t="s">
        <v>128</v>
      </c>
    </row>
    <row r="100" spans="1:13" x14ac:dyDescent="0.2">
      <c r="A100" s="24"/>
    </row>
    <row r="101" spans="1:13" ht="15" x14ac:dyDescent="0.2">
      <c r="A101" s="44" t="s">
        <v>91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</row>
    <row r="102" spans="1:13" x14ac:dyDescent="0.2">
      <c r="A102" s="5" t="s">
        <v>582</v>
      </c>
      <c r="B102" s="5" t="s">
        <v>583</v>
      </c>
      <c r="C102" s="5" t="s">
        <v>227</v>
      </c>
      <c r="D102" s="5" t="str">
        <f>"0,5900"</f>
        <v>0,5900</v>
      </c>
      <c r="E102" s="5" t="s">
        <v>16</v>
      </c>
      <c r="F102" s="5" t="s">
        <v>304</v>
      </c>
      <c r="G102" s="7" t="s">
        <v>70</v>
      </c>
      <c r="H102" s="7" t="s">
        <v>419</v>
      </c>
      <c r="I102" s="7" t="s">
        <v>77</v>
      </c>
      <c r="J102" s="6"/>
      <c r="K102" s="27" t="str">
        <f>"175,0"</f>
        <v>175,0</v>
      </c>
      <c r="L102" s="31" t="str">
        <f>"103,2500"</f>
        <v>103,2500</v>
      </c>
      <c r="M102" s="5"/>
    </row>
    <row r="103" spans="1:13" x14ac:dyDescent="0.2">
      <c r="A103" s="28" t="s">
        <v>585</v>
      </c>
      <c r="B103" s="11" t="s">
        <v>586</v>
      </c>
      <c r="C103" s="11" t="s">
        <v>587</v>
      </c>
      <c r="D103" s="11" t="str">
        <f>"0,5964"</f>
        <v>0,5964</v>
      </c>
      <c r="E103" s="11" t="s">
        <v>26</v>
      </c>
      <c r="F103" s="11" t="s">
        <v>27</v>
      </c>
      <c r="G103" s="13" t="s">
        <v>70</v>
      </c>
      <c r="H103" s="13" t="s">
        <v>44</v>
      </c>
      <c r="I103" s="13" t="s">
        <v>419</v>
      </c>
      <c r="J103" s="12"/>
      <c r="K103" s="28" t="str">
        <f>"170,0"</f>
        <v>170,0</v>
      </c>
      <c r="L103" s="32" t="str">
        <f>"101,3880"</f>
        <v>101,3880</v>
      </c>
      <c r="M103" s="11" t="s">
        <v>128</v>
      </c>
    </row>
    <row r="104" spans="1:13" x14ac:dyDescent="0.2">
      <c r="A104" s="28" t="s">
        <v>589</v>
      </c>
      <c r="B104" s="11" t="s">
        <v>590</v>
      </c>
      <c r="C104" s="11" t="s">
        <v>591</v>
      </c>
      <c r="D104" s="11" t="str">
        <f>"0,5952"</f>
        <v>0,5952</v>
      </c>
      <c r="E104" s="11" t="s">
        <v>16</v>
      </c>
      <c r="F104" s="11" t="s">
        <v>428</v>
      </c>
      <c r="G104" s="13" t="s">
        <v>78</v>
      </c>
      <c r="H104" s="13" t="s">
        <v>64</v>
      </c>
      <c r="I104" s="13" t="s">
        <v>65</v>
      </c>
      <c r="J104" s="12"/>
      <c r="K104" s="28" t="str">
        <f>"190,0"</f>
        <v>190,0</v>
      </c>
      <c r="L104" s="32" t="str">
        <f>"113,0880"</f>
        <v>113,0880</v>
      </c>
      <c r="M104" s="11" t="s">
        <v>592</v>
      </c>
    </row>
    <row r="105" spans="1:13" x14ac:dyDescent="0.2">
      <c r="A105" s="28" t="s">
        <v>594</v>
      </c>
      <c r="B105" s="11" t="s">
        <v>595</v>
      </c>
      <c r="C105" s="11" t="s">
        <v>596</v>
      </c>
      <c r="D105" s="11" t="str">
        <f>"0,6004"</f>
        <v>0,6004</v>
      </c>
      <c r="E105" s="11" t="s">
        <v>16</v>
      </c>
      <c r="F105" s="11" t="s">
        <v>572</v>
      </c>
      <c r="G105" s="13" t="s">
        <v>42</v>
      </c>
      <c r="H105" s="13" t="s">
        <v>43</v>
      </c>
      <c r="I105" s="13" t="s">
        <v>419</v>
      </c>
      <c r="J105" s="12"/>
      <c r="K105" s="28" t="str">
        <f>"170,0"</f>
        <v>170,0</v>
      </c>
      <c r="L105" s="32" t="str">
        <f>"102,0680"</f>
        <v>102,0680</v>
      </c>
      <c r="M105" s="11" t="s">
        <v>128</v>
      </c>
    </row>
    <row r="106" spans="1:13" x14ac:dyDescent="0.2">
      <c r="A106" s="28" t="s">
        <v>598</v>
      </c>
      <c r="B106" s="11" t="s">
        <v>599</v>
      </c>
      <c r="C106" s="11" t="s">
        <v>119</v>
      </c>
      <c r="D106" s="11" t="str">
        <f>"0,5980"</f>
        <v>0,5980</v>
      </c>
      <c r="E106" s="11" t="s">
        <v>16</v>
      </c>
      <c r="F106" s="11" t="s">
        <v>304</v>
      </c>
      <c r="G106" s="13" t="s">
        <v>127</v>
      </c>
      <c r="H106" s="13" t="s">
        <v>42</v>
      </c>
      <c r="I106" s="13" t="s">
        <v>419</v>
      </c>
      <c r="J106" s="12"/>
      <c r="K106" s="28" t="str">
        <f>"170,0"</f>
        <v>170,0</v>
      </c>
      <c r="L106" s="32" t="str">
        <f>"101,6600"</f>
        <v>101,6600</v>
      </c>
      <c r="M106" s="11" t="s">
        <v>128</v>
      </c>
    </row>
    <row r="107" spans="1:13" x14ac:dyDescent="0.2">
      <c r="A107" s="28" t="s">
        <v>601</v>
      </c>
      <c r="B107" s="11" t="s">
        <v>602</v>
      </c>
      <c r="C107" s="11" t="s">
        <v>603</v>
      </c>
      <c r="D107" s="11" t="str">
        <f>"0,5939"</f>
        <v>0,5939</v>
      </c>
      <c r="E107" s="11" t="s">
        <v>16</v>
      </c>
      <c r="F107" s="11" t="s">
        <v>604</v>
      </c>
      <c r="G107" s="13" t="s">
        <v>43</v>
      </c>
      <c r="H107" s="13" t="s">
        <v>419</v>
      </c>
      <c r="I107" s="12" t="s">
        <v>77</v>
      </c>
      <c r="J107" s="12"/>
      <c r="K107" s="28" t="str">
        <f>"170,0"</f>
        <v>170,0</v>
      </c>
      <c r="L107" s="32" t="str">
        <f>"100,9630"</f>
        <v>100,9630</v>
      </c>
      <c r="M107" s="11" t="s">
        <v>605</v>
      </c>
    </row>
    <row r="108" spans="1:13" x14ac:dyDescent="0.2">
      <c r="A108" s="28" t="s">
        <v>606</v>
      </c>
      <c r="B108" s="11" t="s">
        <v>607</v>
      </c>
      <c r="C108" s="11" t="s">
        <v>608</v>
      </c>
      <c r="D108" s="11" t="str">
        <f>"0,5916"</f>
        <v>0,5916</v>
      </c>
      <c r="E108" s="11" t="s">
        <v>26</v>
      </c>
      <c r="F108" s="11" t="s">
        <v>27</v>
      </c>
      <c r="G108" s="12" t="s">
        <v>43</v>
      </c>
      <c r="H108" s="13" t="s">
        <v>43</v>
      </c>
      <c r="I108" s="12" t="s">
        <v>419</v>
      </c>
      <c r="J108" s="12"/>
      <c r="K108" s="28" t="str">
        <f>"160,0"</f>
        <v>160,0</v>
      </c>
      <c r="L108" s="32" t="str">
        <f>"94,6560"</f>
        <v>94,6560</v>
      </c>
      <c r="M108" s="11" t="s">
        <v>128</v>
      </c>
    </row>
    <row r="109" spans="1:13" x14ac:dyDescent="0.2">
      <c r="A109" s="28" t="s">
        <v>609</v>
      </c>
      <c r="B109" s="11" t="s">
        <v>610</v>
      </c>
      <c r="C109" s="11" t="s">
        <v>611</v>
      </c>
      <c r="D109" s="11" t="str">
        <f>"0,6011"</f>
        <v>0,6011</v>
      </c>
      <c r="E109" s="11" t="s">
        <v>26</v>
      </c>
      <c r="F109" s="11" t="s">
        <v>27</v>
      </c>
      <c r="G109" s="13" t="s">
        <v>121</v>
      </c>
      <c r="H109" s="13" t="s">
        <v>122</v>
      </c>
      <c r="I109" s="12" t="s">
        <v>56</v>
      </c>
      <c r="J109" s="12"/>
      <c r="K109" s="28" t="str">
        <f>"125,0"</f>
        <v>125,0</v>
      </c>
      <c r="L109" s="32" t="str">
        <f>"75,1375"</f>
        <v>75,1375</v>
      </c>
      <c r="M109" s="11"/>
    </row>
    <row r="110" spans="1:13" x14ac:dyDescent="0.2">
      <c r="A110" s="28" t="s">
        <v>613</v>
      </c>
      <c r="B110" s="11" t="s">
        <v>614</v>
      </c>
      <c r="C110" s="11" t="s">
        <v>108</v>
      </c>
      <c r="D110" s="11" t="str">
        <f>"0,5972"</f>
        <v>0,5972</v>
      </c>
      <c r="E110" s="11" t="s">
        <v>16</v>
      </c>
      <c r="F110" s="11" t="s">
        <v>17</v>
      </c>
      <c r="G110" s="13" t="s">
        <v>78</v>
      </c>
      <c r="H110" s="13" t="s">
        <v>64</v>
      </c>
      <c r="I110" s="12" t="s">
        <v>65</v>
      </c>
      <c r="J110" s="12"/>
      <c r="K110" s="28" t="str">
        <f>"185,0"</f>
        <v>185,0</v>
      </c>
      <c r="L110" s="32" t="str">
        <f>"113,9069"</f>
        <v>113,9069</v>
      </c>
      <c r="M110" s="11" t="s">
        <v>99</v>
      </c>
    </row>
    <row r="111" spans="1:13" x14ac:dyDescent="0.2">
      <c r="A111" s="28" t="s">
        <v>616</v>
      </c>
      <c r="B111" s="11" t="s">
        <v>617</v>
      </c>
      <c r="C111" s="11" t="s">
        <v>618</v>
      </c>
      <c r="D111" s="11" t="str">
        <f>"0,6037"</f>
        <v>0,6037</v>
      </c>
      <c r="E111" s="11" t="s">
        <v>26</v>
      </c>
      <c r="F111" s="11" t="s">
        <v>27</v>
      </c>
      <c r="G111" s="13" t="s">
        <v>419</v>
      </c>
      <c r="H111" s="13" t="s">
        <v>77</v>
      </c>
      <c r="I111" s="13" t="s">
        <v>78</v>
      </c>
      <c r="J111" s="12"/>
      <c r="K111" s="28" t="str">
        <f>"180,0"</f>
        <v>180,0</v>
      </c>
      <c r="L111" s="32" t="str">
        <f>"112,0346"</f>
        <v>112,0346</v>
      </c>
      <c r="M111" s="11" t="s">
        <v>619</v>
      </c>
    </row>
    <row r="112" spans="1:13" x14ac:dyDescent="0.2">
      <c r="A112" s="28" t="s">
        <v>621</v>
      </c>
      <c r="B112" s="11" t="s">
        <v>622</v>
      </c>
      <c r="C112" s="11" t="s">
        <v>623</v>
      </c>
      <c r="D112" s="11" t="str">
        <f>"0,6002"</f>
        <v>0,6002</v>
      </c>
      <c r="E112" s="11" t="s">
        <v>26</v>
      </c>
      <c r="F112" s="11" t="s">
        <v>27</v>
      </c>
      <c r="G112" s="13" t="s">
        <v>495</v>
      </c>
      <c r="H112" s="13" t="s">
        <v>77</v>
      </c>
      <c r="I112" s="13" t="s">
        <v>78</v>
      </c>
      <c r="J112" s="12"/>
      <c r="K112" s="28" t="str">
        <f>"180,0"</f>
        <v>180,0</v>
      </c>
      <c r="L112" s="32" t="str">
        <f>"111,3851"</f>
        <v>111,3851</v>
      </c>
      <c r="M112" s="11" t="s">
        <v>624</v>
      </c>
    </row>
    <row r="113" spans="1:13" x14ac:dyDescent="0.2">
      <c r="A113" s="28" t="s">
        <v>625</v>
      </c>
      <c r="B113" s="11" t="s">
        <v>626</v>
      </c>
      <c r="C113" s="11" t="s">
        <v>627</v>
      </c>
      <c r="D113" s="11" t="str">
        <f>"0,5893"</f>
        <v>0,5893</v>
      </c>
      <c r="E113" s="11" t="s">
        <v>26</v>
      </c>
      <c r="F113" s="11" t="s">
        <v>27</v>
      </c>
      <c r="G113" s="13" t="s">
        <v>50</v>
      </c>
      <c r="H113" s="12" t="s">
        <v>70</v>
      </c>
      <c r="I113" s="12" t="s">
        <v>70</v>
      </c>
      <c r="J113" s="12"/>
      <c r="K113" s="28" t="str">
        <f>"155,0"</f>
        <v>155,0</v>
      </c>
      <c r="L113" s="32" t="str">
        <f>"94,1731"</f>
        <v>94,1731</v>
      </c>
      <c r="M113" s="11" t="s">
        <v>628</v>
      </c>
    </row>
    <row r="114" spans="1:13" x14ac:dyDescent="0.2">
      <c r="A114" s="28" t="s">
        <v>629</v>
      </c>
      <c r="B114" s="11" t="s">
        <v>630</v>
      </c>
      <c r="C114" s="11" t="s">
        <v>631</v>
      </c>
      <c r="D114" s="11" t="str">
        <f>"0,6046"</f>
        <v>0,6046</v>
      </c>
      <c r="E114" s="11" t="s">
        <v>26</v>
      </c>
      <c r="F114" s="11" t="s">
        <v>27</v>
      </c>
      <c r="G114" s="13" t="s">
        <v>347</v>
      </c>
      <c r="H114" s="12" t="s">
        <v>369</v>
      </c>
      <c r="I114" s="13" t="s">
        <v>369</v>
      </c>
      <c r="J114" s="12"/>
      <c r="K114" s="28" t="str">
        <f>"110,0"</f>
        <v>110,0</v>
      </c>
      <c r="L114" s="32" t="str">
        <f>"71,9595"</f>
        <v>71,9595</v>
      </c>
      <c r="M114" s="11"/>
    </row>
    <row r="115" spans="1:13" x14ac:dyDescent="0.2">
      <c r="A115" s="28" t="s">
        <v>633</v>
      </c>
      <c r="B115" s="11" t="s">
        <v>634</v>
      </c>
      <c r="C115" s="11" t="s">
        <v>635</v>
      </c>
      <c r="D115" s="11" t="str">
        <f>"0,5945"</f>
        <v>0,5945</v>
      </c>
      <c r="E115" s="11" t="s">
        <v>16</v>
      </c>
      <c r="F115" s="11" t="s">
        <v>636</v>
      </c>
      <c r="G115" s="13" t="s">
        <v>127</v>
      </c>
      <c r="H115" s="12" t="s">
        <v>462</v>
      </c>
      <c r="I115" s="12" t="s">
        <v>462</v>
      </c>
      <c r="J115" s="12"/>
      <c r="K115" s="28" t="str">
        <f>"140,0"</f>
        <v>140,0</v>
      </c>
      <c r="L115" s="32" t="str">
        <f>"101,9568"</f>
        <v>101,9568</v>
      </c>
      <c r="M115" s="11"/>
    </row>
    <row r="116" spans="1:13" x14ac:dyDescent="0.2">
      <c r="A116" s="29" t="s">
        <v>638</v>
      </c>
      <c r="B116" s="8" t="s">
        <v>639</v>
      </c>
      <c r="C116" s="8" t="s">
        <v>640</v>
      </c>
      <c r="D116" s="8" t="str">
        <f>"0,6030"</f>
        <v>0,6030</v>
      </c>
      <c r="E116" s="8" t="s">
        <v>641</v>
      </c>
      <c r="F116" s="8" t="s">
        <v>642</v>
      </c>
      <c r="G116" s="10" t="s">
        <v>369</v>
      </c>
      <c r="H116" s="10" t="s">
        <v>121</v>
      </c>
      <c r="I116" s="9" t="s">
        <v>122</v>
      </c>
      <c r="J116" s="9"/>
      <c r="K116" s="29" t="str">
        <f>"120,0"</f>
        <v>120,0</v>
      </c>
      <c r="L116" s="33" t="str">
        <f>"98,8438"</f>
        <v>98,8438</v>
      </c>
      <c r="M116" s="8"/>
    </row>
    <row r="118" spans="1:13" ht="15" x14ac:dyDescent="0.2">
      <c r="A118" s="44" t="s">
        <v>129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3" x14ac:dyDescent="0.2">
      <c r="A119" s="27" t="s">
        <v>644</v>
      </c>
      <c r="B119" s="5" t="s">
        <v>645</v>
      </c>
      <c r="C119" s="5" t="s">
        <v>646</v>
      </c>
      <c r="D119" s="5" t="str">
        <f>"0,5731"</f>
        <v>0,5731</v>
      </c>
      <c r="E119" s="5" t="s">
        <v>647</v>
      </c>
      <c r="F119" s="5" t="s">
        <v>648</v>
      </c>
      <c r="G119" s="7" t="s">
        <v>78</v>
      </c>
      <c r="H119" s="7" t="s">
        <v>64</v>
      </c>
      <c r="I119" s="6" t="s">
        <v>65</v>
      </c>
      <c r="J119" s="6"/>
      <c r="K119" s="27" t="str">
        <f>"185,0"</f>
        <v>185,0</v>
      </c>
      <c r="L119" s="31" t="str">
        <f>"106,0235"</f>
        <v>106,0235</v>
      </c>
      <c r="M119" s="5"/>
    </row>
    <row r="120" spans="1:13" x14ac:dyDescent="0.2">
      <c r="A120" s="28" t="s">
        <v>650</v>
      </c>
      <c r="B120" s="11" t="s">
        <v>651</v>
      </c>
      <c r="C120" s="11" t="s">
        <v>652</v>
      </c>
      <c r="D120" s="11" t="str">
        <f>"0,5700"</f>
        <v>0,5700</v>
      </c>
      <c r="E120" s="11" t="s">
        <v>16</v>
      </c>
      <c r="F120" s="11" t="s">
        <v>346</v>
      </c>
      <c r="G120" s="13" t="s">
        <v>496</v>
      </c>
      <c r="H120" s="12" t="s">
        <v>653</v>
      </c>
      <c r="I120" s="12" t="s">
        <v>653</v>
      </c>
      <c r="J120" s="12"/>
      <c r="K120" s="28" t="str">
        <f>"182,5"</f>
        <v>182,5</v>
      </c>
      <c r="L120" s="32" t="str">
        <f>"104,0250"</f>
        <v>104,0250</v>
      </c>
      <c r="M120" s="11"/>
    </row>
    <row r="121" spans="1:13" x14ac:dyDescent="0.2">
      <c r="A121" s="28" t="s">
        <v>654</v>
      </c>
      <c r="B121" s="11" t="s">
        <v>655</v>
      </c>
      <c r="C121" s="11" t="s">
        <v>656</v>
      </c>
      <c r="D121" s="11" t="str">
        <f>"0,5724"</f>
        <v>0,5724</v>
      </c>
      <c r="E121" s="11" t="s">
        <v>657</v>
      </c>
      <c r="F121" s="11" t="s">
        <v>658</v>
      </c>
      <c r="G121" s="13" t="s">
        <v>120</v>
      </c>
      <c r="H121" s="13" t="s">
        <v>121</v>
      </c>
      <c r="I121" s="13" t="s">
        <v>122</v>
      </c>
      <c r="J121" s="12"/>
      <c r="K121" s="28" t="str">
        <f>"125,0"</f>
        <v>125,0</v>
      </c>
      <c r="L121" s="32" t="str">
        <f>"71,5500"</f>
        <v>71,5500</v>
      </c>
      <c r="M121" s="11"/>
    </row>
    <row r="122" spans="1:13" x14ac:dyDescent="0.2">
      <c r="A122" s="28" t="s">
        <v>659</v>
      </c>
      <c r="B122" s="11" t="s">
        <v>660</v>
      </c>
      <c r="C122" s="11" t="s">
        <v>661</v>
      </c>
      <c r="D122" s="11" t="str">
        <f>"0,5853"</f>
        <v>0,5853</v>
      </c>
      <c r="E122" s="11" t="s">
        <v>16</v>
      </c>
      <c r="F122" s="11" t="s">
        <v>662</v>
      </c>
      <c r="G122" s="12" t="s">
        <v>496</v>
      </c>
      <c r="H122" s="12" t="s">
        <v>496</v>
      </c>
      <c r="I122" s="12" t="s">
        <v>496</v>
      </c>
      <c r="J122" s="12"/>
      <c r="K122" s="28" t="str">
        <f>"0.00"</f>
        <v>0.00</v>
      </c>
      <c r="L122" s="32" t="str">
        <f>"0,0000"</f>
        <v>0,0000</v>
      </c>
      <c r="M122" s="11"/>
    </row>
    <row r="123" spans="1:13" x14ac:dyDescent="0.2">
      <c r="A123" s="28" t="s">
        <v>663</v>
      </c>
      <c r="B123" s="11" t="s">
        <v>664</v>
      </c>
      <c r="C123" s="11" t="s">
        <v>652</v>
      </c>
      <c r="D123" s="11" t="str">
        <f>"0,5700"</f>
        <v>0,5700</v>
      </c>
      <c r="E123" s="11" t="s">
        <v>16</v>
      </c>
      <c r="F123" s="11" t="s">
        <v>346</v>
      </c>
      <c r="G123" s="13" t="s">
        <v>496</v>
      </c>
      <c r="H123" s="12" t="s">
        <v>653</v>
      </c>
      <c r="I123" s="12" t="s">
        <v>653</v>
      </c>
      <c r="J123" s="12"/>
      <c r="K123" s="28" t="str">
        <f>"182,5"</f>
        <v>182,5</v>
      </c>
      <c r="L123" s="32" t="str">
        <f>"105,0652"</f>
        <v>105,0652</v>
      </c>
      <c r="M123" s="11"/>
    </row>
    <row r="124" spans="1:13" x14ac:dyDescent="0.2">
      <c r="A124" s="29" t="s">
        <v>666</v>
      </c>
      <c r="B124" s="8" t="s">
        <v>667</v>
      </c>
      <c r="C124" s="8" t="s">
        <v>668</v>
      </c>
      <c r="D124" s="8" t="str">
        <f>"0,5866"</f>
        <v>0,5866</v>
      </c>
      <c r="E124" s="8" t="s">
        <v>16</v>
      </c>
      <c r="F124" s="8" t="s">
        <v>669</v>
      </c>
      <c r="G124" s="10" t="s">
        <v>419</v>
      </c>
      <c r="H124" s="10" t="s">
        <v>78</v>
      </c>
      <c r="I124" s="9" t="s">
        <v>64</v>
      </c>
      <c r="J124" s="9"/>
      <c r="K124" s="29" t="str">
        <f>"180,0"</f>
        <v>180,0</v>
      </c>
      <c r="L124" s="33" t="str">
        <f>"105,5880"</f>
        <v>105,5880</v>
      </c>
      <c r="M124" s="8" t="s">
        <v>670</v>
      </c>
    </row>
    <row r="126" spans="1:13" ht="15" x14ac:dyDescent="0.2">
      <c r="A126" s="44" t="s">
        <v>151</v>
      </c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3" x14ac:dyDescent="0.2">
      <c r="A127" s="27" t="s">
        <v>672</v>
      </c>
      <c r="B127" s="5" t="s">
        <v>673</v>
      </c>
      <c r="C127" s="5" t="s">
        <v>674</v>
      </c>
      <c r="D127" s="5" t="str">
        <f>"0,5603"</f>
        <v>0,5603</v>
      </c>
      <c r="E127" s="5" t="s">
        <v>26</v>
      </c>
      <c r="F127" s="5" t="s">
        <v>27</v>
      </c>
      <c r="G127" s="7" t="s">
        <v>104</v>
      </c>
      <c r="H127" s="7" t="s">
        <v>675</v>
      </c>
      <c r="I127" s="7" t="s">
        <v>134</v>
      </c>
      <c r="J127" s="6"/>
      <c r="K127" s="27" t="str">
        <f>"215,0"</f>
        <v>215,0</v>
      </c>
      <c r="L127" s="31" t="str">
        <f>"120,4645"</f>
        <v>120,4645</v>
      </c>
      <c r="M127" s="5"/>
    </row>
    <row r="128" spans="1:13" x14ac:dyDescent="0.2">
      <c r="A128" s="28" t="s">
        <v>677</v>
      </c>
      <c r="B128" s="11" t="s">
        <v>678</v>
      </c>
      <c r="C128" s="11" t="s">
        <v>679</v>
      </c>
      <c r="D128" s="11" t="str">
        <f>"0,5626"</f>
        <v>0,5626</v>
      </c>
      <c r="E128" s="11" t="s">
        <v>26</v>
      </c>
      <c r="F128" s="11" t="s">
        <v>27</v>
      </c>
      <c r="G128" s="13" t="s">
        <v>78</v>
      </c>
      <c r="H128" s="12" t="s">
        <v>64</v>
      </c>
      <c r="I128" s="12" t="s">
        <v>64</v>
      </c>
      <c r="J128" s="12"/>
      <c r="K128" s="28" t="str">
        <f>"180,0"</f>
        <v>180,0</v>
      </c>
      <c r="L128" s="32" t="str">
        <f>"101,2680"</f>
        <v>101,2680</v>
      </c>
      <c r="M128" s="11" t="s">
        <v>628</v>
      </c>
    </row>
    <row r="129" spans="1:13" x14ac:dyDescent="0.2">
      <c r="A129" s="28" t="s">
        <v>680</v>
      </c>
      <c r="B129" s="11" t="s">
        <v>681</v>
      </c>
      <c r="C129" s="11" t="s">
        <v>682</v>
      </c>
      <c r="D129" s="11" t="str">
        <f>"0,5622"</f>
        <v>0,5622</v>
      </c>
      <c r="E129" s="11" t="s">
        <v>683</v>
      </c>
      <c r="F129" s="11" t="s">
        <v>684</v>
      </c>
      <c r="G129" s="13" t="s">
        <v>84</v>
      </c>
      <c r="H129" s="13" t="s">
        <v>49</v>
      </c>
      <c r="I129" s="12" t="s">
        <v>43</v>
      </c>
      <c r="J129" s="12"/>
      <c r="K129" s="28" t="str">
        <f>"152,5"</f>
        <v>152,5</v>
      </c>
      <c r="L129" s="32" t="str">
        <f>"85,7355"</f>
        <v>85,7355</v>
      </c>
      <c r="M129" s="11" t="s">
        <v>128</v>
      </c>
    </row>
    <row r="130" spans="1:13" x14ac:dyDescent="0.2">
      <c r="A130" s="29" t="s">
        <v>686</v>
      </c>
      <c r="B130" s="8" t="s">
        <v>687</v>
      </c>
      <c r="C130" s="8" t="s">
        <v>688</v>
      </c>
      <c r="D130" s="8" t="str">
        <f>"0,5681"</f>
        <v>0,5681</v>
      </c>
      <c r="E130" s="8" t="s">
        <v>16</v>
      </c>
      <c r="F130" s="8" t="s">
        <v>17</v>
      </c>
      <c r="G130" s="10" t="s">
        <v>419</v>
      </c>
      <c r="H130" s="10" t="s">
        <v>77</v>
      </c>
      <c r="I130" s="10" t="s">
        <v>78</v>
      </c>
      <c r="J130" s="9"/>
      <c r="K130" s="29" t="str">
        <f>"180,0"</f>
        <v>180,0</v>
      </c>
      <c r="L130" s="33" t="str">
        <f>"106,6551"</f>
        <v>106,6551</v>
      </c>
      <c r="M130" s="8" t="s">
        <v>99</v>
      </c>
    </row>
    <row r="132" spans="1:13" ht="15" x14ac:dyDescent="0.2">
      <c r="A132" s="44" t="s">
        <v>689</v>
      </c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3" x14ac:dyDescent="0.2">
      <c r="A133" s="26" t="s">
        <v>690</v>
      </c>
      <c r="B133" s="14" t="s">
        <v>691</v>
      </c>
      <c r="C133" s="14" t="s">
        <v>692</v>
      </c>
      <c r="D133" s="14" t="str">
        <f>"0,5502"</f>
        <v>0,5502</v>
      </c>
      <c r="E133" s="14" t="s">
        <v>16</v>
      </c>
      <c r="F133" s="14" t="s">
        <v>17</v>
      </c>
      <c r="G133" s="16" t="s">
        <v>43</v>
      </c>
      <c r="H133" s="16" t="s">
        <v>419</v>
      </c>
      <c r="I133" s="15" t="s">
        <v>77</v>
      </c>
      <c r="J133" s="15"/>
      <c r="K133" s="26" t="str">
        <f>"170,0"</f>
        <v>170,0</v>
      </c>
      <c r="L133" s="30" t="str">
        <f>"93,5340"</f>
        <v>93,5340</v>
      </c>
      <c r="M133" s="14" t="s">
        <v>99</v>
      </c>
    </row>
    <row r="135" spans="1:13" ht="15" x14ac:dyDescent="0.2">
      <c r="E135" s="17" t="s">
        <v>160</v>
      </c>
    </row>
    <row r="136" spans="1:13" ht="15" x14ac:dyDescent="0.2">
      <c r="E136" s="17" t="s">
        <v>161</v>
      </c>
    </row>
    <row r="137" spans="1:13" ht="15" x14ac:dyDescent="0.2">
      <c r="E137" s="17" t="s">
        <v>162</v>
      </c>
    </row>
    <row r="138" spans="1:13" ht="15" x14ac:dyDescent="0.2">
      <c r="E138" s="17" t="s">
        <v>163</v>
      </c>
    </row>
    <row r="139" spans="1:13" ht="15" x14ac:dyDescent="0.2">
      <c r="E139" s="17" t="s">
        <v>163</v>
      </c>
    </row>
    <row r="140" spans="1:13" ht="15" x14ac:dyDescent="0.2">
      <c r="E140" s="17" t="s">
        <v>164</v>
      </c>
    </row>
    <row r="141" spans="1:13" ht="15" x14ac:dyDescent="0.2">
      <c r="E141" s="17"/>
    </row>
    <row r="143" spans="1:13" ht="18" x14ac:dyDescent="0.25">
      <c r="A143" s="18" t="s">
        <v>165</v>
      </c>
      <c r="B143" s="18"/>
    </row>
    <row r="144" spans="1:13" ht="15" x14ac:dyDescent="0.2">
      <c r="A144" s="19" t="s">
        <v>166</v>
      </c>
      <c r="B144" s="19"/>
    </row>
    <row r="145" spans="1:5" ht="14.25" x14ac:dyDescent="0.2">
      <c r="A145" s="21"/>
      <c r="B145" s="22" t="s">
        <v>167</v>
      </c>
    </row>
    <row r="146" spans="1:5" ht="15" x14ac:dyDescent="0.2">
      <c r="A146" s="23" t="s">
        <v>168</v>
      </c>
      <c r="B146" s="23" t="s">
        <v>169</v>
      </c>
      <c r="C146" s="23" t="s">
        <v>170</v>
      </c>
      <c r="D146" s="23" t="s">
        <v>171</v>
      </c>
      <c r="E146" s="23" t="s">
        <v>172</v>
      </c>
    </row>
    <row r="147" spans="1:5" x14ac:dyDescent="0.2">
      <c r="A147" s="20" t="s">
        <v>314</v>
      </c>
      <c r="B147" s="4" t="s">
        <v>167</v>
      </c>
      <c r="C147" s="4" t="s">
        <v>693</v>
      </c>
      <c r="D147" s="4" t="s">
        <v>18</v>
      </c>
      <c r="E147" s="24" t="s">
        <v>694</v>
      </c>
    </row>
    <row r="148" spans="1:5" x14ac:dyDescent="0.2">
      <c r="A148" s="20" t="s">
        <v>288</v>
      </c>
      <c r="B148" s="4" t="s">
        <v>167</v>
      </c>
      <c r="C148" s="4" t="s">
        <v>695</v>
      </c>
      <c r="D148" s="4" t="s">
        <v>294</v>
      </c>
      <c r="E148" s="24" t="s">
        <v>696</v>
      </c>
    </row>
    <row r="149" spans="1:5" x14ac:dyDescent="0.2">
      <c r="A149" s="20" t="s">
        <v>295</v>
      </c>
      <c r="B149" s="4" t="s">
        <v>167</v>
      </c>
      <c r="C149" s="4" t="s">
        <v>695</v>
      </c>
      <c r="D149" s="4" t="s">
        <v>292</v>
      </c>
      <c r="E149" s="24" t="s">
        <v>697</v>
      </c>
    </row>
    <row r="150" spans="1:5" x14ac:dyDescent="0.2">
      <c r="A150" s="20" t="s">
        <v>300</v>
      </c>
      <c r="B150" s="4" t="s">
        <v>167</v>
      </c>
      <c r="C150" s="4" t="s">
        <v>695</v>
      </c>
      <c r="D150" s="4" t="s">
        <v>305</v>
      </c>
      <c r="E150" s="24" t="s">
        <v>698</v>
      </c>
    </row>
    <row r="151" spans="1:5" x14ac:dyDescent="0.2">
      <c r="A151" s="20" t="s">
        <v>253</v>
      </c>
      <c r="B151" s="4" t="s">
        <v>167</v>
      </c>
      <c r="C151" s="4" t="s">
        <v>699</v>
      </c>
      <c r="D151" s="4" t="s">
        <v>260</v>
      </c>
      <c r="E151" s="24" t="s">
        <v>700</v>
      </c>
    </row>
    <row r="152" spans="1:5" x14ac:dyDescent="0.2">
      <c r="A152" s="20" t="s">
        <v>271</v>
      </c>
      <c r="B152" s="4" t="s">
        <v>167</v>
      </c>
      <c r="C152" s="4" t="s">
        <v>701</v>
      </c>
      <c r="D152" s="4" t="s">
        <v>261</v>
      </c>
      <c r="E152" s="24" t="s">
        <v>702</v>
      </c>
    </row>
    <row r="153" spans="1:5" x14ac:dyDescent="0.2">
      <c r="A153" s="20" t="s">
        <v>321</v>
      </c>
      <c r="B153" s="4" t="s">
        <v>167</v>
      </c>
      <c r="C153" s="4" t="s">
        <v>693</v>
      </c>
      <c r="D153" s="4" t="s">
        <v>325</v>
      </c>
      <c r="E153" s="24" t="s">
        <v>703</v>
      </c>
    </row>
    <row r="154" spans="1:5" x14ac:dyDescent="0.2">
      <c r="A154" s="20" t="s">
        <v>263</v>
      </c>
      <c r="B154" s="4" t="s">
        <v>167</v>
      </c>
      <c r="C154" s="4" t="s">
        <v>699</v>
      </c>
      <c r="D154" s="4" t="s">
        <v>267</v>
      </c>
      <c r="E154" s="24" t="s">
        <v>704</v>
      </c>
    </row>
    <row r="156" spans="1:5" ht="14.25" x14ac:dyDescent="0.2">
      <c r="A156" s="21"/>
      <c r="B156" s="22" t="s">
        <v>193</v>
      </c>
    </row>
    <row r="157" spans="1:5" ht="15" x14ac:dyDescent="0.2">
      <c r="A157" s="23" t="s">
        <v>168</v>
      </c>
      <c r="B157" s="23" t="s">
        <v>169</v>
      </c>
      <c r="C157" s="23" t="s">
        <v>170</v>
      </c>
      <c r="D157" s="23" t="s">
        <v>171</v>
      </c>
      <c r="E157" s="23" t="s">
        <v>172</v>
      </c>
    </row>
    <row r="158" spans="1:5" x14ac:dyDescent="0.2">
      <c r="A158" s="20" t="s">
        <v>332</v>
      </c>
      <c r="B158" s="4" t="s">
        <v>203</v>
      </c>
      <c r="C158" s="4" t="s">
        <v>188</v>
      </c>
      <c r="D158" s="4" t="s">
        <v>293</v>
      </c>
      <c r="E158" s="24" t="s">
        <v>705</v>
      </c>
    </row>
    <row r="159" spans="1:5" x14ac:dyDescent="0.2">
      <c r="A159" s="20" t="s">
        <v>308</v>
      </c>
      <c r="B159" s="4" t="s">
        <v>201</v>
      </c>
      <c r="C159" s="4" t="s">
        <v>695</v>
      </c>
      <c r="D159" s="4" t="s">
        <v>259</v>
      </c>
      <c r="E159" s="24" t="s">
        <v>706</v>
      </c>
    </row>
    <row r="160" spans="1:5" x14ac:dyDescent="0.2">
      <c r="A160" s="20" t="s">
        <v>327</v>
      </c>
      <c r="B160" s="4" t="s">
        <v>203</v>
      </c>
      <c r="C160" s="4" t="s">
        <v>693</v>
      </c>
      <c r="D160" s="4" t="s">
        <v>325</v>
      </c>
      <c r="E160" s="24" t="s">
        <v>707</v>
      </c>
    </row>
    <row r="161" spans="1:5" x14ac:dyDescent="0.2">
      <c r="A161" s="20" t="s">
        <v>278</v>
      </c>
      <c r="B161" s="4" t="s">
        <v>203</v>
      </c>
      <c r="C161" s="4" t="s">
        <v>708</v>
      </c>
      <c r="D161" s="4" t="s">
        <v>260</v>
      </c>
      <c r="E161" s="24" t="s">
        <v>709</v>
      </c>
    </row>
    <row r="164" spans="1:5" ht="15" x14ac:dyDescent="0.2">
      <c r="A164" s="19" t="s">
        <v>176</v>
      </c>
      <c r="B164" s="19"/>
    </row>
    <row r="165" spans="1:5" ht="14.25" x14ac:dyDescent="0.2">
      <c r="A165" s="21"/>
      <c r="B165" s="22" t="s">
        <v>710</v>
      </c>
    </row>
    <row r="166" spans="1:5" ht="15" x14ac:dyDescent="0.2">
      <c r="A166" s="23" t="s">
        <v>168</v>
      </c>
      <c r="B166" s="23" t="s">
        <v>169</v>
      </c>
      <c r="C166" s="23" t="s">
        <v>170</v>
      </c>
      <c r="D166" s="23" t="s">
        <v>171</v>
      </c>
      <c r="E166" s="23" t="s">
        <v>172</v>
      </c>
    </row>
    <row r="167" spans="1:5" x14ac:dyDescent="0.2">
      <c r="A167" s="20" t="s">
        <v>377</v>
      </c>
      <c r="B167" s="4" t="s">
        <v>711</v>
      </c>
      <c r="C167" s="4" t="s">
        <v>173</v>
      </c>
      <c r="D167" s="4" t="s">
        <v>127</v>
      </c>
      <c r="E167" s="24" t="s">
        <v>712</v>
      </c>
    </row>
    <row r="168" spans="1:5" x14ac:dyDescent="0.2">
      <c r="A168" s="20" t="s">
        <v>337</v>
      </c>
      <c r="B168" s="4" t="s">
        <v>711</v>
      </c>
      <c r="C168" s="4" t="s">
        <v>708</v>
      </c>
      <c r="D168" s="4" t="s">
        <v>293</v>
      </c>
      <c r="E168" s="24" t="s">
        <v>713</v>
      </c>
    </row>
    <row r="169" spans="1:5" x14ac:dyDescent="0.2">
      <c r="A169" s="20" t="s">
        <v>382</v>
      </c>
      <c r="B169" s="4" t="s">
        <v>711</v>
      </c>
      <c r="C169" s="4" t="s">
        <v>173</v>
      </c>
      <c r="D169" s="4" t="s">
        <v>294</v>
      </c>
      <c r="E169" s="24" t="s">
        <v>714</v>
      </c>
    </row>
    <row r="171" spans="1:5" ht="14.25" x14ac:dyDescent="0.2">
      <c r="A171" s="21"/>
      <c r="B171" s="22" t="s">
        <v>715</v>
      </c>
    </row>
    <row r="172" spans="1:5" ht="15" x14ac:dyDescent="0.2">
      <c r="A172" s="23" t="s">
        <v>168</v>
      </c>
      <c r="B172" s="23" t="s">
        <v>169</v>
      </c>
      <c r="C172" s="23" t="s">
        <v>170</v>
      </c>
      <c r="D172" s="23" t="s">
        <v>171</v>
      </c>
      <c r="E172" s="23" t="s">
        <v>172</v>
      </c>
    </row>
    <row r="173" spans="1:5" x14ac:dyDescent="0.2">
      <c r="A173" s="20" t="s">
        <v>581</v>
      </c>
      <c r="B173" s="4" t="s">
        <v>716</v>
      </c>
      <c r="C173" s="4" t="s">
        <v>177</v>
      </c>
      <c r="D173" s="4" t="s">
        <v>77</v>
      </c>
      <c r="E173" s="24" t="s">
        <v>717</v>
      </c>
    </row>
    <row r="174" spans="1:5" x14ac:dyDescent="0.2">
      <c r="A174" s="20" t="s">
        <v>584</v>
      </c>
      <c r="B174" s="4" t="s">
        <v>716</v>
      </c>
      <c r="C174" s="4" t="s">
        <v>177</v>
      </c>
      <c r="D174" s="4" t="s">
        <v>419</v>
      </c>
      <c r="E174" s="24" t="s">
        <v>718</v>
      </c>
    </row>
    <row r="175" spans="1:5" x14ac:dyDescent="0.2">
      <c r="A175" s="20" t="s">
        <v>342</v>
      </c>
      <c r="B175" s="4" t="s">
        <v>716</v>
      </c>
      <c r="C175" s="4" t="s">
        <v>693</v>
      </c>
      <c r="D175" s="4" t="s">
        <v>347</v>
      </c>
      <c r="E175" s="24" t="s">
        <v>719</v>
      </c>
    </row>
    <row r="176" spans="1:5" x14ac:dyDescent="0.2">
      <c r="A176" s="20" t="s">
        <v>479</v>
      </c>
      <c r="B176" s="4" t="s">
        <v>716</v>
      </c>
      <c r="C176" s="4" t="s">
        <v>183</v>
      </c>
      <c r="D176" s="4" t="s">
        <v>56</v>
      </c>
      <c r="E176" s="24" t="s">
        <v>720</v>
      </c>
    </row>
    <row r="177" spans="1:5" x14ac:dyDescent="0.2">
      <c r="A177" s="20" t="s">
        <v>348</v>
      </c>
      <c r="B177" s="4" t="s">
        <v>716</v>
      </c>
      <c r="C177" s="4" t="s">
        <v>693</v>
      </c>
      <c r="D177" s="4" t="s">
        <v>352</v>
      </c>
      <c r="E177" s="24" t="s">
        <v>721</v>
      </c>
    </row>
    <row r="179" spans="1:5" ht="14.25" x14ac:dyDescent="0.2">
      <c r="A179" s="21"/>
      <c r="B179" s="22" t="s">
        <v>167</v>
      </c>
    </row>
    <row r="180" spans="1:5" ht="15" x14ac:dyDescent="0.2">
      <c r="A180" s="23" t="s">
        <v>168</v>
      </c>
      <c r="B180" s="23" t="s">
        <v>169</v>
      </c>
      <c r="C180" s="23" t="s">
        <v>170</v>
      </c>
      <c r="D180" s="23" t="s">
        <v>171</v>
      </c>
      <c r="E180" s="23" t="s">
        <v>172</v>
      </c>
    </row>
    <row r="181" spans="1:5" x14ac:dyDescent="0.2">
      <c r="A181" s="20" t="s">
        <v>410</v>
      </c>
      <c r="B181" s="4" t="s">
        <v>167</v>
      </c>
      <c r="C181" s="4" t="s">
        <v>188</v>
      </c>
      <c r="D181" s="4" t="s">
        <v>64</v>
      </c>
      <c r="E181" s="24" t="s">
        <v>722</v>
      </c>
    </row>
    <row r="182" spans="1:5" x14ac:dyDescent="0.2">
      <c r="A182" s="20" t="s">
        <v>671</v>
      </c>
      <c r="B182" s="4" t="s">
        <v>167</v>
      </c>
      <c r="C182" s="4" t="s">
        <v>181</v>
      </c>
      <c r="D182" s="4" t="s">
        <v>134</v>
      </c>
      <c r="E182" s="24" t="s">
        <v>723</v>
      </c>
    </row>
    <row r="183" spans="1:5" x14ac:dyDescent="0.2">
      <c r="A183" s="20" t="s">
        <v>483</v>
      </c>
      <c r="B183" s="4" t="s">
        <v>167</v>
      </c>
      <c r="C183" s="4" t="s">
        <v>183</v>
      </c>
      <c r="D183" s="4" t="s">
        <v>64</v>
      </c>
      <c r="E183" s="24" t="s">
        <v>724</v>
      </c>
    </row>
    <row r="184" spans="1:5" x14ac:dyDescent="0.2">
      <c r="A184" s="20" t="s">
        <v>415</v>
      </c>
      <c r="B184" s="4" t="s">
        <v>167</v>
      </c>
      <c r="C184" s="4" t="s">
        <v>188</v>
      </c>
      <c r="D184" s="4" t="s">
        <v>77</v>
      </c>
      <c r="E184" s="24" t="s">
        <v>725</v>
      </c>
    </row>
    <row r="185" spans="1:5" x14ac:dyDescent="0.2">
      <c r="A185" s="20" t="s">
        <v>490</v>
      </c>
      <c r="B185" s="4" t="s">
        <v>167</v>
      </c>
      <c r="C185" s="4" t="s">
        <v>183</v>
      </c>
      <c r="D185" s="4" t="s">
        <v>496</v>
      </c>
      <c r="E185" s="24" t="s">
        <v>726</v>
      </c>
    </row>
    <row r="186" spans="1:5" x14ac:dyDescent="0.2">
      <c r="A186" s="20" t="s">
        <v>386</v>
      </c>
      <c r="B186" s="4" t="s">
        <v>167</v>
      </c>
      <c r="C186" s="4" t="s">
        <v>173</v>
      </c>
      <c r="D186" s="4" t="s">
        <v>85</v>
      </c>
      <c r="E186" s="24" t="s">
        <v>727</v>
      </c>
    </row>
    <row r="187" spans="1:5" x14ac:dyDescent="0.2">
      <c r="A187" s="20" t="s">
        <v>588</v>
      </c>
      <c r="B187" s="4" t="s">
        <v>167</v>
      </c>
      <c r="C187" s="4" t="s">
        <v>177</v>
      </c>
      <c r="D187" s="4" t="s">
        <v>65</v>
      </c>
      <c r="E187" s="24" t="s">
        <v>728</v>
      </c>
    </row>
    <row r="188" spans="1:5" x14ac:dyDescent="0.2">
      <c r="A188" s="20" t="s">
        <v>543</v>
      </c>
      <c r="B188" s="4" t="s">
        <v>167</v>
      </c>
      <c r="C188" s="4" t="s">
        <v>186</v>
      </c>
      <c r="D188" s="4" t="s">
        <v>64</v>
      </c>
      <c r="E188" s="24" t="s">
        <v>729</v>
      </c>
    </row>
    <row r="189" spans="1:5" x14ac:dyDescent="0.2">
      <c r="A189" s="20" t="s">
        <v>421</v>
      </c>
      <c r="B189" s="4" t="s">
        <v>167</v>
      </c>
      <c r="C189" s="4" t="s">
        <v>188</v>
      </c>
      <c r="D189" s="4" t="s">
        <v>50</v>
      </c>
      <c r="E189" s="24" t="s">
        <v>730</v>
      </c>
    </row>
    <row r="190" spans="1:5" x14ac:dyDescent="0.2">
      <c r="A190" s="20" t="s">
        <v>643</v>
      </c>
      <c r="B190" s="4" t="s">
        <v>167</v>
      </c>
      <c r="C190" s="4" t="s">
        <v>179</v>
      </c>
      <c r="D190" s="4" t="s">
        <v>64</v>
      </c>
      <c r="E190" s="24" t="s">
        <v>731</v>
      </c>
    </row>
    <row r="191" spans="1:5" x14ac:dyDescent="0.2">
      <c r="A191" s="20" t="s">
        <v>424</v>
      </c>
      <c r="B191" s="4" t="s">
        <v>167</v>
      </c>
      <c r="C191" s="4" t="s">
        <v>188</v>
      </c>
      <c r="D191" s="4" t="s">
        <v>50</v>
      </c>
      <c r="E191" s="24" t="s">
        <v>732</v>
      </c>
    </row>
    <row r="192" spans="1:5" x14ac:dyDescent="0.2">
      <c r="A192" s="20" t="s">
        <v>497</v>
      </c>
      <c r="B192" s="4" t="s">
        <v>167</v>
      </c>
      <c r="C192" s="4" t="s">
        <v>183</v>
      </c>
      <c r="D192" s="4" t="s">
        <v>43</v>
      </c>
      <c r="E192" s="24" t="s">
        <v>733</v>
      </c>
    </row>
    <row r="193" spans="1:5" x14ac:dyDescent="0.2">
      <c r="A193" s="20" t="s">
        <v>649</v>
      </c>
      <c r="B193" s="4" t="s">
        <v>167</v>
      </c>
      <c r="C193" s="4" t="s">
        <v>179</v>
      </c>
      <c r="D193" s="4" t="s">
        <v>496</v>
      </c>
      <c r="E193" s="24" t="s">
        <v>734</v>
      </c>
    </row>
    <row r="194" spans="1:5" x14ac:dyDescent="0.2">
      <c r="A194" s="20" t="s">
        <v>593</v>
      </c>
      <c r="B194" s="4" t="s">
        <v>167</v>
      </c>
      <c r="C194" s="4" t="s">
        <v>177</v>
      </c>
      <c r="D194" s="4" t="s">
        <v>419</v>
      </c>
      <c r="E194" s="24" t="s">
        <v>735</v>
      </c>
    </row>
    <row r="195" spans="1:5" x14ac:dyDescent="0.2">
      <c r="A195" s="20" t="s">
        <v>430</v>
      </c>
      <c r="B195" s="4" t="s">
        <v>167</v>
      </c>
      <c r="C195" s="4" t="s">
        <v>188</v>
      </c>
      <c r="D195" s="4" t="s">
        <v>42</v>
      </c>
      <c r="E195" s="24" t="s">
        <v>736</v>
      </c>
    </row>
    <row r="196" spans="1:5" x14ac:dyDescent="0.2">
      <c r="A196" s="20" t="s">
        <v>597</v>
      </c>
      <c r="B196" s="4" t="s">
        <v>167</v>
      </c>
      <c r="C196" s="4" t="s">
        <v>177</v>
      </c>
      <c r="D196" s="4" t="s">
        <v>419</v>
      </c>
      <c r="E196" s="24" t="s">
        <v>737</v>
      </c>
    </row>
    <row r="197" spans="1:5" x14ac:dyDescent="0.2">
      <c r="A197" s="20" t="s">
        <v>676</v>
      </c>
      <c r="B197" s="4" t="s">
        <v>167</v>
      </c>
      <c r="C197" s="4" t="s">
        <v>181</v>
      </c>
      <c r="D197" s="4" t="s">
        <v>78</v>
      </c>
      <c r="E197" s="24" t="s">
        <v>738</v>
      </c>
    </row>
    <row r="198" spans="1:5" x14ac:dyDescent="0.2">
      <c r="A198" s="20" t="s">
        <v>434</v>
      </c>
      <c r="B198" s="4" t="s">
        <v>167</v>
      </c>
      <c r="C198" s="4" t="s">
        <v>188</v>
      </c>
      <c r="D198" s="4" t="s">
        <v>42</v>
      </c>
      <c r="E198" s="24" t="s">
        <v>739</v>
      </c>
    </row>
    <row r="199" spans="1:5" x14ac:dyDescent="0.2">
      <c r="A199" s="20" t="s">
        <v>600</v>
      </c>
      <c r="B199" s="4" t="s">
        <v>167</v>
      </c>
      <c r="C199" s="4" t="s">
        <v>177</v>
      </c>
      <c r="D199" s="4" t="s">
        <v>419</v>
      </c>
      <c r="E199" s="24" t="s">
        <v>740</v>
      </c>
    </row>
    <row r="200" spans="1:5" x14ac:dyDescent="0.2">
      <c r="A200" s="20" t="s">
        <v>354</v>
      </c>
      <c r="B200" s="4" t="s">
        <v>167</v>
      </c>
      <c r="C200" s="4" t="s">
        <v>693</v>
      </c>
      <c r="D200" s="4" t="s">
        <v>56</v>
      </c>
      <c r="E200" s="24" t="s">
        <v>741</v>
      </c>
    </row>
    <row r="201" spans="1:5" x14ac:dyDescent="0.2">
      <c r="A201" s="20" t="s">
        <v>394</v>
      </c>
      <c r="B201" s="4" t="s">
        <v>167</v>
      </c>
      <c r="C201" s="4" t="s">
        <v>173</v>
      </c>
      <c r="D201" s="4" t="s">
        <v>393</v>
      </c>
      <c r="E201" s="24" t="s">
        <v>742</v>
      </c>
    </row>
    <row r="202" spans="1:5" x14ac:dyDescent="0.2">
      <c r="A202" s="20" t="s">
        <v>439</v>
      </c>
      <c r="B202" s="4" t="s">
        <v>167</v>
      </c>
      <c r="C202" s="4" t="s">
        <v>188</v>
      </c>
      <c r="D202" s="4" t="s">
        <v>84</v>
      </c>
      <c r="E202" s="24" t="s">
        <v>743</v>
      </c>
    </row>
    <row r="203" spans="1:5" x14ac:dyDescent="0.2">
      <c r="A203" s="20" t="s">
        <v>389</v>
      </c>
      <c r="B203" s="4" t="s">
        <v>167</v>
      </c>
      <c r="C203" s="4" t="s">
        <v>173</v>
      </c>
      <c r="D203" s="4" t="s">
        <v>380</v>
      </c>
      <c r="E203" s="24" t="s">
        <v>744</v>
      </c>
    </row>
    <row r="204" spans="1:5" x14ac:dyDescent="0.2">
      <c r="A204" s="20" t="s">
        <v>443</v>
      </c>
      <c r="B204" s="4" t="s">
        <v>167</v>
      </c>
      <c r="C204" s="4" t="s">
        <v>188</v>
      </c>
      <c r="D204" s="4" t="s">
        <v>127</v>
      </c>
      <c r="E204" s="24" t="s">
        <v>745</v>
      </c>
    </row>
    <row r="206" spans="1:5" ht="14.25" x14ac:dyDescent="0.2">
      <c r="A206" s="21"/>
      <c r="B206" s="22" t="s">
        <v>193</v>
      </c>
    </row>
    <row r="207" spans="1:5" ht="15" x14ac:dyDescent="0.2">
      <c r="A207" s="23" t="s">
        <v>168</v>
      </c>
      <c r="B207" s="23" t="s">
        <v>169</v>
      </c>
      <c r="C207" s="23" t="s">
        <v>170</v>
      </c>
      <c r="D207" s="23" t="s">
        <v>171</v>
      </c>
      <c r="E207" s="23" t="s">
        <v>172</v>
      </c>
    </row>
    <row r="208" spans="1:5" x14ac:dyDescent="0.2">
      <c r="A208" s="20" t="s">
        <v>474</v>
      </c>
      <c r="B208" s="4" t="s">
        <v>746</v>
      </c>
      <c r="C208" s="4" t="s">
        <v>188</v>
      </c>
      <c r="D208" s="4" t="s">
        <v>127</v>
      </c>
      <c r="E208" s="24" t="s">
        <v>747</v>
      </c>
    </row>
    <row r="209" spans="1:5" x14ac:dyDescent="0.2">
      <c r="A209" s="20" t="s">
        <v>467</v>
      </c>
      <c r="B209" s="4" t="s">
        <v>194</v>
      </c>
      <c r="C209" s="4" t="s">
        <v>188</v>
      </c>
      <c r="D209" s="4" t="s">
        <v>70</v>
      </c>
      <c r="E209" s="24" t="s">
        <v>748</v>
      </c>
    </row>
    <row r="210" spans="1:5" x14ac:dyDescent="0.2">
      <c r="A210" s="20" t="s">
        <v>490</v>
      </c>
      <c r="B210" s="4" t="s">
        <v>198</v>
      </c>
      <c r="C210" s="4" t="s">
        <v>183</v>
      </c>
      <c r="D210" s="4" t="s">
        <v>496</v>
      </c>
      <c r="E210" s="24" t="s">
        <v>749</v>
      </c>
    </row>
    <row r="211" spans="1:5" x14ac:dyDescent="0.2">
      <c r="A211" s="20" t="s">
        <v>539</v>
      </c>
      <c r="B211" s="4" t="s">
        <v>746</v>
      </c>
      <c r="C211" s="4" t="s">
        <v>183</v>
      </c>
      <c r="D211" s="4" t="s">
        <v>55</v>
      </c>
      <c r="E211" s="24" t="s">
        <v>750</v>
      </c>
    </row>
    <row r="212" spans="1:5" x14ac:dyDescent="0.2">
      <c r="A212" s="20" t="s">
        <v>612</v>
      </c>
      <c r="B212" s="4" t="s">
        <v>203</v>
      </c>
      <c r="C212" s="4" t="s">
        <v>177</v>
      </c>
      <c r="D212" s="4" t="s">
        <v>64</v>
      </c>
      <c r="E212" s="24" t="s">
        <v>751</v>
      </c>
    </row>
    <row r="213" spans="1:5" x14ac:dyDescent="0.2">
      <c r="A213" s="20" t="s">
        <v>615</v>
      </c>
      <c r="B213" s="4" t="s">
        <v>203</v>
      </c>
      <c r="C213" s="4" t="s">
        <v>177</v>
      </c>
      <c r="D213" s="4" t="s">
        <v>78</v>
      </c>
      <c r="E213" s="24" t="s">
        <v>752</v>
      </c>
    </row>
    <row r="214" spans="1:5" x14ac:dyDescent="0.2">
      <c r="A214" s="20" t="s">
        <v>620</v>
      </c>
      <c r="B214" s="4" t="s">
        <v>203</v>
      </c>
      <c r="C214" s="4" t="s">
        <v>177</v>
      </c>
      <c r="D214" s="4" t="s">
        <v>78</v>
      </c>
      <c r="E214" s="24" t="s">
        <v>753</v>
      </c>
    </row>
    <row r="215" spans="1:5" x14ac:dyDescent="0.2">
      <c r="A215" s="20" t="s">
        <v>455</v>
      </c>
      <c r="B215" s="4" t="s">
        <v>198</v>
      </c>
      <c r="C215" s="4" t="s">
        <v>188</v>
      </c>
      <c r="D215" s="4" t="s">
        <v>42</v>
      </c>
      <c r="E215" s="24" t="s">
        <v>754</v>
      </c>
    </row>
    <row r="216" spans="1:5" x14ac:dyDescent="0.2">
      <c r="A216" s="20" t="s">
        <v>521</v>
      </c>
      <c r="B216" s="4" t="s">
        <v>198</v>
      </c>
      <c r="C216" s="4" t="s">
        <v>183</v>
      </c>
      <c r="D216" s="4" t="s">
        <v>42</v>
      </c>
      <c r="E216" s="24" t="s">
        <v>755</v>
      </c>
    </row>
    <row r="217" spans="1:5" x14ac:dyDescent="0.2">
      <c r="A217" s="20" t="s">
        <v>685</v>
      </c>
      <c r="B217" s="4" t="s">
        <v>203</v>
      </c>
      <c r="C217" s="4" t="s">
        <v>181</v>
      </c>
      <c r="D217" s="4" t="s">
        <v>78</v>
      </c>
      <c r="E217" s="24" t="s">
        <v>756</v>
      </c>
    </row>
    <row r="218" spans="1:5" x14ac:dyDescent="0.2">
      <c r="A218" s="20" t="s">
        <v>406</v>
      </c>
      <c r="B218" s="4" t="s">
        <v>198</v>
      </c>
      <c r="C218" s="4" t="s">
        <v>173</v>
      </c>
      <c r="D218" s="4" t="s">
        <v>393</v>
      </c>
      <c r="E218" s="24" t="s">
        <v>757</v>
      </c>
    </row>
    <row r="219" spans="1:5" x14ac:dyDescent="0.2">
      <c r="A219" s="20" t="s">
        <v>665</v>
      </c>
      <c r="B219" s="4" t="s">
        <v>203</v>
      </c>
      <c r="C219" s="4" t="s">
        <v>179</v>
      </c>
      <c r="D219" s="4" t="s">
        <v>78</v>
      </c>
      <c r="E219" s="24" t="s">
        <v>758</v>
      </c>
    </row>
    <row r="220" spans="1:5" x14ac:dyDescent="0.2">
      <c r="A220" s="20" t="s">
        <v>471</v>
      </c>
      <c r="B220" s="4" t="s">
        <v>194</v>
      </c>
      <c r="C220" s="4" t="s">
        <v>188</v>
      </c>
      <c r="D220" s="4" t="s">
        <v>358</v>
      </c>
      <c r="E220" s="24" t="s">
        <v>759</v>
      </c>
    </row>
    <row r="221" spans="1:5" x14ac:dyDescent="0.2">
      <c r="A221" s="20" t="s">
        <v>569</v>
      </c>
      <c r="B221" s="4" t="s">
        <v>198</v>
      </c>
      <c r="C221" s="4" t="s">
        <v>186</v>
      </c>
      <c r="D221" s="4" t="s">
        <v>49</v>
      </c>
      <c r="E221" s="24" t="s">
        <v>760</v>
      </c>
    </row>
    <row r="222" spans="1:5" x14ac:dyDescent="0.2">
      <c r="A222" s="20" t="s">
        <v>649</v>
      </c>
      <c r="B222" s="4" t="s">
        <v>203</v>
      </c>
      <c r="C222" s="4" t="s">
        <v>179</v>
      </c>
      <c r="D222" s="4" t="s">
        <v>496</v>
      </c>
      <c r="E222" s="24" t="s">
        <v>761</v>
      </c>
    </row>
    <row r="223" spans="1:5" x14ac:dyDescent="0.2">
      <c r="A223" s="20" t="s">
        <v>565</v>
      </c>
      <c r="B223" s="4" t="s">
        <v>198</v>
      </c>
      <c r="C223" s="4" t="s">
        <v>186</v>
      </c>
      <c r="D223" s="4" t="s">
        <v>43</v>
      </c>
      <c r="E223" s="24" t="s">
        <v>762</v>
      </c>
    </row>
    <row r="224" spans="1:5" x14ac:dyDescent="0.2">
      <c r="A224" s="20" t="s">
        <v>632</v>
      </c>
      <c r="B224" s="4" t="s">
        <v>194</v>
      </c>
      <c r="C224" s="4" t="s">
        <v>177</v>
      </c>
      <c r="D224" s="4" t="s">
        <v>127</v>
      </c>
      <c r="E224" s="24" t="s">
        <v>763</v>
      </c>
    </row>
    <row r="225" spans="1:5" x14ac:dyDescent="0.2">
      <c r="A225" s="20" t="s">
        <v>557</v>
      </c>
      <c r="B225" s="4" t="s">
        <v>203</v>
      </c>
      <c r="C225" s="4" t="s">
        <v>186</v>
      </c>
      <c r="D225" s="4" t="s">
        <v>43</v>
      </c>
      <c r="E225" s="24" t="s">
        <v>764</v>
      </c>
    </row>
    <row r="226" spans="1:5" x14ac:dyDescent="0.2">
      <c r="A226" s="20" t="s">
        <v>359</v>
      </c>
      <c r="B226" s="4" t="s">
        <v>198</v>
      </c>
      <c r="C226" s="4" t="s">
        <v>693</v>
      </c>
      <c r="D226" s="4" t="s">
        <v>55</v>
      </c>
      <c r="E226" s="24" t="s">
        <v>765</v>
      </c>
    </row>
    <row r="227" spans="1:5" x14ac:dyDescent="0.2">
      <c r="A227" s="20" t="s">
        <v>637</v>
      </c>
      <c r="B227" s="4" t="s">
        <v>196</v>
      </c>
      <c r="C227" s="4" t="s">
        <v>177</v>
      </c>
      <c r="D227" s="4" t="s">
        <v>121</v>
      </c>
      <c r="E227" s="24" t="s">
        <v>766</v>
      </c>
    </row>
    <row r="228" spans="1:5" x14ac:dyDescent="0.2">
      <c r="A228" s="20" t="s">
        <v>534</v>
      </c>
      <c r="B228" s="4" t="s">
        <v>196</v>
      </c>
      <c r="C228" s="4" t="s">
        <v>183</v>
      </c>
      <c r="D228" s="4" t="s">
        <v>347</v>
      </c>
      <c r="E228" s="24" t="s">
        <v>767</v>
      </c>
    </row>
    <row r="229" spans="1:5" x14ac:dyDescent="0.2">
      <c r="A229" s="20" t="s">
        <v>530</v>
      </c>
      <c r="B229" s="4" t="s">
        <v>201</v>
      </c>
      <c r="C229" s="4" t="s">
        <v>183</v>
      </c>
      <c r="D229" s="4" t="s">
        <v>122</v>
      </c>
      <c r="E229" s="24" t="s">
        <v>768</v>
      </c>
    </row>
    <row r="230" spans="1:5" x14ac:dyDescent="0.2">
      <c r="A230" s="20" t="s">
        <v>576</v>
      </c>
      <c r="B230" s="4" t="s">
        <v>201</v>
      </c>
      <c r="C230" s="4" t="s">
        <v>186</v>
      </c>
      <c r="D230" s="4" t="s">
        <v>127</v>
      </c>
      <c r="E230" s="24" t="s">
        <v>769</v>
      </c>
    </row>
    <row r="231" spans="1:5" x14ac:dyDescent="0.2">
      <c r="A231" s="20" t="s">
        <v>459</v>
      </c>
      <c r="B231" s="4" t="s">
        <v>198</v>
      </c>
      <c r="C231" s="4" t="s">
        <v>188</v>
      </c>
      <c r="D231" s="4" t="s">
        <v>393</v>
      </c>
      <c r="E231" s="24" t="s">
        <v>770</v>
      </c>
    </row>
  </sheetData>
  <mergeCells count="27">
    <mergeCell ref="A1:M2"/>
    <mergeCell ref="A3:A4"/>
    <mergeCell ref="B3:B4"/>
    <mergeCell ref="C3:C4"/>
    <mergeCell ref="D3:D4"/>
    <mergeCell ref="E3:E4"/>
    <mergeCell ref="F3:F4"/>
    <mergeCell ref="G3:J3"/>
    <mergeCell ref="A42:L42"/>
    <mergeCell ref="K3:K4"/>
    <mergeCell ref="L3:L4"/>
    <mergeCell ref="M3:M4"/>
    <mergeCell ref="A5:L5"/>
    <mergeCell ref="A9:L9"/>
    <mergeCell ref="A12:L12"/>
    <mergeCell ref="A16:L16"/>
    <mergeCell ref="A22:L22"/>
    <mergeCell ref="A27:L27"/>
    <mergeCell ref="A30:L30"/>
    <mergeCell ref="A33:L33"/>
    <mergeCell ref="A132:L132"/>
    <mergeCell ref="A52:L52"/>
    <mergeCell ref="A71:L71"/>
    <mergeCell ref="A89:L89"/>
    <mergeCell ref="A101:L101"/>
    <mergeCell ref="A118:L118"/>
    <mergeCell ref="A126:L1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A14" sqref="A14:J14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8.5703125" style="4" bestFit="1" customWidth="1"/>
    <col min="7" max="7" width="5.5703125" style="3" bestFit="1" customWidth="1"/>
    <col min="8" max="8" width="4.5703125" style="36" bestFit="1" customWidth="1"/>
    <col min="9" max="9" width="7.85546875" style="4" bestFit="1" customWidth="1"/>
    <col min="10" max="10" width="9.5703125" style="3" bestFit="1" customWidth="1"/>
    <col min="11" max="11" width="12.7109375" style="4" bestFit="1" customWidth="1"/>
    <col min="12" max="16384" width="9.140625" style="3"/>
  </cols>
  <sheetData>
    <row r="1" spans="1:11" s="2" customFormat="1" ht="29.1" customHeight="1" x14ac:dyDescent="0.2">
      <c r="A1" s="45" t="s">
        <v>944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804</v>
      </c>
      <c r="E3" s="55" t="s">
        <v>3</v>
      </c>
      <c r="F3" s="55" t="s">
        <v>7</v>
      </c>
      <c r="G3" s="55" t="s">
        <v>805</v>
      </c>
      <c r="H3" s="55"/>
      <c r="I3" s="55" t="s">
        <v>806</v>
      </c>
      <c r="J3" s="55" t="s">
        <v>2</v>
      </c>
      <c r="K3" s="41" t="s">
        <v>1</v>
      </c>
    </row>
    <row r="4" spans="1:11" s="1" customFormat="1" ht="35.25" customHeight="1" thickBot="1" x14ac:dyDescent="0.25">
      <c r="A4" s="52"/>
      <c r="B4" s="54"/>
      <c r="C4" s="54"/>
      <c r="D4" s="54"/>
      <c r="E4" s="54"/>
      <c r="F4" s="54"/>
      <c r="G4" s="25" t="s">
        <v>807</v>
      </c>
      <c r="H4" s="34" t="s">
        <v>808</v>
      </c>
      <c r="I4" s="54"/>
      <c r="J4" s="54"/>
      <c r="K4" s="42"/>
    </row>
    <row r="5" spans="1:11" ht="15" x14ac:dyDescent="0.2">
      <c r="A5" s="43" t="s">
        <v>37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x14ac:dyDescent="0.2">
      <c r="A6" s="27" t="s">
        <v>39</v>
      </c>
      <c r="B6" s="5" t="s">
        <v>40</v>
      </c>
      <c r="C6" s="5" t="s">
        <v>41</v>
      </c>
      <c r="D6" s="5" t="str">
        <f>"0,6618"</f>
        <v>0,6618</v>
      </c>
      <c r="E6" s="5" t="s">
        <v>26</v>
      </c>
      <c r="F6" s="5" t="s">
        <v>27</v>
      </c>
      <c r="G6" s="7" t="s">
        <v>293</v>
      </c>
      <c r="H6" s="38" t="s">
        <v>813</v>
      </c>
      <c r="I6" s="27" t="str">
        <f>"3120,0"</f>
        <v>3120,0</v>
      </c>
      <c r="J6" s="31" t="str">
        <f>"2064,6601"</f>
        <v>2064,6601</v>
      </c>
      <c r="K6" s="5" t="s">
        <v>128</v>
      </c>
    </row>
    <row r="7" spans="1:11" x14ac:dyDescent="0.2">
      <c r="A7" s="29" t="s">
        <v>945</v>
      </c>
      <c r="B7" s="8" t="s">
        <v>946</v>
      </c>
      <c r="C7" s="8" t="s">
        <v>840</v>
      </c>
      <c r="D7" s="8" t="str">
        <f>"0,6600"</f>
        <v>0,6600</v>
      </c>
      <c r="E7" s="8" t="s">
        <v>26</v>
      </c>
      <c r="F7" s="8" t="s">
        <v>27</v>
      </c>
      <c r="G7" s="10" t="s">
        <v>293</v>
      </c>
      <c r="H7" s="40" t="s">
        <v>846</v>
      </c>
      <c r="I7" s="29" t="str">
        <f>"2480,0"</f>
        <v>2480,0</v>
      </c>
      <c r="J7" s="33" t="str">
        <f>"1636,9239"</f>
        <v>1636,9239</v>
      </c>
      <c r="K7" s="8" t="s">
        <v>947</v>
      </c>
    </row>
    <row r="9" spans="1:11" ht="15" x14ac:dyDescent="0.2">
      <c r="A9" s="44" t="s">
        <v>59</v>
      </c>
      <c r="B9" s="44"/>
      <c r="C9" s="44"/>
      <c r="D9" s="44"/>
      <c r="E9" s="44"/>
      <c r="F9" s="44"/>
      <c r="G9" s="44"/>
      <c r="H9" s="44"/>
      <c r="I9" s="44"/>
      <c r="J9" s="44"/>
    </row>
    <row r="10" spans="1:11" x14ac:dyDescent="0.2">
      <c r="A10" s="27" t="s">
        <v>948</v>
      </c>
      <c r="B10" s="5" t="s">
        <v>949</v>
      </c>
      <c r="C10" s="5" t="s">
        <v>509</v>
      </c>
      <c r="D10" s="5" t="str">
        <f>"0,6145"</f>
        <v>0,6145</v>
      </c>
      <c r="E10" s="5" t="s">
        <v>26</v>
      </c>
      <c r="F10" s="5" t="s">
        <v>27</v>
      </c>
      <c r="G10" s="7" t="s">
        <v>405</v>
      </c>
      <c r="H10" s="38" t="s">
        <v>816</v>
      </c>
      <c r="I10" s="27" t="str">
        <f>"3150,0"</f>
        <v>3150,0</v>
      </c>
      <c r="J10" s="31" t="str">
        <f>"1935,8325"</f>
        <v>1935,8325</v>
      </c>
      <c r="K10" s="5"/>
    </row>
    <row r="11" spans="1:11" x14ac:dyDescent="0.2">
      <c r="A11" s="28" t="s">
        <v>948</v>
      </c>
      <c r="B11" s="11" t="s">
        <v>950</v>
      </c>
      <c r="C11" s="11" t="s">
        <v>509</v>
      </c>
      <c r="D11" s="11" t="str">
        <f>"0,6145"</f>
        <v>0,6145</v>
      </c>
      <c r="E11" s="11" t="s">
        <v>26</v>
      </c>
      <c r="F11" s="11" t="s">
        <v>27</v>
      </c>
      <c r="G11" s="13" t="s">
        <v>405</v>
      </c>
      <c r="H11" s="39" t="s">
        <v>816</v>
      </c>
      <c r="I11" s="28" t="str">
        <f>"3150,0"</f>
        <v>3150,0</v>
      </c>
      <c r="J11" s="32" t="str">
        <f>"2067,4691"</f>
        <v>2067,4691</v>
      </c>
      <c r="K11" s="11"/>
    </row>
    <row r="12" spans="1:11" x14ac:dyDescent="0.2">
      <c r="A12" s="29" t="s">
        <v>951</v>
      </c>
      <c r="B12" s="8" t="s">
        <v>952</v>
      </c>
      <c r="C12" s="8" t="s">
        <v>537</v>
      </c>
      <c r="D12" s="8" t="str">
        <f>"0,6217"</f>
        <v>0,6217</v>
      </c>
      <c r="E12" s="8" t="s">
        <v>26</v>
      </c>
      <c r="F12" s="8" t="s">
        <v>27</v>
      </c>
      <c r="G12" s="10" t="s">
        <v>319</v>
      </c>
      <c r="H12" s="40" t="s">
        <v>953</v>
      </c>
      <c r="I12" s="29" t="str">
        <f>"2887,5"</f>
        <v>2887,5</v>
      </c>
      <c r="J12" s="33" t="str">
        <f>"1998,1724"</f>
        <v>1998,1724</v>
      </c>
      <c r="K12" s="8"/>
    </row>
    <row r="14" spans="1:11" ht="15" x14ac:dyDescent="0.2">
      <c r="A14" s="44" t="s">
        <v>72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">
      <c r="A15" s="26" t="s">
        <v>954</v>
      </c>
      <c r="B15" s="14" t="s">
        <v>955</v>
      </c>
      <c r="C15" s="14" t="s">
        <v>956</v>
      </c>
      <c r="D15" s="14" t="str">
        <f>"0,6100"</f>
        <v>0,6100</v>
      </c>
      <c r="E15" s="14" t="s">
        <v>16</v>
      </c>
      <c r="F15" s="14" t="s">
        <v>266</v>
      </c>
      <c r="G15" s="16" t="s">
        <v>28</v>
      </c>
      <c r="H15" s="35" t="s">
        <v>957</v>
      </c>
      <c r="I15" s="26" t="str">
        <f>"3422,5"</f>
        <v>3422,5</v>
      </c>
      <c r="J15" s="30" t="str">
        <f>"2087,7250"</f>
        <v>2087,7250</v>
      </c>
      <c r="K15" s="14" t="s">
        <v>958</v>
      </c>
    </row>
    <row r="17" spans="1:11" ht="15" x14ac:dyDescent="0.2">
      <c r="A17" s="44" t="s">
        <v>91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1" x14ac:dyDescent="0.2">
      <c r="A18" s="27" t="s">
        <v>959</v>
      </c>
      <c r="B18" s="5" t="s">
        <v>102</v>
      </c>
      <c r="C18" s="5" t="s">
        <v>103</v>
      </c>
      <c r="D18" s="5" t="str">
        <f>"0,5694"</f>
        <v>0,5694</v>
      </c>
      <c r="E18" s="5" t="s">
        <v>26</v>
      </c>
      <c r="F18" s="5" t="s">
        <v>27</v>
      </c>
      <c r="G18" s="7" t="s">
        <v>881</v>
      </c>
      <c r="H18" s="38" t="s">
        <v>960</v>
      </c>
      <c r="I18" s="27" t="str">
        <f>"2902,5"</f>
        <v>2902,5</v>
      </c>
      <c r="J18" s="31" t="str">
        <f>"1652,6835"</f>
        <v>1652,6835</v>
      </c>
      <c r="K18" s="5"/>
    </row>
    <row r="19" spans="1:11" x14ac:dyDescent="0.2">
      <c r="A19" s="29" t="s">
        <v>117</v>
      </c>
      <c r="B19" s="8" t="s">
        <v>961</v>
      </c>
      <c r="C19" s="8" t="s">
        <v>119</v>
      </c>
      <c r="D19" s="8" t="str">
        <f>"0,5710"</f>
        <v>0,5710</v>
      </c>
      <c r="E19" s="8" t="s">
        <v>26</v>
      </c>
      <c r="F19" s="8" t="s">
        <v>27</v>
      </c>
      <c r="G19" s="10" t="s">
        <v>347</v>
      </c>
      <c r="H19" s="40" t="s">
        <v>962</v>
      </c>
      <c r="I19" s="29" t="str">
        <f>"1050,0"</f>
        <v>1050,0</v>
      </c>
      <c r="J19" s="33" t="str">
        <f>"734,5130"</f>
        <v>734,5130</v>
      </c>
      <c r="K19" s="8" t="s">
        <v>128</v>
      </c>
    </row>
    <row r="21" spans="1:11" ht="15" x14ac:dyDescent="0.2">
      <c r="A21" s="44" t="s">
        <v>129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1" x14ac:dyDescent="0.2">
      <c r="A22" s="26" t="s">
        <v>148</v>
      </c>
      <c r="B22" s="14" t="s">
        <v>963</v>
      </c>
      <c r="C22" s="14" t="s">
        <v>150</v>
      </c>
      <c r="D22" s="14" t="str">
        <f>"0,5460"</f>
        <v>0,5460</v>
      </c>
      <c r="E22" s="14" t="s">
        <v>26</v>
      </c>
      <c r="F22" s="14" t="s">
        <v>27</v>
      </c>
      <c r="G22" s="16" t="s">
        <v>122</v>
      </c>
      <c r="H22" s="35" t="s">
        <v>964</v>
      </c>
      <c r="I22" s="26" t="str">
        <f>"1000,0"</f>
        <v>1000,0</v>
      </c>
      <c r="J22" s="30" t="str">
        <f>"680,3160"</f>
        <v>680,3160</v>
      </c>
      <c r="K22" s="14"/>
    </row>
    <row r="24" spans="1:11" ht="15" x14ac:dyDescent="0.2">
      <c r="E24" s="17" t="s">
        <v>160</v>
      </c>
    </row>
    <row r="25" spans="1:11" ht="15" x14ac:dyDescent="0.2">
      <c r="E25" s="17" t="s">
        <v>161</v>
      </c>
    </row>
    <row r="26" spans="1:11" ht="15" x14ac:dyDescent="0.2">
      <c r="E26" s="17" t="s">
        <v>162</v>
      </c>
    </row>
    <row r="27" spans="1:11" ht="15" x14ac:dyDescent="0.2">
      <c r="E27" s="17" t="s">
        <v>163</v>
      </c>
    </row>
    <row r="28" spans="1:11" ht="15" x14ac:dyDescent="0.2">
      <c r="E28" s="17" t="s">
        <v>163</v>
      </c>
    </row>
    <row r="29" spans="1:11" ht="15" x14ac:dyDescent="0.2">
      <c r="E29" s="17" t="s">
        <v>164</v>
      </c>
    </row>
    <row r="30" spans="1:11" ht="15" x14ac:dyDescent="0.2">
      <c r="E30" s="17"/>
    </row>
    <row r="32" spans="1:11" ht="18" x14ac:dyDescent="0.25">
      <c r="A32" s="18" t="s">
        <v>165</v>
      </c>
      <c r="B32" s="18"/>
    </row>
    <row r="33" spans="1:5" ht="15" x14ac:dyDescent="0.2">
      <c r="A33" s="19" t="s">
        <v>176</v>
      </c>
      <c r="B33" s="19"/>
    </row>
    <row r="34" spans="1:5" ht="14.25" x14ac:dyDescent="0.2">
      <c r="A34" s="21"/>
      <c r="B34" s="22" t="s">
        <v>167</v>
      </c>
    </row>
    <row r="35" spans="1:5" ht="15" x14ac:dyDescent="0.2">
      <c r="A35" s="23" t="s">
        <v>168</v>
      </c>
      <c r="B35" s="23" t="s">
        <v>169</v>
      </c>
      <c r="C35" s="23" t="s">
        <v>170</v>
      </c>
      <c r="D35" s="23" t="s">
        <v>171</v>
      </c>
      <c r="E35" s="23" t="s">
        <v>818</v>
      </c>
    </row>
    <row r="36" spans="1:5" x14ac:dyDescent="0.2">
      <c r="A36" s="20" t="s">
        <v>965</v>
      </c>
      <c r="B36" s="4" t="s">
        <v>167</v>
      </c>
      <c r="C36" s="4" t="s">
        <v>186</v>
      </c>
      <c r="D36" s="4" t="s">
        <v>966</v>
      </c>
      <c r="E36" s="24" t="s">
        <v>967</v>
      </c>
    </row>
    <row r="37" spans="1:5" x14ac:dyDescent="0.2">
      <c r="A37" s="20" t="s">
        <v>38</v>
      </c>
      <c r="B37" s="4" t="s">
        <v>167</v>
      </c>
      <c r="C37" s="4" t="s">
        <v>188</v>
      </c>
      <c r="D37" s="4" t="s">
        <v>968</v>
      </c>
      <c r="E37" s="24" t="s">
        <v>969</v>
      </c>
    </row>
    <row r="38" spans="1:5" x14ac:dyDescent="0.2">
      <c r="A38" s="20" t="s">
        <v>970</v>
      </c>
      <c r="B38" s="4" t="s">
        <v>167</v>
      </c>
      <c r="C38" s="4" t="s">
        <v>183</v>
      </c>
      <c r="D38" s="4" t="s">
        <v>971</v>
      </c>
      <c r="E38" s="24" t="s">
        <v>972</v>
      </c>
    </row>
    <row r="39" spans="1:5" x14ac:dyDescent="0.2">
      <c r="A39" s="20" t="s">
        <v>100</v>
      </c>
      <c r="B39" s="4" t="s">
        <v>167</v>
      </c>
      <c r="C39" s="4" t="s">
        <v>177</v>
      </c>
      <c r="D39" s="4" t="s">
        <v>973</v>
      </c>
      <c r="E39" s="24" t="s">
        <v>974</v>
      </c>
    </row>
    <row r="40" spans="1:5" x14ac:dyDescent="0.2">
      <c r="A40" s="20" t="s">
        <v>975</v>
      </c>
      <c r="B40" s="4" t="s">
        <v>167</v>
      </c>
      <c r="C40" s="4" t="s">
        <v>188</v>
      </c>
      <c r="D40" s="4" t="s">
        <v>901</v>
      </c>
      <c r="E40" s="24" t="s">
        <v>903</v>
      </c>
    </row>
    <row r="42" spans="1:5" ht="14.25" x14ac:dyDescent="0.2">
      <c r="A42" s="21"/>
      <c r="B42" s="22" t="s">
        <v>919</v>
      </c>
    </row>
    <row r="43" spans="1:5" ht="15" x14ac:dyDescent="0.2">
      <c r="A43" s="23" t="s">
        <v>168</v>
      </c>
      <c r="B43" s="23" t="s">
        <v>169</v>
      </c>
      <c r="C43" s="23" t="s">
        <v>170</v>
      </c>
      <c r="D43" s="23" t="s">
        <v>171</v>
      </c>
      <c r="E43" s="23" t="s">
        <v>818</v>
      </c>
    </row>
    <row r="44" spans="1:5" x14ac:dyDescent="0.2">
      <c r="A44" s="20" t="s">
        <v>970</v>
      </c>
      <c r="B44" s="4" t="s">
        <v>923</v>
      </c>
      <c r="C44" s="4" t="s">
        <v>183</v>
      </c>
      <c r="D44" s="4" t="s">
        <v>971</v>
      </c>
      <c r="E44" s="24" t="s">
        <v>976</v>
      </c>
    </row>
    <row r="45" spans="1:5" x14ac:dyDescent="0.2">
      <c r="A45" s="20" t="s">
        <v>66</v>
      </c>
      <c r="B45" s="4" t="s">
        <v>923</v>
      </c>
      <c r="C45" s="4" t="s">
        <v>183</v>
      </c>
      <c r="D45" s="4" t="s">
        <v>977</v>
      </c>
      <c r="E45" s="24" t="s">
        <v>978</v>
      </c>
    </row>
    <row r="46" spans="1:5" x14ac:dyDescent="0.2">
      <c r="A46" s="20" t="s">
        <v>116</v>
      </c>
      <c r="B46" s="4" t="s">
        <v>930</v>
      </c>
      <c r="C46" s="4" t="s">
        <v>177</v>
      </c>
      <c r="D46" s="4" t="s">
        <v>979</v>
      </c>
      <c r="E46" s="24" t="s">
        <v>980</v>
      </c>
    </row>
    <row r="47" spans="1:5" x14ac:dyDescent="0.2">
      <c r="A47" s="20" t="s">
        <v>147</v>
      </c>
      <c r="B47" s="4" t="s">
        <v>930</v>
      </c>
      <c r="C47" s="4" t="s">
        <v>179</v>
      </c>
      <c r="D47" s="4" t="s">
        <v>981</v>
      </c>
      <c r="E47" s="24" t="s">
        <v>982</v>
      </c>
    </row>
  </sheetData>
  <mergeCells count="16">
    <mergeCell ref="A21:J2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5:J5"/>
    <mergeCell ref="A9:J9"/>
    <mergeCell ref="A14:J14"/>
    <mergeCell ref="A17:J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F11" sqref="F11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26.28515625" style="4" bestFit="1" customWidth="1"/>
    <col min="7" max="7" width="4.5703125" style="3" bestFit="1" customWidth="1"/>
    <col min="8" max="8" width="4.5703125" style="36" bestFit="1" customWidth="1"/>
    <col min="9" max="9" width="7.85546875" style="4" bestFit="1" customWidth="1"/>
    <col min="10" max="10" width="9.5703125" style="3" bestFit="1" customWidth="1"/>
    <col min="11" max="11" width="13.5703125" style="4" bestFit="1" customWidth="1"/>
    <col min="12" max="16384" width="9.140625" style="3"/>
  </cols>
  <sheetData>
    <row r="1" spans="1:11" s="2" customFormat="1" ht="29.1" customHeight="1" x14ac:dyDescent="0.2">
      <c r="A1" s="45" t="s">
        <v>936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s="2" customFormat="1" ht="67.5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5" x14ac:dyDescent="0.2">
      <c r="A3" s="51" t="s">
        <v>0</v>
      </c>
      <c r="B3" s="53" t="s">
        <v>5</v>
      </c>
      <c r="C3" s="53" t="s">
        <v>6</v>
      </c>
      <c r="D3" s="55" t="s">
        <v>804</v>
      </c>
      <c r="E3" s="55" t="s">
        <v>3</v>
      </c>
      <c r="F3" s="55" t="s">
        <v>7</v>
      </c>
      <c r="G3" s="55" t="s">
        <v>805</v>
      </c>
      <c r="H3" s="55"/>
      <c r="I3" s="55" t="s">
        <v>806</v>
      </c>
      <c r="J3" s="55" t="s">
        <v>2</v>
      </c>
      <c r="K3" s="41" t="s">
        <v>1</v>
      </c>
    </row>
    <row r="4" spans="1:11" s="1" customFormat="1" ht="15.75" thickBot="1" x14ac:dyDescent="0.25">
      <c r="A4" s="52"/>
      <c r="B4" s="54"/>
      <c r="C4" s="54"/>
      <c r="D4" s="54"/>
      <c r="E4" s="54"/>
      <c r="F4" s="54"/>
      <c r="G4" s="25" t="s">
        <v>807</v>
      </c>
      <c r="H4" s="34" t="s">
        <v>808</v>
      </c>
      <c r="I4" s="54"/>
      <c r="J4" s="54"/>
      <c r="K4" s="42"/>
    </row>
    <row r="5" spans="1:11" ht="15" x14ac:dyDescent="0.2">
      <c r="A5" s="43" t="s">
        <v>277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x14ac:dyDescent="0.2">
      <c r="A6" s="26" t="s">
        <v>937</v>
      </c>
      <c r="B6" s="14" t="s">
        <v>938</v>
      </c>
      <c r="C6" s="14" t="s">
        <v>939</v>
      </c>
      <c r="D6" s="14" t="str">
        <f>"1,0684"</f>
        <v>1,0684</v>
      </c>
      <c r="E6" s="14" t="s">
        <v>16</v>
      </c>
      <c r="F6" s="14" t="s">
        <v>312</v>
      </c>
      <c r="G6" s="16" t="s">
        <v>809</v>
      </c>
      <c r="H6" s="35" t="s">
        <v>267</v>
      </c>
      <c r="I6" s="26" t="str">
        <f>"1237,5"</f>
        <v>1237,5</v>
      </c>
      <c r="J6" s="30" t="str">
        <f>"1322,1450"</f>
        <v>1322,1450</v>
      </c>
      <c r="K6" s="14" t="s">
        <v>940</v>
      </c>
    </row>
    <row r="8" spans="1:11" ht="15" x14ac:dyDescent="0.2">
      <c r="E8" s="17" t="s">
        <v>160</v>
      </c>
    </row>
    <row r="9" spans="1:11" ht="15" x14ac:dyDescent="0.2">
      <c r="E9" s="17" t="s">
        <v>161</v>
      </c>
    </row>
    <row r="10" spans="1:11" ht="15" x14ac:dyDescent="0.2">
      <c r="E10" s="17" t="s">
        <v>162</v>
      </c>
    </row>
    <row r="11" spans="1:11" ht="15" x14ac:dyDescent="0.2">
      <c r="E11" s="17" t="s">
        <v>163</v>
      </c>
    </row>
    <row r="12" spans="1:11" ht="15" x14ac:dyDescent="0.2">
      <c r="E12" s="17" t="s">
        <v>163</v>
      </c>
    </row>
    <row r="13" spans="1:11" ht="15" x14ac:dyDescent="0.2">
      <c r="E13" s="17" t="s">
        <v>164</v>
      </c>
    </row>
    <row r="14" spans="1:11" ht="15" x14ac:dyDescent="0.2">
      <c r="E14" s="17"/>
    </row>
    <row r="16" spans="1:11" ht="18" x14ac:dyDescent="0.25">
      <c r="A16" s="18" t="s">
        <v>165</v>
      </c>
      <c r="B16" s="18"/>
    </row>
    <row r="17" spans="1:5" ht="15" x14ac:dyDescent="0.2">
      <c r="A17" s="19" t="s">
        <v>166</v>
      </c>
      <c r="B17" s="19"/>
    </row>
    <row r="18" spans="1:5" ht="14.25" x14ac:dyDescent="0.2">
      <c r="A18" s="21"/>
      <c r="B18" s="22" t="s">
        <v>167</v>
      </c>
    </row>
    <row r="19" spans="1:5" ht="15" x14ac:dyDescent="0.2">
      <c r="A19" s="23" t="s">
        <v>168</v>
      </c>
      <c r="B19" s="23" t="s">
        <v>169</v>
      </c>
      <c r="C19" s="23" t="s">
        <v>170</v>
      </c>
      <c r="D19" s="23" t="s">
        <v>171</v>
      </c>
      <c r="E19" s="23" t="s">
        <v>818</v>
      </c>
    </row>
    <row r="20" spans="1:5" x14ac:dyDescent="0.2">
      <c r="A20" s="20" t="s">
        <v>941</v>
      </c>
      <c r="B20" s="4" t="s">
        <v>167</v>
      </c>
      <c r="C20" s="4" t="s">
        <v>708</v>
      </c>
      <c r="D20" s="4" t="s">
        <v>942</v>
      </c>
      <c r="E20" s="24" t="s">
        <v>943</v>
      </c>
    </row>
  </sheetData>
  <mergeCells count="12">
    <mergeCell ref="K3:K4"/>
    <mergeCell ref="A5:J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workbookViewId="0">
      <selection activeCell="C6" sqref="C6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30.28515625" style="4" bestFit="1" customWidth="1"/>
    <col min="7" max="7" width="5.5703125" style="3" bestFit="1" customWidth="1"/>
    <col min="8" max="8" width="4.5703125" style="36" bestFit="1" customWidth="1"/>
    <col min="9" max="9" width="7.85546875" style="4" bestFit="1" customWidth="1"/>
    <col min="10" max="10" width="9.5703125" style="3" bestFit="1" customWidth="1"/>
    <col min="11" max="11" width="17.85546875" style="4" bestFit="1" customWidth="1"/>
    <col min="12" max="16384" width="9.140625" style="3"/>
  </cols>
  <sheetData>
    <row r="1" spans="1:11" s="2" customFormat="1" ht="29.1" customHeight="1" x14ac:dyDescent="0.2">
      <c r="A1" s="45" t="s">
        <v>826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s="2" customFormat="1" ht="62.1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2.75" customHeight="1" x14ac:dyDescent="0.2">
      <c r="A3" s="51" t="s">
        <v>0</v>
      </c>
      <c r="B3" s="53" t="s">
        <v>5</v>
      </c>
      <c r="C3" s="53" t="s">
        <v>6</v>
      </c>
      <c r="D3" s="55" t="s">
        <v>804</v>
      </c>
      <c r="E3" s="55" t="s">
        <v>3</v>
      </c>
      <c r="F3" s="55" t="s">
        <v>7</v>
      </c>
      <c r="G3" s="55" t="s">
        <v>805</v>
      </c>
      <c r="H3" s="55"/>
      <c r="I3" s="55" t="s">
        <v>806</v>
      </c>
      <c r="J3" s="55" t="s">
        <v>2</v>
      </c>
      <c r="K3" s="41" t="s">
        <v>1</v>
      </c>
    </row>
    <row r="4" spans="1:11" s="1" customFormat="1" ht="31.5" customHeight="1" thickBot="1" x14ac:dyDescent="0.25">
      <c r="A4" s="52"/>
      <c r="B4" s="54"/>
      <c r="C4" s="54"/>
      <c r="D4" s="54"/>
      <c r="E4" s="54"/>
      <c r="F4" s="54"/>
      <c r="G4" s="25" t="s">
        <v>807</v>
      </c>
      <c r="H4" s="34" t="s">
        <v>808</v>
      </c>
      <c r="I4" s="54"/>
      <c r="J4" s="54"/>
      <c r="K4" s="42"/>
    </row>
    <row r="5" spans="1:11" ht="15" x14ac:dyDescent="0.2">
      <c r="A5" s="43" t="s">
        <v>270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x14ac:dyDescent="0.2">
      <c r="A6" s="26" t="s">
        <v>827</v>
      </c>
      <c r="B6" s="14" t="s">
        <v>273</v>
      </c>
      <c r="C6" s="14" t="s">
        <v>274</v>
      </c>
      <c r="D6" s="14" t="str">
        <f>"1,1076"</f>
        <v>1,1076</v>
      </c>
      <c r="E6" s="14" t="s">
        <v>26</v>
      </c>
      <c r="F6" s="14" t="s">
        <v>27</v>
      </c>
      <c r="G6" s="15" t="s">
        <v>260</v>
      </c>
      <c r="H6" s="37"/>
      <c r="I6" s="26" t="str">
        <f>"0.00"</f>
        <v>0.00</v>
      </c>
      <c r="J6" s="30" t="str">
        <f>"0,0000"</f>
        <v>0,0000</v>
      </c>
      <c r="K6" s="14" t="s">
        <v>276</v>
      </c>
    </row>
    <row r="8" spans="1:11" ht="15" x14ac:dyDescent="0.2">
      <c r="A8" s="44" t="s">
        <v>287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2">
      <c r="A9" s="26" t="s">
        <v>828</v>
      </c>
      <c r="B9" s="14" t="s">
        <v>829</v>
      </c>
      <c r="C9" s="14" t="s">
        <v>830</v>
      </c>
      <c r="D9" s="14" t="str">
        <f>"0,8356"</f>
        <v>0,8356</v>
      </c>
      <c r="E9" s="14" t="s">
        <v>26</v>
      </c>
      <c r="F9" s="14" t="s">
        <v>27</v>
      </c>
      <c r="G9" s="16" t="s">
        <v>325</v>
      </c>
      <c r="H9" s="35" t="s">
        <v>831</v>
      </c>
      <c r="I9" s="26" t="str">
        <f>"720,0"</f>
        <v>720,0</v>
      </c>
      <c r="J9" s="30" t="str">
        <f>"601,5960"</f>
        <v>601,5960</v>
      </c>
      <c r="K9" s="14" t="s">
        <v>832</v>
      </c>
    </row>
    <row r="10" spans="1:11" x14ac:dyDescent="0.2">
      <c r="I10" s="24"/>
      <c r="J10" s="2"/>
    </row>
    <row r="11" spans="1:11" ht="15" x14ac:dyDescent="0.2">
      <c r="A11" s="44" t="s">
        <v>313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">
      <c r="A12" s="26" t="s">
        <v>355</v>
      </c>
      <c r="B12" s="14" t="s">
        <v>356</v>
      </c>
      <c r="C12" s="14" t="s">
        <v>357</v>
      </c>
      <c r="D12" s="14" t="str">
        <f>"0,7531"</f>
        <v>0,7531</v>
      </c>
      <c r="E12" s="14" t="s">
        <v>26</v>
      </c>
      <c r="F12" s="14" t="s">
        <v>27</v>
      </c>
      <c r="G12" s="16" t="s">
        <v>833</v>
      </c>
      <c r="H12" s="35" t="s">
        <v>834</v>
      </c>
      <c r="I12" s="26" t="str">
        <f>"2430,0"</f>
        <v>2430,0</v>
      </c>
      <c r="J12" s="30" t="str">
        <f>"1830,1545"</f>
        <v>1830,1545</v>
      </c>
      <c r="K12" s="14" t="s">
        <v>128</v>
      </c>
    </row>
    <row r="14" spans="1:11" ht="15" x14ac:dyDescent="0.2">
      <c r="A14" s="44" t="s">
        <v>11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">
      <c r="A15" s="26" t="s">
        <v>835</v>
      </c>
      <c r="B15" s="14" t="s">
        <v>812</v>
      </c>
      <c r="C15" s="14" t="s">
        <v>836</v>
      </c>
      <c r="D15" s="14" t="str">
        <f>"0,7297"</f>
        <v>0,7297</v>
      </c>
      <c r="E15" s="14" t="s">
        <v>657</v>
      </c>
      <c r="F15" s="14" t="s">
        <v>658</v>
      </c>
      <c r="G15" s="16" t="s">
        <v>306</v>
      </c>
      <c r="H15" s="35" t="s">
        <v>837</v>
      </c>
      <c r="I15" s="26" t="str">
        <f>"2940,0"</f>
        <v>2940,0</v>
      </c>
      <c r="J15" s="30" t="str">
        <f>"2145,1711"</f>
        <v>2145,1711</v>
      </c>
      <c r="K15" s="14" t="s">
        <v>128</v>
      </c>
    </row>
    <row r="17" spans="1:11" ht="15" x14ac:dyDescent="0.2">
      <c r="A17" s="44" t="s">
        <v>37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1" x14ac:dyDescent="0.2">
      <c r="A18" s="27" t="s">
        <v>838</v>
      </c>
      <c r="B18" s="5" t="s">
        <v>839</v>
      </c>
      <c r="C18" s="5" t="s">
        <v>840</v>
      </c>
      <c r="D18" s="5" t="str">
        <f>"0,6600"</f>
        <v>0,6600</v>
      </c>
      <c r="E18" s="5" t="s">
        <v>26</v>
      </c>
      <c r="F18" s="5" t="s">
        <v>27</v>
      </c>
      <c r="G18" s="7" t="s">
        <v>293</v>
      </c>
      <c r="H18" s="38" t="s">
        <v>841</v>
      </c>
      <c r="I18" s="27" t="str">
        <f>"3040,0"</f>
        <v>3040,0</v>
      </c>
      <c r="J18" s="31" t="str">
        <f>"2006,5519"</f>
        <v>2006,5519</v>
      </c>
      <c r="K18" s="5" t="s">
        <v>128</v>
      </c>
    </row>
    <row r="19" spans="1:11" x14ac:dyDescent="0.2">
      <c r="A19" s="28" t="s">
        <v>842</v>
      </c>
      <c r="B19" s="11" t="s">
        <v>445</v>
      </c>
      <c r="C19" s="11" t="s">
        <v>446</v>
      </c>
      <c r="D19" s="11" t="str">
        <f>"0,6743"</f>
        <v>0,6743</v>
      </c>
      <c r="E19" s="11" t="s">
        <v>16</v>
      </c>
      <c r="F19" s="11" t="s">
        <v>414</v>
      </c>
      <c r="G19" s="13" t="s">
        <v>34</v>
      </c>
      <c r="H19" s="39" t="s">
        <v>843</v>
      </c>
      <c r="I19" s="28" t="str">
        <f>"2480,0"</f>
        <v>2480,0</v>
      </c>
      <c r="J19" s="32" t="str">
        <f>"1672,1400"</f>
        <v>1672,1400</v>
      </c>
      <c r="K19" s="11" t="s">
        <v>128</v>
      </c>
    </row>
    <row r="20" spans="1:11" x14ac:dyDescent="0.2">
      <c r="A20" s="28" t="s">
        <v>844</v>
      </c>
      <c r="B20" s="11" t="s">
        <v>845</v>
      </c>
      <c r="C20" s="11" t="s">
        <v>840</v>
      </c>
      <c r="D20" s="11" t="str">
        <f>"0,6600"</f>
        <v>0,6600</v>
      </c>
      <c r="E20" s="11" t="s">
        <v>26</v>
      </c>
      <c r="F20" s="11" t="s">
        <v>27</v>
      </c>
      <c r="G20" s="13" t="s">
        <v>293</v>
      </c>
      <c r="H20" s="39" t="s">
        <v>846</v>
      </c>
      <c r="I20" s="28" t="str">
        <f>"2480,0"</f>
        <v>2480,0</v>
      </c>
      <c r="J20" s="32" t="str">
        <f>"1636,9239"</f>
        <v>1636,9239</v>
      </c>
      <c r="K20" s="11" t="s">
        <v>478</v>
      </c>
    </row>
    <row r="21" spans="1:11" x14ac:dyDescent="0.2">
      <c r="A21" s="28" t="s">
        <v>847</v>
      </c>
      <c r="B21" s="11" t="s">
        <v>391</v>
      </c>
      <c r="C21" s="11" t="s">
        <v>446</v>
      </c>
      <c r="D21" s="11" t="str">
        <f>"0,6743"</f>
        <v>0,6743</v>
      </c>
      <c r="E21" s="11" t="s">
        <v>26</v>
      </c>
      <c r="F21" s="11" t="s">
        <v>27</v>
      </c>
      <c r="G21" s="13" t="s">
        <v>34</v>
      </c>
      <c r="H21" s="39" t="s">
        <v>848</v>
      </c>
      <c r="I21" s="28" t="str">
        <f>"2015,0"</f>
        <v>2015,0</v>
      </c>
      <c r="J21" s="32" t="str">
        <f>"1358,6138"</f>
        <v>1358,6138</v>
      </c>
      <c r="K21" s="11" t="s">
        <v>128</v>
      </c>
    </row>
    <row r="22" spans="1:11" x14ac:dyDescent="0.2">
      <c r="A22" s="28" t="s">
        <v>849</v>
      </c>
      <c r="B22" s="11" t="s">
        <v>441</v>
      </c>
      <c r="C22" s="11" t="s">
        <v>850</v>
      </c>
      <c r="D22" s="11" t="str">
        <f>"0,6471"</f>
        <v>0,6471</v>
      </c>
      <c r="E22" s="11" t="s">
        <v>26</v>
      </c>
      <c r="F22" s="11" t="s">
        <v>27</v>
      </c>
      <c r="G22" s="13" t="s">
        <v>35</v>
      </c>
      <c r="H22" s="39" t="s">
        <v>851</v>
      </c>
      <c r="I22" s="28" t="str">
        <f>"1897,5"</f>
        <v>1897,5</v>
      </c>
      <c r="J22" s="32" t="str">
        <f>"1227,9671"</f>
        <v>1227,9671</v>
      </c>
      <c r="K22" s="11" t="s">
        <v>128</v>
      </c>
    </row>
    <row r="23" spans="1:11" x14ac:dyDescent="0.2">
      <c r="A23" s="28" t="s">
        <v>852</v>
      </c>
      <c r="B23" s="11" t="s">
        <v>853</v>
      </c>
      <c r="C23" s="11" t="s">
        <v>854</v>
      </c>
      <c r="D23" s="11" t="str">
        <f>"0,6865"</f>
        <v>0,6865</v>
      </c>
      <c r="E23" s="11" t="s">
        <v>26</v>
      </c>
      <c r="F23" s="11" t="s">
        <v>27</v>
      </c>
      <c r="G23" s="13" t="s">
        <v>34</v>
      </c>
      <c r="H23" s="39" t="s">
        <v>855</v>
      </c>
      <c r="I23" s="28" t="str">
        <f>"2170,0"</f>
        <v>2170,0</v>
      </c>
      <c r="J23" s="32" t="str">
        <f>"1553,7623"</f>
        <v>1553,7623</v>
      </c>
      <c r="K23" s="11"/>
    </row>
    <row r="24" spans="1:11" x14ac:dyDescent="0.2">
      <c r="A24" s="28" t="s">
        <v>856</v>
      </c>
      <c r="B24" s="11" t="s">
        <v>857</v>
      </c>
      <c r="C24" s="11" t="s">
        <v>858</v>
      </c>
      <c r="D24" s="11" t="str">
        <f>"0,6761"</f>
        <v>0,6761</v>
      </c>
      <c r="E24" s="11" t="s">
        <v>657</v>
      </c>
      <c r="F24" s="11" t="s">
        <v>658</v>
      </c>
      <c r="G24" s="13" t="s">
        <v>34</v>
      </c>
      <c r="H24" s="39" t="s">
        <v>855</v>
      </c>
      <c r="I24" s="28" t="str">
        <f>"2170,0"</f>
        <v>2170,0</v>
      </c>
      <c r="J24" s="32" t="str">
        <f>"1632,9235"</f>
        <v>1632,9235</v>
      </c>
      <c r="K24" s="11" t="s">
        <v>859</v>
      </c>
    </row>
    <row r="25" spans="1:11" x14ac:dyDescent="0.2">
      <c r="A25" s="28" t="s">
        <v>860</v>
      </c>
      <c r="B25" s="11" t="s">
        <v>861</v>
      </c>
      <c r="C25" s="11" t="s">
        <v>862</v>
      </c>
      <c r="D25" s="11" t="str">
        <f>"0,6687"</f>
        <v>0,6687</v>
      </c>
      <c r="E25" s="11" t="s">
        <v>26</v>
      </c>
      <c r="F25" s="11" t="s">
        <v>27</v>
      </c>
      <c r="G25" s="13" t="s">
        <v>293</v>
      </c>
      <c r="H25" s="39" t="s">
        <v>863</v>
      </c>
      <c r="I25" s="28" t="str">
        <f>"1520,0"</f>
        <v>1520,0</v>
      </c>
      <c r="J25" s="32" t="str">
        <f>"1165,9255"</f>
        <v>1165,9255</v>
      </c>
      <c r="K25" s="11" t="s">
        <v>128</v>
      </c>
    </row>
    <row r="26" spans="1:11" x14ac:dyDescent="0.2">
      <c r="A26" s="29" t="s">
        <v>475</v>
      </c>
      <c r="B26" s="8" t="s">
        <v>864</v>
      </c>
      <c r="C26" s="8" t="s">
        <v>840</v>
      </c>
      <c r="D26" s="8" t="str">
        <f>"0,6600"</f>
        <v>0,6600</v>
      </c>
      <c r="E26" s="8" t="s">
        <v>26</v>
      </c>
      <c r="F26" s="8" t="s">
        <v>27</v>
      </c>
      <c r="G26" s="10" t="s">
        <v>293</v>
      </c>
      <c r="H26" s="40" t="s">
        <v>846</v>
      </c>
      <c r="I26" s="29" t="str">
        <f>"2480,0"</f>
        <v>2480,0</v>
      </c>
      <c r="J26" s="33" t="str">
        <f>"2422,6474"</f>
        <v>2422,6474</v>
      </c>
      <c r="K26" s="8" t="s">
        <v>478</v>
      </c>
    </row>
    <row r="28" spans="1:11" ht="15" x14ac:dyDescent="0.2">
      <c r="A28" s="44" t="s">
        <v>59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1" x14ac:dyDescent="0.2">
      <c r="A29" s="27" t="s">
        <v>865</v>
      </c>
      <c r="B29" s="5" t="s">
        <v>866</v>
      </c>
      <c r="C29" s="5" t="s">
        <v>867</v>
      </c>
      <c r="D29" s="5" t="str">
        <f>"0,6119"</f>
        <v>0,6119</v>
      </c>
      <c r="E29" s="5" t="s">
        <v>16</v>
      </c>
      <c r="F29" s="5" t="s">
        <v>604</v>
      </c>
      <c r="G29" s="7" t="s">
        <v>405</v>
      </c>
      <c r="H29" s="38" t="s">
        <v>837</v>
      </c>
      <c r="I29" s="27" t="str">
        <f>"3780,0"</f>
        <v>3780,0</v>
      </c>
      <c r="J29" s="31" t="str">
        <f>"2312,7931"</f>
        <v>2312,7931</v>
      </c>
      <c r="K29" s="5" t="s">
        <v>868</v>
      </c>
    </row>
    <row r="30" spans="1:11" x14ac:dyDescent="0.2">
      <c r="A30" s="28" t="s">
        <v>869</v>
      </c>
      <c r="B30" s="11" t="s">
        <v>485</v>
      </c>
      <c r="C30" s="11" t="s">
        <v>486</v>
      </c>
      <c r="D30" s="11" t="str">
        <f>"0,6197"</f>
        <v>0,6197</v>
      </c>
      <c r="E30" s="11" t="s">
        <v>16</v>
      </c>
      <c r="F30" s="11" t="s">
        <v>487</v>
      </c>
      <c r="G30" s="13" t="s">
        <v>405</v>
      </c>
      <c r="H30" s="39" t="s">
        <v>870</v>
      </c>
      <c r="I30" s="28" t="str">
        <f>"3690,0"</f>
        <v>3690,0</v>
      </c>
      <c r="J30" s="32" t="str">
        <f>"2286,6931"</f>
        <v>2286,6931</v>
      </c>
      <c r="K30" s="11" t="s">
        <v>489</v>
      </c>
    </row>
    <row r="31" spans="1:11" x14ac:dyDescent="0.2">
      <c r="A31" s="28" t="s">
        <v>498</v>
      </c>
      <c r="B31" s="11" t="s">
        <v>499</v>
      </c>
      <c r="C31" s="11" t="s">
        <v>542</v>
      </c>
      <c r="D31" s="11" t="str">
        <f>"0,6326"</f>
        <v>0,6326</v>
      </c>
      <c r="E31" s="11" t="s">
        <v>26</v>
      </c>
      <c r="F31" s="11" t="s">
        <v>27</v>
      </c>
      <c r="G31" s="13" t="s">
        <v>294</v>
      </c>
      <c r="H31" s="39" t="s">
        <v>810</v>
      </c>
      <c r="I31" s="28" t="str">
        <f>"2550,0"</f>
        <v>2550,0</v>
      </c>
      <c r="J31" s="32" t="str">
        <f>"1613,1300"</f>
        <v>1613,1300</v>
      </c>
      <c r="K31" s="11"/>
    </row>
    <row r="32" spans="1:11" x14ac:dyDescent="0.2">
      <c r="A32" s="28" t="s">
        <v>531</v>
      </c>
      <c r="B32" s="11" t="s">
        <v>871</v>
      </c>
      <c r="C32" s="11" t="s">
        <v>533</v>
      </c>
      <c r="D32" s="11" t="str">
        <f>"0,6396"</f>
        <v>0,6396</v>
      </c>
      <c r="E32" s="11" t="s">
        <v>26</v>
      </c>
      <c r="F32" s="11" t="s">
        <v>27</v>
      </c>
      <c r="G32" s="13" t="s">
        <v>294</v>
      </c>
      <c r="H32" s="39" t="s">
        <v>872</v>
      </c>
      <c r="I32" s="28" t="str">
        <f>"1870,0"</f>
        <v>1870,0</v>
      </c>
      <c r="J32" s="32" t="str">
        <f>"1416,2362"</f>
        <v>1416,2362</v>
      </c>
      <c r="K32" s="11"/>
    </row>
    <row r="33" spans="1:11" x14ac:dyDescent="0.2">
      <c r="A33" s="29" t="s">
        <v>540</v>
      </c>
      <c r="B33" s="8" t="s">
        <v>873</v>
      </c>
      <c r="C33" s="8" t="s">
        <v>874</v>
      </c>
      <c r="D33" s="8" t="str">
        <f>"0,6299"</f>
        <v>0,6299</v>
      </c>
      <c r="E33" s="8" t="s">
        <v>26</v>
      </c>
      <c r="F33" s="8" t="s">
        <v>27</v>
      </c>
      <c r="G33" s="10" t="s">
        <v>319</v>
      </c>
      <c r="H33" s="40" t="s">
        <v>863</v>
      </c>
      <c r="I33" s="29" t="str">
        <f>"1662,5"</f>
        <v>1662,5</v>
      </c>
      <c r="J33" s="33" t="str">
        <f>"1582,3324"</f>
        <v>1582,3324</v>
      </c>
      <c r="K33" s="8"/>
    </row>
    <row r="35" spans="1:11" ht="15" x14ac:dyDescent="0.2">
      <c r="A35" s="44" t="s">
        <v>72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1" x14ac:dyDescent="0.2">
      <c r="A36" s="27" t="s">
        <v>544</v>
      </c>
      <c r="B36" s="5" t="s">
        <v>545</v>
      </c>
      <c r="C36" s="5" t="s">
        <v>875</v>
      </c>
      <c r="D36" s="5" t="str">
        <f>"0,5831"</f>
        <v>0,5831</v>
      </c>
      <c r="E36" s="5" t="s">
        <v>26</v>
      </c>
      <c r="F36" s="5" t="s">
        <v>27</v>
      </c>
      <c r="G36" s="7" t="s">
        <v>19</v>
      </c>
      <c r="H36" s="38" t="s">
        <v>846</v>
      </c>
      <c r="I36" s="27" t="str">
        <f>"3100,0"</f>
        <v>3100,0</v>
      </c>
      <c r="J36" s="31" t="str">
        <f>"1807,4550"</f>
        <v>1807,4550</v>
      </c>
      <c r="K36" s="5"/>
    </row>
    <row r="37" spans="1:11" x14ac:dyDescent="0.2">
      <c r="A37" s="28" t="s">
        <v>876</v>
      </c>
      <c r="B37" s="11" t="s">
        <v>552</v>
      </c>
      <c r="C37" s="11" t="s">
        <v>553</v>
      </c>
      <c r="D37" s="11" t="str">
        <f>"0,5925"</f>
        <v>0,5925</v>
      </c>
      <c r="E37" s="11" t="s">
        <v>657</v>
      </c>
      <c r="F37" s="11" t="s">
        <v>145</v>
      </c>
      <c r="G37" s="13" t="s">
        <v>352</v>
      </c>
      <c r="H37" s="39" t="s">
        <v>863</v>
      </c>
      <c r="I37" s="28" t="str">
        <f>"1852,5"</f>
        <v>1852,5</v>
      </c>
      <c r="J37" s="32" t="str">
        <f>"1097,6988"</f>
        <v>1097,6988</v>
      </c>
      <c r="K37" s="11"/>
    </row>
    <row r="38" spans="1:11" x14ac:dyDescent="0.2">
      <c r="A38" s="29" t="s">
        <v>877</v>
      </c>
      <c r="B38" s="8" t="s">
        <v>555</v>
      </c>
      <c r="C38" s="8" t="s">
        <v>556</v>
      </c>
      <c r="D38" s="8" t="str">
        <f>"0,5864"</f>
        <v>0,5864</v>
      </c>
      <c r="E38" s="8" t="s">
        <v>26</v>
      </c>
      <c r="F38" s="8" t="s">
        <v>27</v>
      </c>
      <c r="G38" s="10" t="s">
        <v>19</v>
      </c>
      <c r="H38" s="40" t="s">
        <v>878</v>
      </c>
      <c r="I38" s="29" t="str">
        <f>"1700,0"</f>
        <v>1700,0</v>
      </c>
      <c r="J38" s="33" t="str">
        <f>"996,7950"</f>
        <v>996,7950</v>
      </c>
      <c r="K38" s="8"/>
    </row>
    <row r="40" spans="1:11" ht="15" x14ac:dyDescent="0.2">
      <c r="A40" s="44" t="s">
        <v>91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1" x14ac:dyDescent="0.2">
      <c r="A41" s="26" t="s">
        <v>879</v>
      </c>
      <c r="B41" s="14" t="s">
        <v>607</v>
      </c>
      <c r="C41" s="14" t="s">
        <v>880</v>
      </c>
      <c r="D41" s="14" t="str">
        <f>"0,5690"</f>
        <v>0,5690</v>
      </c>
      <c r="E41" s="14" t="s">
        <v>26</v>
      </c>
      <c r="F41" s="14" t="s">
        <v>27</v>
      </c>
      <c r="G41" s="16" t="s">
        <v>881</v>
      </c>
      <c r="H41" s="35" t="s">
        <v>882</v>
      </c>
      <c r="I41" s="26" t="str">
        <f>"2687,5"</f>
        <v>2687,5</v>
      </c>
      <c r="J41" s="30" t="str">
        <f>"1529,1875"</f>
        <v>1529,1875</v>
      </c>
      <c r="K41" s="14" t="s">
        <v>128</v>
      </c>
    </row>
    <row r="43" spans="1:11" ht="15" x14ac:dyDescent="0.2">
      <c r="E43" s="17" t="s">
        <v>160</v>
      </c>
    </row>
    <row r="44" spans="1:11" ht="15" x14ac:dyDescent="0.2">
      <c r="E44" s="17" t="s">
        <v>161</v>
      </c>
    </row>
    <row r="45" spans="1:11" ht="15" x14ac:dyDescent="0.2">
      <c r="E45" s="17" t="s">
        <v>162</v>
      </c>
    </row>
    <row r="46" spans="1:11" ht="15" x14ac:dyDescent="0.2">
      <c r="E46" s="17" t="s">
        <v>163</v>
      </c>
    </row>
    <row r="47" spans="1:11" ht="15" x14ac:dyDescent="0.2">
      <c r="E47" s="17" t="s">
        <v>163</v>
      </c>
    </row>
    <row r="48" spans="1:11" ht="15" x14ac:dyDescent="0.2">
      <c r="E48" s="17" t="s">
        <v>164</v>
      </c>
    </row>
    <row r="49" spans="1:5" ht="15" x14ac:dyDescent="0.2">
      <c r="E49" s="17"/>
    </row>
    <row r="51" spans="1:5" ht="18" x14ac:dyDescent="0.25">
      <c r="A51" s="18" t="s">
        <v>165</v>
      </c>
      <c r="B51" s="18"/>
    </row>
    <row r="52" spans="1:5" ht="15" x14ac:dyDescent="0.2">
      <c r="A52" s="19" t="s">
        <v>176</v>
      </c>
      <c r="B52" s="19"/>
    </row>
    <row r="53" spans="1:5" ht="14.25" x14ac:dyDescent="0.2">
      <c r="A53" s="21"/>
      <c r="B53" s="22" t="s">
        <v>715</v>
      </c>
    </row>
    <row r="54" spans="1:5" ht="15" x14ac:dyDescent="0.2">
      <c r="A54" s="23" t="s">
        <v>168</v>
      </c>
      <c r="B54" s="23" t="s">
        <v>169</v>
      </c>
      <c r="C54" s="23" t="s">
        <v>170</v>
      </c>
      <c r="D54" s="23" t="s">
        <v>171</v>
      </c>
      <c r="E54" s="23" t="s">
        <v>818</v>
      </c>
    </row>
    <row r="55" spans="1:5" x14ac:dyDescent="0.2">
      <c r="A55" s="20" t="s">
        <v>883</v>
      </c>
      <c r="B55" s="4" t="s">
        <v>716</v>
      </c>
      <c r="C55" s="4" t="s">
        <v>695</v>
      </c>
      <c r="D55" s="4" t="s">
        <v>884</v>
      </c>
      <c r="E55" s="24" t="s">
        <v>885</v>
      </c>
    </row>
    <row r="57" spans="1:5" ht="14.25" x14ac:dyDescent="0.2">
      <c r="A57" s="21"/>
      <c r="B57" s="22" t="s">
        <v>167</v>
      </c>
    </row>
    <row r="58" spans="1:5" ht="15" x14ac:dyDescent="0.2">
      <c r="A58" s="23" t="s">
        <v>168</v>
      </c>
      <c r="B58" s="23" t="s">
        <v>169</v>
      </c>
      <c r="C58" s="23" t="s">
        <v>170</v>
      </c>
      <c r="D58" s="23" t="s">
        <v>171</v>
      </c>
      <c r="E58" s="23" t="s">
        <v>818</v>
      </c>
    </row>
    <row r="59" spans="1:5" x14ac:dyDescent="0.2">
      <c r="A59" s="20" t="s">
        <v>886</v>
      </c>
      <c r="B59" s="4" t="s">
        <v>167</v>
      </c>
      <c r="C59" s="4" t="s">
        <v>183</v>
      </c>
      <c r="D59" s="4" t="s">
        <v>887</v>
      </c>
      <c r="E59" s="24" t="s">
        <v>888</v>
      </c>
    </row>
    <row r="60" spans="1:5" x14ac:dyDescent="0.2">
      <c r="A60" s="20" t="s">
        <v>483</v>
      </c>
      <c r="B60" s="4" t="s">
        <v>167</v>
      </c>
      <c r="C60" s="4" t="s">
        <v>183</v>
      </c>
      <c r="D60" s="4" t="s">
        <v>889</v>
      </c>
      <c r="E60" s="24" t="s">
        <v>890</v>
      </c>
    </row>
    <row r="61" spans="1:5" x14ac:dyDescent="0.2">
      <c r="A61" s="20" t="s">
        <v>891</v>
      </c>
      <c r="B61" s="4" t="s">
        <v>167</v>
      </c>
      <c r="C61" s="4" t="s">
        <v>173</v>
      </c>
      <c r="D61" s="4" t="s">
        <v>892</v>
      </c>
      <c r="E61" s="24" t="s">
        <v>893</v>
      </c>
    </row>
    <row r="62" spans="1:5" x14ac:dyDescent="0.2">
      <c r="A62" s="20" t="s">
        <v>894</v>
      </c>
      <c r="B62" s="4" t="s">
        <v>167</v>
      </c>
      <c r="C62" s="4" t="s">
        <v>188</v>
      </c>
      <c r="D62" s="4" t="s">
        <v>895</v>
      </c>
      <c r="E62" s="24" t="s">
        <v>896</v>
      </c>
    </row>
    <row r="63" spans="1:5" x14ac:dyDescent="0.2">
      <c r="A63" s="20" t="s">
        <v>354</v>
      </c>
      <c r="B63" s="4" t="s">
        <v>167</v>
      </c>
      <c r="C63" s="4" t="s">
        <v>693</v>
      </c>
      <c r="D63" s="4" t="s">
        <v>897</v>
      </c>
      <c r="E63" s="24" t="s">
        <v>898</v>
      </c>
    </row>
    <row r="64" spans="1:5" x14ac:dyDescent="0.2">
      <c r="A64" s="20" t="s">
        <v>543</v>
      </c>
      <c r="B64" s="4" t="s">
        <v>167</v>
      </c>
      <c r="C64" s="4" t="s">
        <v>186</v>
      </c>
      <c r="D64" s="4" t="s">
        <v>899</v>
      </c>
      <c r="E64" s="24" t="s">
        <v>900</v>
      </c>
    </row>
    <row r="65" spans="1:5" x14ac:dyDescent="0.2">
      <c r="A65" s="20" t="s">
        <v>443</v>
      </c>
      <c r="B65" s="4" t="s">
        <v>167</v>
      </c>
      <c r="C65" s="4" t="s">
        <v>188</v>
      </c>
      <c r="D65" s="4" t="s">
        <v>901</v>
      </c>
      <c r="E65" s="24" t="s">
        <v>902</v>
      </c>
    </row>
    <row r="66" spans="1:5" x14ac:dyDescent="0.2">
      <c r="A66" s="20" t="s">
        <v>474</v>
      </c>
      <c r="B66" s="4" t="s">
        <v>167</v>
      </c>
      <c r="C66" s="4" t="s">
        <v>188</v>
      </c>
      <c r="D66" s="4" t="s">
        <v>901</v>
      </c>
      <c r="E66" s="24" t="s">
        <v>903</v>
      </c>
    </row>
    <row r="67" spans="1:5" x14ac:dyDescent="0.2">
      <c r="A67" s="20" t="s">
        <v>497</v>
      </c>
      <c r="B67" s="4" t="s">
        <v>167</v>
      </c>
      <c r="C67" s="4" t="s">
        <v>183</v>
      </c>
      <c r="D67" s="4" t="s">
        <v>904</v>
      </c>
      <c r="E67" s="24" t="s">
        <v>905</v>
      </c>
    </row>
    <row r="68" spans="1:5" x14ac:dyDescent="0.2">
      <c r="A68" s="20" t="s">
        <v>906</v>
      </c>
      <c r="B68" s="4" t="s">
        <v>167</v>
      </c>
      <c r="C68" s="4" t="s">
        <v>177</v>
      </c>
      <c r="D68" s="4" t="s">
        <v>907</v>
      </c>
      <c r="E68" s="24" t="s">
        <v>908</v>
      </c>
    </row>
    <row r="69" spans="1:5" x14ac:dyDescent="0.2">
      <c r="A69" s="20" t="s">
        <v>389</v>
      </c>
      <c r="B69" s="4" t="s">
        <v>167</v>
      </c>
      <c r="C69" s="4" t="s">
        <v>188</v>
      </c>
      <c r="D69" s="4" t="s">
        <v>909</v>
      </c>
      <c r="E69" s="24" t="s">
        <v>910</v>
      </c>
    </row>
    <row r="70" spans="1:5" x14ac:dyDescent="0.2">
      <c r="A70" s="20" t="s">
        <v>439</v>
      </c>
      <c r="B70" s="4" t="s">
        <v>167</v>
      </c>
      <c r="C70" s="4" t="s">
        <v>188</v>
      </c>
      <c r="D70" s="4" t="s">
        <v>911</v>
      </c>
      <c r="E70" s="24" t="s">
        <v>912</v>
      </c>
    </row>
    <row r="71" spans="1:5" x14ac:dyDescent="0.2">
      <c r="A71" s="20" t="s">
        <v>913</v>
      </c>
      <c r="B71" s="4" t="s">
        <v>167</v>
      </c>
      <c r="C71" s="4" t="s">
        <v>186</v>
      </c>
      <c r="D71" s="4" t="s">
        <v>914</v>
      </c>
      <c r="E71" s="24" t="s">
        <v>915</v>
      </c>
    </row>
    <row r="72" spans="1:5" x14ac:dyDescent="0.2">
      <c r="A72" s="20" t="s">
        <v>916</v>
      </c>
      <c r="B72" s="4" t="s">
        <v>167</v>
      </c>
      <c r="C72" s="4" t="s">
        <v>186</v>
      </c>
      <c r="D72" s="4" t="s">
        <v>917</v>
      </c>
      <c r="E72" s="24" t="s">
        <v>918</v>
      </c>
    </row>
    <row r="74" spans="1:5" ht="14.25" x14ac:dyDescent="0.2">
      <c r="A74" s="21"/>
      <c r="B74" s="22" t="s">
        <v>919</v>
      </c>
    </row>
    <row r="75" spans="1:5" ht="15" x14ac:dyDescent="0.2">
      <c r="A75" s="23" t="s">
        <v>168</v>
      </c>
      <c r="B75" s="23" t="s">
        <v>169</v>
      </c>
      <c r="C75" s="23" t="s">
        <v>170</v>
      </c>
      <c r="D75" s="23" t="s">
        <v>171</v>
      </c>
      <c r="E75" s="23" t="s">
        <v>818</v>
      </c>
    </row>
    <row r="76" spans="1:5" x14ac:dyDescent="0.2">
      <c r="A76" s="20" t="s">
        <v>474</v>
      </c>
      <c r="B76" s="4" t="s">
        <v>920</v>
      </c>
      <c r="C76" s="4" t="s">
        <v>188</v>
      </c>
      <c r="D76" s="4" t="s">
        <v>901</v>
      </c>
      <c r="E76" s="24" t="s">
        <v>921</v>
      </c>
    </row>
    <row r="77" spans="1:5" x14ac:dyDescent="0.2">
      <c r="A77" s="20" t="s">
        <v>922</v>
      </c>
      <c r="B77" s="4" t="s">
        <v>923</v>
      </c>
      <c r="C77" s="4" t="s">
        <v>188</v>
      </c>
      <c r="D77" s="4" t="s">
        <v>924</v>
      </c>
      <c r="E77" s="24" t="s">
        <v>925</v>
      </c>
    </row>
    <row r="78" spans="1:5" x14ac:dyDescent="0.2">
      <c r="A78" s="20" t="s">
        <v>539</v>
      </c>
      <c r="B78" s="4" t="s">
        <v>920</v>
      </c>
      <c r="C78" s="4" t="s">
        <v>183</v>
      </c>
      <c r="D78" s="4" t="s">
        <v>926</v>
      </c>
      <c r="E78" s="24" t="s">
        <v>927</v>
      </c>
    </row>
    <row r="79" spans="1:5" x14ac:dyDescent="0.2">
      <c r="A79" s="20" t="s">
        <v>928</v>
      </c>
      <c r="B79" s="4" t="s">
        <v>923</v>
      </c>
      <c r="C79" s="4" t="s">
        <v>188</v>
      </c>
      <c r="D79" s="4" t="s">
        <v>924</v>
      </c>
      <c r="E79" s="24" t="s">
        <v>929</v>
      </c>
    </row>
    <row r="80" spans="1:5" x14ac:dyDescent="0.2">
      <c r="A80" s="20" t="s">
        <v>530</v>
      </c>
      <c r="B80" s="4" t="s">
        <v>930</v>
      </c>
      <c r="C80" s="4" t="s">
        <v>183</v>
      </c>
      <c r="D80" s="4" t="s">
        <v>931</v>
      </c>
      <c r="E80" s="24" t="s">
        <v>932</v>
      </c>
    </row>
    <row r="81" spans="1:5" x14ac:dyDescent="0.2">
      <c r="A81" s="20" t="s">
        <v>933</v>
      </c>
      <c r="B81" s="4" t="s">
        <v>930</v>
      </c>
      <c r="C81" s="4" t="s">
        <v>188</v>
      </c>
      <c r="D81" s="4" t="s">
        <v>934</v>
      </c>
      <c r="E81" s="24" t="s">
        <v>935</v>
      </c>
    </row>
  </sheetData>
  <mergeCells count="19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A28:J28"/>
    <mergeCell ref="A35:J35"/>
    <mergeCell ref="A40:J40"/>
    <mergeCell ref="K3:K4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K23" sqref="K23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0.5703125" style="4" bestFit="1" customWidth="1"/>
    <col min="4" max="4" width="8.42578125" style="4" bestFit="1" customWidth="1"/>
    <col min="5" max="5" width="22.7109375" style="4" bestFit="1" customWidth="1"/>
    <col min="6" max="6" width="17.28515625" style="4" bestFit="1" customWidth="1"/>
    <col min="7" max="7" width="4.5703125" style="3" bestFit="1" customWidth="1"/>
    <col min="8" max="8" width="4.5703125" style="36" bestFit="1" customWidth="1"/>
    <col min="9" max="9" width="7.85546875" style="4" bestFit="1" customWidth="1"/>
    <col min="10" max="10" width="9.5703125" style="3" bestFit="1" customWidth="1"/>
    <col min="11" max="11" width="33.85546875" style="4" bestFit="1" customWidth="1"/>
    <col min="12" max="16384" width="9.140625" style="3"/>
  </cols>
  <sheetData>
    <row r="1" spans="1:11" s="2" customFormat="1" ht="29.1" customHeight="1" x14ac:dyDescent="0.2">
      <c r="A1" s="45" t="s">
        <v>803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s="2" customFormat="1" ht="71.25" customHeight="1" thickBot="1" x14ac:dyDescent="0.25">
      <c r="A2" s="48"/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s="1" customFormat="1" ht="15" x14ac:dyDescent="0.2">
      <c r="A3" s="51" t="s">
        <v>0</v>
      </c>
      <c r="B3" s="53" t="s">
        <v>5</v>
      </c>
      <c r="C3" s="53" t="s">
        <v>6</v>
      </c>
      <c r="D3" s="55" t="s">
        <v>804</v>
      </c>
      <c r="E3" s="55" t="s">
        <v>3</v>
      </c>
      <c r="F3" s="55" t="s">
        <v>7</v>
      </c>
      <c r="G3" s="55" t="s">
        <v>805</v>
      </c>
      <c r="H3" s="55"/>
      <c r="I3" s="55" t="s">
        <v>806</v>
      </c>
      <c r="J3" s="55" t="s">
        <v>2</v>
      </c>
      <c r="K3" s="41" t="s">
        <v>1</v>
      </c>
    </row>
    <row r="4" spans="1:11" s="1" customFormat="1" ht="32.25" customHeight="1" thickBot="1" x14ac:dyDescent="0.25">
      <c r="A4" s="52"/>
      <c r="B4" s="54"/>
      <c r="C4" s="54"/>
      <c r="D4" s="54"/>
      <c r="E4" s="54"/>
      <c r="F4" s="54"/>
      <c r="G4" s="25" t="s">
        <v>807</v>
      </c>
      <c r="H4" s="34" t="s">
        <v>808</v>
      </c>
      <c r="I4" s="54"/>
      <c r="J4" s="54"/>
      <c r="K4" s="42"/>
    </row>
    <row r="5" spans="1:11" ht="15" x14ac:dyDescent="0.2">
      <c r="A5" s="43" t="s">
        <v>270</v>
      </c>
      <c r="B5" s="43"/>
      <c r="C5" s="43"/>
      <c r="D5" s="43"/>
      <c r="E5" s="43"/>
      <c r="F5" s="43"/>
      <c r="G5" s="43"/>
      <c r="H5" s="43"/>
      <c r="I5" s="43"/>
      <c r="J5" s="43"/>
    </row>
    <row r="6" spans="1:11" x14ac:dyDescent="0.2">
      <c r="A6" s="26" t="s">
        <v>272</v>
      </c>
      <c r="B6" s="14" t="s">
        <v>273</v>
      </c>
      <c r="C6" s="14" t="s">
        <v>274</v>
      </c>
      <c r="D6" s="14" t="str">
        <f>"1,1076"</f>
        <v>1,1076</v>
      </c>
      <c r="E6" s="14" t="s">
        <v>26</v>
      </c>
      <c r="F6" s="14" t="s">
        <v>27</v>
      </c>
      <c r="G6" s="16" t="s">
        <v>809</v>
      </c>
      <c r="H6" s="35" t="s">
        <v>810</v>
      </c>
      <c r="I6" s="26" t="str">
        <f>"825,0"</f>
        <v>825,0</v>
      </c>
      <c r="J6" s="30" t="str">
        <f>"913,7700"</f>
        <v>913,7700</v>
      </c>
      <c r="K6" s="14" t="s">
        <v>276</v>
      </c>
    </row>
    <row r="8" spans="1:11" ht="15" x14ac:dyDescent="0.2">
      <c r="A8" s="44" t="s">
        <v>287</v>
      </c>
      <c r="B8" s="44"/>
      <c r="C8" s="44"/>
      <c r="D8" s="44"/>
      <c r="E8" s="44"/>
      <c r="F8" s="44"/>
      <c r="G8" s="44"/>
      <c r="H8" s="44"/>
      <c r="I8" s="44"/>
      <c r="J8" s="44"/>
    </row>
    <row r="9" spans="1:11" x14ac:dyDescent="0.2">
      <c r="A9" s="26" t="s">
        <v>811</v>
      </c>
      <c r="B9" s="14" t="s">
        <v>812</v>
      </c>
      <c r="C9" s="14" t="s">
        <v>291</v>
      </c>
      <c r="D9" s="14" t="str">
        <f>"0,9916"</f>
        <v>0,9916</v>
      </c>
      <c r="E9" s="14" t="s">
        <v>26</v>
      </c>
      <c r="F9" s="14" t="s">
        <v>27</v>
      </c>
      <c r="G9" s="16" t="s">
        <v>810</v>
      </c>
      <c r="H9" s="35" t="s">
        <v>813</v>
      </c>
      <c r="I9" s="26" t="str">
        <f>"1170,0"</f>
        <v>1170,0</v>
      </c>
      <c r="J9" s="30" t="str">
        <f>"1160,1720"</f>
        <v>1160,1720</v>
      </c>
      <c r="K9" s="14" t="s">
        <v>814</v>
      </c>
    </row>
    <row r="11" spans="1:11" ht="15" x14ac:dyDescent="0.2">
      <c r="A11" s="44" t="s">
        <v>313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x14ac:dyDescent="0.2">
      <c r="A12" s="26" t="s">
        <v>815</v>
      </c>
      <c r="B12" s="14" t="s">
        <v>323</v>
      </c>
      <c r="C12" s="14" t="s">
        <v>324</v>
      </c>
      <c r="D12" s="14" t="str">
        <f>"0,9123"</f>
        <v>0,9123</v>
      </c>
      <c r="E12" s="14" t="s">
        <v>26</v>
      </c>
      <c r="F12" s="14" t="s">
        <v>27</v>
      </c>
      <c r="G12" s="16" t="s">
        <v>816</v>
      </c>
      <c r="H12" s="35" t="s">
        <v>817</v>
      </c>
      <c r="I12" s="26" t="str">
        <f>"1190,0"</f>
        <v>1190,0</v>
      </c>
      <c r="J12" s="30" t="str">
        <f>"1085,6965"</f>
        <v>1085,6965</v>
      </c>
      <c r="K12" s="14" t="s">
        <v>326</v>
      </c>
    </row>
    <row r="14" spans="1:11" ht="15" x14ac:dyDescent="0.2">
      <c r="E14" s="17" t="s">
        <v>160</v>
      </c>
    </row>
    <row r="15" spans="1:11" ht="15" x14ac:dyDescent="0.2">
      <c r="E15" s="17" t="s">
        <v>161</v>
      </c>
    </row>
    <row r="16" spans="1:11" ht="15" x14ac:dyDescent="0.2">
      <c r="E16" s="17" t="s">
        <v>162</v>
      </c>
    </row>
    <row r="17" spans="1:5" ht="15" x14ac:dyDescent="0.2">
      <c r="E17" s="17" t="s">
        <v>163</v>
      </c>
    </row>
    <row r="18" spans="1:5" ht="15" x14ac:dyDescent="0.2">
      <c r="E18" s="17" t="s">
        <v>163</v>
      </c>
    </row>
    <row r="19" spans="1:5" ht="15" x14ac:dyDescent="0.2">
      <c r="E19" s="17" t="s">
        <v>164</v>
      </c>
    </row>
    <row r="20" spans="1:5" ht="15" x14ac:dyDescent="0.2">
      <c r="E20" s="17"/>
    </row>
    <row r="22" spans="1:5" ht="18" x14ac:dyDescent="0.25">
      <c r="A22" s="18" t="s">
        <v>165</v>
      </c>
      <c r="B22" s="18"/>
    </row>
    <row r="23" spans="1:5" ht="15" x14ac:dyDescent="0.2">
      <c r="A23" s="19" t="s">
        <v>166</v>
      </c>
      <c r="B23" s="19"/>
    </row>
    <row r="24" spans="1:5" ht="14.25" x14ac:dyDescent="0.2">
      <c r="A24" s="21"/>
      <c r="B24" s="22" t="s">
        <v>167</v>
      </c>
    </row>
    <row r="25" spans="1:5" ht="15" x14ac:dyDescent="0.2">
      <c r="A25" s="23" t="s">
        <v>168</v>
      </c>
      <c r="B25" s="23" t="s">
        <v>169</v>
      </c>
      <c r="C25" s="23" t="s">
        <v>170</v>
      </c>
      <c r="D25" s="23" t="s">
        <v>171</v>
      </c>
      <c r="E25" s="23" t="s">
        <v>818</v>
      </c>
    </row>
    <row r="26" spans="1:5" x14ac:dyDescent="0.2">
      <c r="A26" s="20" t="s">
        <v>819</v>
      </c>
      <c r="B26" s="4" t="s">
        <v>167</v>
      </c>
      <c r="C26" s="4" t="s">
        <v>695</v>
      </c>
      <c r="D26" s="4" t="s">
        <v>820</v>
      </c>
      <c r="E26" s="24" t="s">
        <v>821</v>
      </c>
    </row>
    <row r="27" spans="1:5" x14ac:dyDescent="0.2">
      <c r="A27" s="20" t="s">
        <v>321</v>
      </c>
      <c r="B27" s="4" t="s">
        <v>167</v>
      </c>
      <c r="C27" s="4" t="s">
        <v>693</v>
      </c>
      <c r="D27" s="4" t="s">
        <v>822</v>
      </c>
      <c r="E27" s="24" t="s">
        <v>823</v>
      </c>
    </row>
    <row r="28" spans="1:5" x14ac:dyDescent="0.2">
      <c r="A28" s="20" t="s">
        <v>271</v>
      </c>
      <c r="B28" s="4" t="s">
        <v>167</v>
      </c>
      <c r="C28" s="4" t="s">
        <v>701</v>
      </c>
      <c r="D28" s="4" t="s">
        <v>824</v>
      </c>
      <c r="E28" s="24" t="s">
        <v>825</v>
      </c>
    </row>
  </sheetData>
  <mergeCells count="14">
    <mergeCell ref="K3:K4"/>
    <mergeCell ref="A5:J5"/>
    <mergeCell ref="A8:J8"/>
    <mergeCell ref="A11:J11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Элита WPF PRO Жим в мн сл. эк.</vt:lpstr>
      <vt:lpstr>WPF PRO Жим в 1-сл. эк.</vt:lpstr>
      <vt:lpstr>WPF PRO Жим безэк.</vt:lpstr>
      <vt:lpstr>WPF AM Жим в 1-сл. эк.</vt:lpstr>
      <vt:lpstr>WPF AM Жим безэк.</vt:lpstr>
      <vt:lpstr>WPF НЖ 1 вес</vt:lpstr>
      <vt:lpstr>WPF НЖ 1_2 вес</vt:lpstr>
      <vt:lpstr>WPF НЖ 1 вес с д.к.</vt:lpstr>
      <vt:lpstr>WPF НЖ 1_2 вес с д.к.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Соловьев И В</cp:lastModifiedBy>
  <cp:lastPrinted>2015-07-16T19:10:53Z</cp:lastPrinted>
  <dcterms:created xsi:type="dcterms:W3CDTF">2002-06-16T13:36:44Z</dcterms:created>
  <dcterms:modified xsi:type="dcterms:W3CDTF">2019-04-23T09:54:14Z</dcterms:modified>
</cp:coreProperties>
</file>