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vs\Documents\WPF\"/>
    </mc:Choice>
  </mc:AlternateContent>
  <bookViews>
    <workbookView xWindow="0" yWindow="0" windowWidth="28800" windowHeight="12720" activeTab="21"/>
  </bookViews>
  <sheets>
    <sheet name="WPF PRO Жим безэк. Элита" sheetId="29" r:id="rId1"/>
    <sheet name="WPF PRO ПЛ безэк." sheetId="6" r:id="rId2"/>
    <sheet name="WPF PRO ПЛ классик." sheetId="5" r:id="rId3"/>
    <sheet name="WPF PRO ПЛ в 1-сл. эк." sheetId="7" r:id="rId4"/>
    <sheet name="WPF PRO Жим безэк." sheetId="13" r:id="rId5"/>
    <sheet name="WPF PRO Жим в 1-сл. эк." sheetId="14" r:id="rId6"/>
    <sheet name="WPF PRO Жим в мн сл. эк." sheetId="15" r:id="rId7"/>
    <sheet name="WPF PRO Тяга безэк." sheetId="19" r:id="rId8"/>
    <sheet name="WPF PRO Тяга в 1-сл. эк." sheetId="20" r:id="rId9"/>
    <sheet name="WPF AM ПЛ безэк." sheetId="11" r:id="rId10"/>
    <sheet name="WPF AM ПЛ классик." sheetId="10" r:id="rId11"/>
    <sheet name="WPF AM ПЛ в 1-сл. эк." sheetId="12" r:id="rId12"/>
    <sheet name="WPF AM ПЛ в мн сл. эк." sheetId="9" r:id="rId13"/>
    <sheet name="WPF AM Жим безэк." sheetId="17" r:id="rId14"/>
    <sheet name="WPF AM Жим в 1-сл. эк." sheetId="18" r:id="rId15"/>
    <sheet name="WPF AM Жим в мн сл. эк." sheetId="16" r:id="rId16"/>
    <sheet name="WPF AM Тяга безэк." sheetId="23" r:id="rId17"/>
    <sheet name="WPF AM Тяга в 1-сл. эк." sheetId="24" r:id="rId18"/>
    <sheet name="НЖ 1_2 вес" sheetId="26" r:id="rId19"/>
    <sheet name="НЖ 1 вес" sheetId="25" r:id="rId20"/>
    <sheet name="НЖ 1_2 вес с ДК" sheetId="28" r:id="rId21"/>
    <sheet name="НЖ 1 вес с ДК" sheetId="27" r:id="rId22"/>
  </sheets>
  <definedNames>
    <definedName name="_FilterDatabase" localSheetId="2" hidden="1">'WPF PRO ПЛ классик.'!$A$1:$S$3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3" i="29" l="1"/>
  <c r="K23" i="29"/>
  <c r="D23" i="29"/>
  <c r="L20" i="29"/>
  <c r="K20" i="29"/>
  <c r="D20" i="29"/>
  <c r="L17" i="29"/>
  <c r="K17" i="29"/>
  <c r="D17" i="29"/>
  <c r="L16" i="29"/>
  <c r="K16" i="29"/>
  <c r="D16" i="29"/>
  <c r="L13" i="29"/>
  <c r="K13" i="29"/>
  <c r="D13" i="29"/>
  <c r="L10" i="29"/>
  <c r="K10" i="29"/>
  <c r="D10" i="29"/>
  <c r="L7" i="29"/>
  <c r="K7" i="29"/>
  <c r="D7" i="29"/>
  <c r="L6" i="29"/>
  <c r="K6" i="29"/>
  <c r="D6" i="29"/>
  <c r="J9" i="28"/>
  <c r="I9" i="28"/>
  <c r="D9" i="28"/>
  <c r="J6" i="28"/>
  <c r="I6" i="28"/>
  <c r="D6" i="28"/>
  <c r="J48" i="27"/>
  <c r="I48" i="27"/>
  <c r="D48" i="27"/>
  <c r="J47" i="27"/>
  <c r="I47" i="27"/>
  <c r="D47" i="27"/>
  <c r="J46" i="27"/>
  <c r="I46" i="27"/>
  <c r="D46" i="27"/>
  <c r="J43" i="27"/>
  <c r="I43" i="27"/>
  <c r="D43" i="27"/>
  <c r="J42" i="27"/>
  <c r="I42" i="27"/>
  <c r="D42" i="27"/>
  <c r="J41" i="27"/>
  <c r="I41" i="27"/>
  <c r="D41" i="27"/>
  <c r="J40" i="27"/>
  <c r="I40" i="27"/>
  <c r="D40" i="27"/>
  <c r="J37" i="27"/>
  <c r="I37" i="27"/>
  <c r="D37" i="27"/>
  <c r="J36" i="27"/>
  <c r="I36" i="27"/>
  <c r="D36" i="27"/>
  <c r="J35" i="27"/>
  <c r="I35" i="27"/>
  <c r="D35" i="27"/>
  <c r="J34" i="27"/>
  <c r="I34" i="27"/>
  <c r="D34" i="27"/>
  <c r="J33" i="27"/>
  <c r="I33" i="27"/>
  <c r="D33" i="27"/>
  <c r="J32" i="27"/>
  <c r="I32" i="27"/>
  <c r="D32" i="27"/>
  <c r="J31" i="27"/>
  <c r="I31" i="27"/>
  <c r="D31" i="27"/>
  <c r="J28" i="27"/>
  <c r="I28" i="27"/>
  <c r="D28" i="27"/>
  <c r="J27" i="27"/>
  <c r="I27" i="27"/>
  <c r="D27" i="27"/>
  <c r="J26" i="27"/>
  <c r="I26" i="27"/>
  <c r="D26" i="27"/>
  <c r="J25" i="27"/>
  <c r="I25" i="27"/>
  <c r="D25" i="27"/>
  <c r="J24" i="27"/>
  <c r="I24" i="27"/>
  <c r="D24" i="27"/>
  <c r="J23" i="27"/>
  <c r="I23" i="27"/>
  <c r="D23" i="27"/>
  <c r="J22" i="27"/>
  <c r="I22" i="27"/>
  <c r="D22" i="27"/>
  <c r="J19" i="27"/>
  <c r="I19" i="27"/>
  <c r="D19" i="27"/>
  <c r="J18" i="27"/>
  <c r="I18" i="27"/>
  <c r="D18" i="27"/>
  <c r="J15" i="27"/>
  <c r="I15" i="27"/>
  <c r="D15" i="27"/>
  <c r="J12" i="27"/>
  <c r="I12" i="27"/>
  <c r="D12" i="27"/>
  <c r="J9" i="27"/>
  <c r="I9" i="27"/>
  <c r="D9" i="27"/>
  <c r="J6" i="27"/>
  <c r="I6" i="27"/>
  <c r="D6" i="27"/>
  <c r="J7" i="26"/>
  <c r="I7" i="26"/>
  <c r="D7" i="26"/>
  <c r="J6" i="26"/>
  <c r="I6" i="26"/>
  <c r="D6" i="26"/>
  <c r="J28" i="25"/>
  <c r="I28" i="25"/>
  <c r="D28" i="25"/>
  <c r="J25" i="25"/>
  <c r="I25" i="25"/>
  <c r="D25" i="25"/>
  <c r="J24" i="25"/>
  <c r="I24" i="25"/>
  <c r="D24" i="25"/>
  <c r="J21" i="25"/>
  <c r="I21" i="25"/>
  <c r="D21" i="25"/>
  <c r="J20" i="25"/>
  <c r="I20" i="25"/>
  <c r="D20" i="25"/>
  <c r="J17" i="25"/>
  <c r="I17" i="25"/>
  <c r="D17" i="25"/>
  <c r="J14" i="25"/>
  <c r="I14" i="25"/>
  <c r="D14" i="25"/>
  <c r="J13" i="25"/>
  <c r="I13" i="25"/>
  <c r="D13" i="25"/>
  <c r="J12" i="25"/>
  <c r="I12" i="25"/>
  <c r="D12" i="25"/>
  <c r="J9" i="25"/>
  <c r="I9" i="25"/>
  <c r="D9" i="25"/>
  <c r="J6" i="25"/>
  <c r="I6" i="25"/>
  <c r="D6" i="25"/>
  <c r="L6" i="24"/>
  <c r="K6" i="24"/>
  <c r="D6" i="24"/>
  <c r="L90" i="23"/>
  <c r="K90" i="23"/>
  <c r="D90" i="23"/>
  <c r="L89" i="23"/>
  <c r="K89" i="23"/>
  <c r="D89" i="23"/>
  <c r="L88" i="23"/>
  <c r="K88" i="23"/>
  <c r="D88" i="23"/>
  <c r="L87" i="23"/>
  <c r="K87" i="23"/>
  <c r="D87" i="23"/>
  <c r="L86" i="23"/>
  <c r="K86" i="23"/>
  <c r="D86" i="23"/>
  <c r="L85" i="23"/>
  <c r="K85" i="23"/>
  <c r="D85" i="23"/>
  <c r="L84" i="23"/>
  <c r="K84" i="23"/>
  <c r="D84" i="23"/>
  <c r="L81" i="23"/>
  <c r="K81" i="23"/>
  <c r="D81" i="23"/>
  <c r="L80" i="23"/>
  <c r="K80" i="23"/>
  <c r="D80" i="23"/>
  <c r="L79" i="23"/>
  <c r="K79" i="23"/>
  <c r="D79" i="23"/>
  <c r="L78" i="23"/>
  <c r="K78" i="23"/>
  <c r="D78" i="23"/>
  <c r="L77" i="23"/>
  <c r="K77" i="23"/>
  <c r="D77" i="23"/>
  <c r="L76" i="23"/>
  <c r="K76" i="23"/>
  <c r="D76" i="23"/>
  <c r="L75" i="23"/>
  <c r="K75" i="23"/>
  <c r="D75" i="23"/>
  <c r="L74" i="23"/>
  <c r="K74" i="23"/>
  <c r="D74" i="23"/>
  <c r="L73" i="23"/>
  <c r="K73" i="23"/>
  <c r="D73" i="23"/>
  <c r="L72" i="23"/>
  <c r="K72" i="23"/>
  <c r="D72" i="23"/>
  <c r="L69" i="23"/>
  <c r="K69" i="23"/>
  <c r="D69" i="23"/>
  <c r="L68" i="23"/>
  <c r="K68" i="23"/>
  <c r="D68" i="23"/>
  <c r="L65" i="23"/>
  <c r="K65" i="23"/>
  <c r="D65" i="23"/>
  <c r="L64" i="23"/>
  <c r="K64" i="23"/>
  <c r="D64" i="23"/>
  <c r="L63" i="23"/>
  <c r="K63" i="23"/>
  <c r="D63" i="23"/>
  <c r="L62" i="23"/>
  <c r="K62" i="23"/>
  <c r="D62" i="23"/>
  <c r="L61" i="23"/>
  <c r="K61" i="23"/>
  <c r="D61" i="23"/>
  <c r="L60" i="23"/>
  <c r="K60" i="23"/>
  <c r="D60" i="23"/>
  <c r="L59" i="23"/>
  <c r="K59" i="23"/>
  <c r="D59" i="23"/>
  <c r="L58" i="23"/>
  <c r="K58" i="23"/>
  <c r="D58" i="23"/>
  <c r="L55" i="23"/>
  <c r="K55" i="23"/>
  <c r="D55" i="23"/>
  <c r="L54" i="23"/>
  <c r="K54" i="23"/>
  <c r="D54" i="23"/>
  <c r="L53" i="23"/>
  <c r="K53" i="23"/>
  <c r="D53" i="23"/>
  <c r="L52" i="23"/>
  <c r="K52" i="23"/>
  <c r="D52" i="23"/>
  <c r="L51" i="23"/>
  <c r="K51" i="23"/>
  <c r="D51" i="23"/>
  <c r="L50" i="23"/>
  <c r="K50" i="23"/>
  <c r="D50" i="23"/>
  <c r="L49" i="23"/>
  <c r="K49" i="23"/>
  <c r="D49" i="23"/>
  <c r="L46" i="23"/>
  <c r="K46" i="23"/>
  <c r="D46" i="23"/>
  <c r="L45" i="23"/>
  <c r="K45" i="23"/>
  <c r="D45" i="23"/>
  <c r="L44" i="23"/>
  <c r="K44" i="23"/>
  <c r="D44" i="23"/>
  <c r="L43" i="23"/>
  <c r="K43" i="23"/>
  <c r="D43" i="23"/>
  <c r="L40" i="23"/>
  <c r="K40" i="23"/>
  <c r="D40" i="23"/>
  <c r="L37" i="23"/>
  <c r="K37" i="23"/>
  <c r="D37" i="23"/>
  <c r="L36" i="23"/>
  <c r="K36" i="23"/>
  <c r="D36" i="23"/>
  <c r="L33" i="23"/>
  <c r="K33" i="23"/>
  <c r="D33" i="23"/>
  <c r="L30" i="23"/>
  <c r="K30" i="23"/>
  <c r="D30" i="23"/>
  <c r="L29" i="23"/>
  <c r="K29" i="23"/>
  <c r="D29" i="23"/>
  <c r="L26" i="23"/>
  <c r="K26" i="23"/>
  <c r="D26" i="23"/>
  <c r="L25" i="23"/>
  <c r="K25" i="23"/>
  <c r="D25" i="23"/>
  <c r="L24" i="23"/>
  <c r="K24" i="23"/>
  <c r="D24" i="23"/>
  <c r="L21" i="23"/>
  <c r="K21" i="23"/>
  <c r="D21" i="23"/>
  <c r="L20" i="23"/>
  <c r="K20" i="23"/>
  <c r="D20" i="23"/>
  <c r="L19" i="23"/>
  <c r="K19" i="23"/>
  <c r="D19" i="23"/>
  <c r="L18" i="23"/>
  <c r="K18" i="23"/>
  <c r="D18" i="23"/>
  <c r="L17" i="23"/>
  <c r="K17" i="23"/>
  <c r="D17" i="23"/>
  <c r="L16" i="23"/>
  <c r="K16" i="23"/>
  <c r="D16" i="23"/>
  <c r="L13" i="23"/>
  <c r="K13" i="23"/>
  <c r="D13" i="23"/>
  <c r="L12" i="23"/>
  <c r="K12" i="23"/>
  <c r="D12" i="23"/>
  <c r="L11" i="23"/>
  <c r="K11" i="23"/>
  <c r="D11" i="23"/>
  <c r="L10" i="23"/>
  <c r="K10" i="23"/>
  <c r="D10" i="23"/>
  <c r="L9" i="23"/>
  <c r="K9" i="23"/>
  <c r="D9" i="23"/>
  <c r="L6" i="23"/>
  <c r="K6" i="23"/>
  <c r="D6" i="23"/>
  <c r="L6" i="20"/>
  <c r="K6" i="20"/>
  <c r="D6" i="20"/>
  <c r="L48" i="19"/>
  <c r="K48" i="19"/>
  <c r="D48" i="19"/>
  <c r="L45" i="19"/>
  <c r="K45" i="19"/>
  <c r="D45" i="19"/>
  <c r="L44" i="19"/>
  <c r="K44" i="19"/>
  <c r="D44" i="19"/>
  <c r="L41" i="19"/>
  <c r="K41" i="19"/>
  <c r="D41" i="19"/>
  <c r="L40" i="19"/>
  <c r="K40" i="19"/>
  <c r="D40" i="19"/>
  <c r="L39" i="19"/>
  <c r="K39" i="19"/>
  <c r="D39" i="19"/>
  <c r="L36" i="19"/>
  <c r="K36" i="19"/>
  <c r="D36" i="19"/>
  <c r="L35" i="19"/>
  <c r="K35" i="19"/>
  <c r="D35" i="19"/>
  <c r="L34" i="19"/>
  <c r="K34" i="19"/>
  <c r="D34" i="19"/>
  <c r="L33" i="19"/>
  <c r="K33" i="19"/>
  <c r="D33" i="19"/>
  <c r="L32" i="19"/>
  <c r="K32" i="19"/>
  <c r="D32" i="19"/>
  <c r="L31" i="19"/>
  <c r="K31" i="19"/>
  <c r="D31" i="19"/>
  <c r="L30" i="19"/>
  <c r="K30" i="19"/>
  <c r="D30" i="19"/>
  <c r="L29" i="19"/>
  <c r="K29" i="19"/>
  <c r="D29" i="19"/>
  <c r="L28" i="19"/>
  <c r="K28" i="19"/>
  <c r="D28" i="19"/>
  <c r="L25" i="19"/>
  <c r="K25" i="19"/>
  <c r="D25" i="19"/>
  <c r="L24" i="19"/>
  <c r="K24" i="19"/>
  <c r="D24" i="19"/>
  <c r="L23" i="19"/>
  <c r="K23" i="19"/>
  <c r="D23" i="19"/>
  <c r="L20" i="19"/>
  <c r="K20" i="19"/>
  <c r="D20" i="19"/>
  <c r="L19" i="19"/>
  <c r="K19" i="19"/>
  <c r="D19" i="19"/>
  <c r="L16" i="19"/>
  <c r="K16" i="19"/>
  <c r="D16" i="19"/>
  <c r="L15" i="19"/>
  <c r="K15" i="19"/>
  <c r="D15" i="19"/>
  <c r="L12" i="19"/>
  <c r="K12" i="19"/>
  <c r="D12" i="19"/>
  <c r="L9" i="19"/>
  <c r="K9" i="19"/>
  <c r="D9" i="19"/>
  <c r="L6" i="19"/>
  <c r="K6" i="19"/>
  <c r="D6" i="19"/>
  <c r="L27" i="18"/>
  <c r="K27" i="18"/>
  <c r="D27" i="18"/>
  <c r="L24" i="18"/>
  <c r="K24" i="18"/>
  <c r="D24" i="18"/>
  <c r="L23" i="18"/>
  <c r="K23" i="18"/>
  <c r="D23" i="18"/>
  <c r="L22" i="18"/>
  <c r="K22" i="18"/>
  <c r="D22" i="18"/>
  <c r="L21" i="18"/>
  <c r="K21" i="18"/>
  <c r="D21" i="18"/>
  <c r="L18" i="18"/>
  <c r="K18" i="18"/>
  <c r="D18" i="18"/>
  <c r="L17" i="18"/>
  <c r="K17" i="18"/>
  <c r="D17" i="18"/>
  <c r="L16" i="18"/>
  <c r="K16" i="18"/>
  <c r="D16" i="18"/>
  <c r="L15" i="18"/>
  <c r="K15" i="18"/>
  <c r="D15" i="18"/>
  <c r="L12" i="18"/>
  <c r="K12" i="18"/>
  <c r="D12" i="18"/>
  <c r="L9" i="18"/>
  <c r="K9" i="18"/>
  <c r="D9" i="18"/>
  <c r="L6" i="18"/>
  <c r="K6" i="18"/>
  <c r="D6" i="18"/>
  <c r="L158" i="17"/>
  <c r="K158" i="17"/>
  <c r="D158" i="17"/>
  <c r="L157" i="17"/>
  <c r="K157" i="17"/>
  <c r="D157" i="17"/>
  <c r="L156" i="17"/>
  <c r="K156" i="17"/>
  <c r="D156" i="17"/>
  <c r="L153" i="17"/>
  <c r="K153" i="17"/>
  <c r="D153" i="17"/>
  <c r="L152" i="17"/>
  <c r="K152" i="17"/>
  <c r="D152" i="17"/>
  <c r="L151" i="17"/>
  <c r="K151" i="17"/>
  <c r="D151" i="17"/>
  <c r="L150" i="17"/>
  <c r="K150" i="17"/>
  <c r="D150" i="17"/>
  <c r="L149" i="17"/>
  <c r="K149" i="17"/>
  <c r="D149" i="17"/>
  <c r="L148" i="17"/>
  <c r="K148" i="17"/>
  <c r="D148" i="17"/>
  <c r="L145" i="17"/>
  <c r="K145" i="17"/>
  <c r="D145" i="17"/>
  <c r="L144" i="17"/>
  <c r="K144" i="17"/>
  <c r="D144" i="17"/>
  <c r="L143" i="17"/>
  <c r="K143" i="17"/>
  <c r="D143" i="17"/>
  <c r="L142" i="17"/>
  <c r="K142" i="17"/>
  <c r="D142" i="17"/>
  <c r="L141" i="17"/>
  <c r="K141" i="17"/>
  <c r="D141" i="17"/>
  <c r="L140" i="17"/>
  <c r="K140" i="17"/>
  <c r="D140" i="17"/>
  <c r="L139" i="17"/>
  <c r="K139" i="17"/>
  <c r="D139" i="17"/>
  <c r="L138" i="17"/>
  <c r="K138" i="17"/>
  <c r="D138" i="17"/>
  <c r="L137" i="17"/>
  <c r="K137" i="17"/>
  <c r="D137" i="17"/>
  <c r="L136" i="17"/>
  <c r="K136" i="17"/>
  <c r="D136" i="17"/>
  <c r="L135" i="17"/>
  <c r="K135" i="17"/>
  <c r="D135" i="17"/>
  <c r="L134" i="17"/>
  <c r="K134" i="17"/>
  <c r="D134" i="17"/>
  <c r="L133" i="17"/>
  <c r="K133" i="17"/>
  <c r="D133" i="17"/>
  <c r="L132" i="17"/>
  <c r="K132" i="17"/>
  <c r="D132" i="17"/>
  <c r="L131" i="17"/>
  <c r="K131" i="17"/>
  <c r="D131" i="17"/>
  <c r="L130" i="17"/>
  <c r="K130" i="17"/>
  <c r="D130" i="17"/>
  <c r="L127" i="17"/>
  <c r="K127" i="17"/>
  <c r="D127" i="17"/>
  <c r="L126" i="17"/>
  <c r="K126" i="17"/>
  <c r="D126" i="17"/>
  <c r="L125" i="17"/>
  <c r="K125" i="17"/>
  <c r="D125" i="17"/>
  <c r="L124" i="17"/>
  <c r="K124" i="17"/>
  <c r="D124" i="17"/>
  <c r="L123" i="17"/>
  <c r="K123" i="17"/>
  <c r="D123" i="17"/>
  <c r="L122" i="17"/>
  <c r="K122" i="17"/>
  <c r="D122" i="17"/>
  <c r="L121" i="17"/>
  <c r="K121" i="17"/>
  <c r="D121" i="17"/>
  <c r="L120" i="17"/>
  <c r="K120" i="17"/>
  <c r="D120" i="17"/>
  <c r="L119" i="17"/>
  <c r="K119" i="17"/>
  <c r="D119" i="17"/>
  <c r="L118" i="17"/>
  <c r="K118" i="17"/>
  <c r="D118" i="17"/>
  <c r="L117" i="17"/>
  <c r="K117" i="17"/>
  <c r="D117" i="17"/>
  <c r="L116" i="17"/>
  <c r="K116" i="17"/>
  <c r="D116" i="17"/>
  <c r="L115" i="17"/>
  <c r="K115" i="17"/>
  <c r="D115" i="17"/>
  <c r="L114" i="17"/>
  <c r="K114" i="17"/>
  <c r="D114" i="17"/>
  <c r="L113" i="17"/>
  <c r="K113" i="17"/>
  <c r="D113" i="17"/>
  <c r="L112" i="17"/>
  <c r="K112" i="17"/>
  <c r="D112" i="17"/>
  <c r="L111" i="17"/>
  <c r="K111" i="17"/>
  <c r="D111" i="17"/>
  <c r="L110" i="17"/>
  <c r="K110" i="17"/>
  <c r="D110" i="17"/>
  <c r="L109" i="17"/>
  <c r="K109" i="17"/>
  <c r="D109" i="17"/>
  <c r="L108" i="17"/>
  <c r="K108" i="17"/>
  <c r="D108" i="17"/>
  <c r="L107" i="17"/>
  <c r="K107" i="17"/>
  <c r="D107" i="17"/>
  <c r="L106" i="17"/>
  <c r="K106" i="17"/>
  <c r="D106" i="17"/>
  <c r="L103" i="17"/>
  <c r="K103" i="17"/>
  <c r="D103" i="17"/>
  <c r="L102" i="17"/>
  <c r="K102" i="17"/>
  <c r="D102" i="17"/>
  <c r="L101" i="17"/>
  <c r="K101" i="17"/>
  <c r="D101" i="17"/>
  <c r="L100" i="17"/>
  <c r="K100" i="17"/>
  <c r="D100" i="17"/>
  <c r="L99" i="17"/>
  <c r="K99" i="17"/>
  <c r="D99" i="17"/>
  <c r="L98" i="17"/>
  <c r="K98" i="17"/>
  <c r="D98" i="17"/>
  <c r="L97" i="17"/>
  <c r="K97" i="17"/>
  <c r="D97" i="17"/>
  <c r="L96" i="17"/>
  <c r="K96" i="17"/>
  <c r="D96" i="17"/>
  <c r="L95" i="17"/>
  <c r="K95" i="17"/>
  <c r="D95" i="17"/>
  <c r="L94" i="17"/>
  <c r="K94" i="17"/>
  <c r="D94" i="17"/>
  <c r="L93" i="17"/>
  <c r="K93" i="17"/>
  <c r="D93" i="17"/>
  <c r="L92" i="17"/>
  <c r="K92" i="17"/>
  <c r="D92" i="17"/>
  <c r="L91" i="17"/>
  <c r="K91" i="17"/>
  <c r="D91" i="17"/>
  <c r="L90" i="17"/>
  <c r="K90" i="17"/>
  <c r="D90" i="17"/>
  <c r="L87" i="17"/>
  <c r="K87" i="17"/>
  <c r="D87" i="17"/>
  <c r="L86" i="17"/>
  <c r="K86" i="17"/>
  <c r="D86" i="17"/>
  <c r="L85" i="17"/>
  <c r="K85" i="17"/>
  <c r="D85" i="17"/>
  <c r="L84" i="17"/>
  <c r="K84" i="17"/>
  <c r="D84" i="17"/>
  <c r="L83" i="17"/>
  <c r="K83" i="17"/>
  <c r="D83" i="17"/>
  <c r="L82" i="17"/>
  <c r="K82" i="17"/>
  <c r="D82" i="17"/>
  <c r="L81" i="17"/>
  <c r="K81" i="17"/>
  <c r="D81" i="17"/>
  <c r="L80" i="17"/>
  <c r="K80" i="17"/>
  <c r="D80" i="17"/>
  <c r="L79" i="17"/>
  <c r="K79" i="17"/>
  <c r="D79" i="17"/>
  <c r="L78" i="17"/>
  <c r="K78" i="17"/>
  <c r="D78" i="17"/>
  <c r="L77" i="17"/>
  <c r="K77" i="17"/>
  <c r="D77" i="17"/>
  <c r="L74" i="17"/>
  <c r="K74" i="17"/>
  <c r="D74" i="17"/>
  <c r="L73" i="17"/>
  <c r="K73" i="17"/>
  <c r="D73" i="17"/>
  <c r="L72" i="17"/>
  <c r="K72" i="17"/>
  <c r="D72" i="17"/>
  <c r="L71" i="17"/>
  <c r="K71" i="17"/>
  <c r="D71" i="17"/>
  <c r="L70" i="17"/>
  <c r="K70" i="17"/>
  <c r="D70" i="17"/>
  <c r="L69" i="17"/>
  <c r="K69" i="17"/>
  <c r="D69" i="17"/>
  <c r="L68" i="17"/>
  <c r="K68" i="17"/>
  <c r="D68" i="17"/>
  <c r="L67" i="17"/>
  <c r="K67" i="17"/>
  <c r="D67" i="17"/>
  <c r="L66" i="17"/>
  <c r="K66" i="17"/>
  <c r="D66" i="17"/>
  <c r="L65" i="17"/>
  <c r="K65" i="17"/>
  <c r="D65" i="17"/>
  <c r="L64" i="17"/>
  <c r="K64" i="17"/>
  <c r="D64" i="17"/>
  <c r="L63" i="17"/>
  <c r="K63" i="17"/>
  <c r="D63" i="17"/>
  <c r="L62" i="17"/>
  <c r="K62" i="17"/>
  <c r="D62" i="17"/>
  <c r="L61" i="17"/>
  <c r="K61" i="17"/>
  <c r="D61" i="17"/>
  <c r="L60" i="17"/>
  <c r="K60" i="17"/>
  <c r="D60" i="17"/>
  <c r="L59" i="17"/>
  <c r="K59" i="17"/>
  <c r="D59" i="17"/>
  <c r="L58" i="17"/>
  <c r="K58" i="17"/>
  <c r="D58" i="17"/>
  <c r="L57" i="17"/>
  <c r="K57" i="17"/>
  <c r="D57" i="17"/>
  <c r="L54" i="17"/>
  <c r="K54" i="17"/>
  <c r="D54" i="17"/>
  <c r="L53" i="17"/>
  <c r="K53" i="17"/>
  <c r="D53" i="17"/>
  <c r="L52" i="17"/>
  <c r="K52" i="17"/>
  <c r="D52" i="17"/>
  <c r="L51" i="17"/>
  <c r="K51" i="17"/>
  <c r="D51" i="17"/>
  <c r="L50" i="17"/>
  <c r="K50" i="17"/>
  <c r="D50" i="17"/>
  <c r="L47" i="17"/>
  <c r="K47" i="17"/>
  <c r="D47" i="17"/>
  <c r="L46" i="17"/>
  <c r="K46" i="17"/>
  <c r="D46" i="17"/>
  <c r="L45" i="17"/>
  <c r="K45" i="17"/>
  <c r="D45" i="17"/>
  <c r="L42" i="17"/>
  <c r="K42" i="17"/>
  <c r="D42" i="17"/>
  <c r="L39" i="17"/>
  <c r="K39" i="17"/>
  <c r="D39" i="17"/>
  <c r="L38" i="17"/>
  <c r="K38" i="17"/>
  <c r="D38" i="17"/>
  <c r="L37" i="17"/>
  <c r="K37" i="17"/>
  <c r="D37" i="17"/>
  <c r="L34" i="17"/>
  <c r="K34" i="17"/>
  <c r="D34" i="17"/>
  <c r="L33" i="17"/>
  <c r="K33" i="17"/>
  <c r="D33" i="17"/>
  <c r="L32" i="17"/>
  <c r="K32" i="17"/>
  <c r="D32" i="17"/>
  <c r="L31" i="17"/>
  <c r="K31" i="17"/>
  <c r="D31" i="17"/>
  <c r="L30" i="17"/>
  <c r="K30" i="17"/>
  <c r="D30" i="17"/>
  <c r="L27" i="17"/>
  <c r="K27" i="17"/>
  <c r="D27" i="17"/>
  <c r="L26" i="17"/>
  <c r="K26" i="17"/>
  <c r="D26" i="17"/>
  <c r="L25" i="17"/>
  <c r="K25" i="17"/>
  <c r="D25" i="17"/>
  <c r="L24" i="17"/>
  <c r="K24" i="17"/>
  <c r="D24" i="17"/>
  <c r="L23" i="17"/>
  <c r="K23" i="17"/>
  <c r="D23" i="17"/>
  <c r="L20" i="17"/>
  <c r="K20" i="17"/>
  <c r="D20" i="17"/>
  <c r="L19" i="17"/>
  <c r="K19" i="17"/>
  <c r="D19" i="17"/>
  <c r="L18" i="17"/>
  <c r="K18" i="17"/>
  <c r="D18" i="17"/>
  <c r="L17" i="17"/>
  <c r="K17" i="17"/>
  <c r="D17" i="17"/>
  <c r="L14" i="17"/>
  <c r="K14" i="17"/>
  <c r="D14" i="17"/>
  <c r="L13" i="17"/>
  <c r="K13" i="17"/>
  <c r="D13" i="17"/>
  <c r="L12" i="17"/>
  <c r="K12" i="17"/>
  <c r="D12" i="17"/>
  <c r="L9" i="17"/>
  <c r="K9" i="17"/>
  <c r="D9" i="17"/>
  <c r="L8" i="17"/>
  <c r="K8" i="17"/>
  <c r="D8" i="17"/>
  <c r="L7" i="17"/>
  <c r="K7" i="17"/>
  <c r="D7" i="17"/>
  <c r="L6" i="17"/>
  <c r="K6" i="17"/>
  <c r="D6" i="17"/>
  <c r="L6" i="16"/>
  <c r="K6" i="16"/>
  <c r="D6" i="16"/>
  <c r="L9" i="15"/>
  <c r="K9" i="15"/>
  <c r="D9" i="15"/>
  <c r="L6" i="15"/>
  <c r="K6" i="15"/>
  <c r="D6" i="15"/>
  <c r="L21" i="14"/>
  <c r="K21" i="14"/>
  <c r="D21" i="14"/>
  <c r="L18" i="14"/>
  <c r="K18" i="14"/>
  <c r="D18" i="14"/>
  <c r="L15" i="14"/>
  <c r="K15" i="14"/>
  <c r="D15" i="14"/>
  <c r="L14" i="14"/>
  <c r="K14" i="14"/>
  <c r="D14" i="14"/>
  <c r="L13" i="14"/>
  <c r="K13" i="14"/>
  <c r="D13" i="14"/>
  <c r="L10" i="14"/>
  <c r="K10" i="14"/>
  <c r="D10" i="14"/>
  <c r="L7" i="14"/>
  <c r="K7" i="14"/>
  <c r="D7" i="14"/>
  <c r="L6" i="14"/>
  <c r="K6" i="14"/>
  <c r="D6" i="14"/>
  <c r="L67" i="13"/>
  <c r="K67" i="13"/>
  <c r="D67" i="13"/>
  <c r="L66" i="13"/>
  <c r="K66" i="13"/>
  <c r="D66" i="13"/>
  <c r="L63" i="13"/>
  <c r="K63" i="13"/>
  <c r="D63" i="13"/>
  <c r="L62" i="13"/>
  <c r="K62" i="13"/>
  <c r="D62" i="13"/>
  <c r="L61" i="13"/>
  <c r="K61" i="13"/>
  <c r="D61" i="13"/>
  <c r="L60" i="13"/>
  <c r="K60" i="13"/>
  <c r="D60" i="13"/>
  <c r="L59" i="13"/>
  <c r="K59" i="13"/>
  <c r="D59" i="13"/>
  <c r="L56" i="13"/>
  <c r="K56" i="13"/>
  <c r="D56" i="13"/>
  <c r="L55" i="13"/>
  <c r="K55" i="13"/>
  <c r="D55" i="13"/>
  <c r="L54" i="13"/>
  <c r="K54" i="13"/>
  <c r="D54" i="13"/>
  <c r="L53" i="13"/>
  <c r="K53" i="13"/>
  <c r="D53" i="13"/>
  <c r="L52" i="13"/>
  <c r="K52" i="13"/>
  <c r="D52" i="13"/>
  <c r="L51" i="13"/>
  <c r="K51" i="13"/>
  <c r="D51" i="13"/>
  <c r="L50" i="13"/>
  <c r="K50" i="13"/>
  <c r="D50" i="13"/>
  <c r="L49" i="13"/>
  <c r="K49" i="13"/>
  <c r="D49" i="13"/>
  <c r="L48" i="13"/>
  <c r="K48" i="13"/>
  <c r="D48" i="13"/>
  <c r="L45" i="13"/>
  <c r="K45" i="13"/>
  <c r="D45" i="13"/>
  <c r="L44" i="13"/>
  <c r="K44" i="13"/>
  <c r="D44" i="13"/>
  <c r="L43" i="13"/>
  <c r="K43" i="13"/>
  <c r="D43" i="13"/>
  <c r="L42" i="13"/>
  <c r="K42" i="13"/>
  <c r="D42" i="13"/>
  <c r="L41" i="13"/>
  <c r="K41" i="13"/>
  <c r="D41" i="13"/>
  <c r="L40" i="13"/>
  <c r="K40" i="13"/>
  <c r="D40" i="13"/>
  <c r="L37" i="13"/>
  <c r="K37" i="13"/>
  <c r="D37" i="13"/>
  <c r="L36" i="13"/>
  <c r="K36" i="13"/>
  <c r="D36" i="13"/>
  <c r="L35" i="13"/>
  <c r="K35" i="13"/>
  <c r="D35" i="13"/>
  <c r="L34" i="13"/>
  <c r="K34" i="13"/>
  <c r="D34" i="13"/>
  <c r="L33" i="13"/>
  <c r="K33" i="13"/>
  <c r="D33" i="13"/>
  <c r="L32" i="13"/>
  <c r="K32" i="13"/>
  <c r="D32" i="13"/>
  <c r="L29" i="13"/>
  <c r="K29" i="13"/>
  <c r="D29" i="13"/>
  <c r="L28" i="13"/>
  <c r="K28" i="13"/>
  <c r="D28" i="13"/>
  <c r="L27" i="13"/>
  <c r="K27" i="13"/>
  <c r="D27" i="13"/>
  <c r="L26" i="13"/>
  <c r="K26" i="13"/>
  <c r="D26" i="13"/>
  <c r="L25" i="13"/>
  <c r="K25" i="13"/>
  <c r="D25" i="13"/>
  <c r="L24" i="13"/>
  <c r="K24" i="13"/>
  <c r="D24" i="13"/>
  <c r="L21" i="13"/>
  <c r="K21" i="13"/>
  <c r="D21" i="13"/>
  <c r="L20" i="13"/>
  <c r="K20" i="13"/>
  <c r="D20" i="13"/>
  <c r="L19" i="13"/>
  <c r="K19" i="13"/>
  <c r="D19" i="13"/>
  <c r="L18" i="13"/>
  <c r="K18" i="13"/>
  <c r="D18" i="13"/>
  <c r="L17" i="13"/>
  <c r="K17" i="13"/>
  <c r="D17" i="13"/>
  <c r="L16" i="13"/>
  <c r="K16" i="13"/>
  <c r="D16" i="13"/>
  <c r="L15" i="13"/>
  <c r="K15" i="13"/>
  <c r="D15" i="13"/>
  <c r="L12" i="13"/>
  <c r="K12" i="13"/>
  <c r="D12" i="13"/>
  <c r="L9" i="13"/>
  <c r="K9" i="13"/>
  <c r="D9" i="13"/>
  <c r="L6" i="13"/>
  <c r="K6" i="13"/>
  <c r="D6" i="13"/>
  <c r="T9" i="12"/>
  <c r="S9" i="12"/>
  <c r="D9" i="12"/>
  <c r="T6" i="12"/>
  <c r="S6" i="12"/>
  <c r="D6" i="12"/>
  <c r="T69" i="11"/>
  <c r="S69" i="11"/>
  <c r="D69" i="11"/>
  <c r="T66" i="11"/>
  <c r="S66" i="11"/>
  <c r="D66" i="11"/>
  <c r="T63" i="11"/>
  <c r="S63" i="11"/>
  <c r="D63" i="11"/>
  <c r="T62" i="11"/>
  <c r="S62" i="11"/>
  <c r="D62" i="11"/>
  <c r="T61" i="11"/>
  <c r="S61" i="11"/>
  <c r="D61" i="11"/>
  <c r="T58" i="11"/>
  <c r="S58" i="11"/>
  <c r="D58" i="11"/>
  <c r="T57" i="11"/>
  <c r="S57" i="11"/>
  <c r="D57" i="11"/>
  <c r="T56" i="11"/>
  <c r="S56" i="11"/>
  <c r="D56" i="11"/>
  <c r="T55" i="11"/>
  <c r="S55" i="11"/>
  <c r="D55" i="11"/>
  <c r="T52" i="11"/>
  <c r="S52" i="11"/>
  <c r="D52" i="11"/>
  <c r="T51" i="11"/>
  <c r="S51" i="11"/>
  <c r="D51" i="11"/>
  <c r="T50" i="11"/>
  <c r="S50" i="11"/>
  <c r="D50" i="11"/>
  <c r="T49" i="11"/>
  <c r="S49" i="11"/>
  <c r="D49" i="11"/>
  <c r="T48" i="11"/>
  <c r="S48" i="11"/>
  <c r="D48" i="11"/>
  <c r="T47" i="11"/>
  <c r="S47" i="11"/>
  <c r="D47" i="11"/>
  <c r="T46" i="11"/>
  <c r="S46" i="11"/>
  <c r="D46" i="11"/>
  <c r="T43" i="11"/>
  <c r="S43" i="11"/>
  <c r="D43" i="11"/>
  <c r="T42" i="11"/>
  <c r="S42" i="11"/>
  <c r="D42" i="11"/>
  <c r="T41" i="11"/>
  <c r="S41" i="11"/>
  <c r="D41" i="11"/>
  <c r="T40" i="11"/>
  <c r="S40" i="11"/>
  <c r="D40" i="11"/>
  <c r="T39" i="11"/>
  <c r="S39" i="11"/>
  <c r="D39" i="11"/>
  <c r="T38" i="11"/>
  <c r="S38" i="11"/>
  <c r="D38" i="11"/>
  <c r="T35" i="11"/>
  <c r="S35" i="11"/>
  <c r="D35" i="11"/>
  <c r="T32" i="11"/>
  <c r="S32" i="11"/>
  <c r="D32" i="11"/>
  <c r="T29" i="11"/>
  <c r="S29" i="11"/>
  <c r="D29" i="11"/>
  <c r="T26" i="11"/>
  <c r="S26" i="11"/>
  <c r="D26" i="11"/>
  <c r="T23" i="11"/>
  <c r="S23" i="11"/>
  <c r="D23" i="11"/>
  <c r="T22" i="11"/>
  <c r="S22" i="11"/>
  <c r="D22" i="11"/>
  <c r="T21" i="11"/>
  <c r="S21" i="11"/>
  <c r="D21" i="11"/>
  <c r="T20" i="11"/>
  <c r="S20" i="11"/>
  <c r="D20" i="11"/>
  <c r="T19" i="11"/>
  <c r="S19" i="11"/>
  <c r="D19" i="11"/>
  <c r="T18" i="11"/>
  <c r="S18" i="11"/>
  <c r="D18" i="11"/>
  <c r="T15" i="11"/>
  <c r="S15" i="11"/>
  <c r="D15" i="11"/>
  <c r="T14" i="11"/>
  <c r="S14" i="11"/>
  <c r="D14" i="11"/>
  <c r="T13" i="11"/>
  <c r="S13" i="11"/>
  <c r="D13" i="11"/>
  <c r="T12" i="11"/>
  <c r="S12" i="11"/>
  <c r="D12" i="11"/>
  <c r="T9" i="11"/>
  <c r="S9" i="11"/>
  <c r="D9" i="11"/>
  <c r="T6" i="11"/>
  <c r="S6" i="11"/>
  <c r="D6" i="11"/>
  <c r="T49" i="10"/>
  <c r="S49" i="10"/>
  <c r="D49" i="10"/>
  <c r="T48" i="10"/>
  <c r="S48" i="10"/>
  <c r="D48" i="10"/>
  <c r="T47" i="10"/>
  <c r="S47" i="10"/>
  <c r="D47" i="10"/>
  <c r="T46" i="10"/>
  <c r="S46" i="10"/>
  <c r="D46" i="10"/>
  <c r="T43" i="10"/>
  <c r="S43" i="10"/>
  <c r="D43" i="10"/>
  <c r="T42" i="10"/>
  <c r="S42" i="10"/>
  <c r="D42" i="10"/>
  <c r="T39" i="10"/>
  <c r="S39" i="10"/>
  <c r="D39" i="10"/>
  <c r="T38" i="10"/>
  <c r="S38" i="10"/>
  <c r="D38" i="10"/>
  <c r="T37" i="10"/>
  <c r="S37" i="10"/>
  <c r="D37" i="10"/>
  <c r="T36" i="10"/>
  <c r="S36" i="10"/>
  <c r="D36" i="10"/>
  <c r="T35" i="10"/>
  <c r="S35" i="10"/>
  <c r="D35" i="10"/>
  <c r="T32" i="10"/>
  <c r="S32" i="10"/>
  <c r="D32" i="10"/>
  <c r="T31" i="10"/>
  <c r="S31" i="10"/>
  <c r="D31" i="10"/>
  <c r="T28" i="10"/>
  <c r="S28" i="10"/>
  <c r="D28" i="10"/>
  <c r="T27" i="10"/>
  <c r="S27" i="10"/>
  <c r="D27" i="10"/>
  <c r="T24" i="10"/>
  <c r="S24" i="10"/>
  <c r="D24" i="10"/>
  <c r="T21" i="10"/>
  <c r="S21" i="10"/>
  <c r="D21" i="10"/>
  <c r="T18" i="10"/>
  <c r="S18" i="10"/>
  <c r="D18" i="10"/>
  <c r="T15" i="10"/>
  <c r="S15" i="10"/>
  <c r="D15" i="10"/>
  <c r="T14" i="10"/>
  <c r="S14" i="10"/>
  <c r="D14" i="10"/>
  <c r="T11" i="10"/>
  <c r="S11" i="10"/>
  <c r="D11" i="10"/>
  <c r="T10" i="10"/>
  <c r="S10" i="10"/>
  <c r="D10" i="10"/>
  <c r="T9" i="10"/>
  <c r="S9" i="10"/>
  <c r="D9" i="10"/>
  <c r="T6" i="10"/>
  <c r="S6" i="10"/>
  <c r="D6" i="10"/>
  <c r="T9" i="9"/>
  <c r="S9" i="9"/>
  <c r="D9" i="9"/>
  <c r="T6" i="9"/>
  <c r="S6" i="9"/>
  <c r="D6" i="9"/>
  <c r="T6" i="7"/>
  <c r="S6" i="7"/>
  <c r="D6" i="7"/>
  <c r="T36" i="6"/>
  <c r="S36" i="6"/>
  <c r="D36" i="6"/>
  <c r="T35" i="6"/>
  <c r="S35" i="6"/>
  <c r="D35" i="6"/>
  <c r="T34" i="6"/>
  <c r="S34" i="6"/>
  <c r="D34" i="6"/>
  <c r="T31" i="6"/>
  <c r="S31" i="6"/>
  <c r="D31" i="6"/>
  <c r="T30" i="6"/>
  <c r="S30" i="6"/>
  <c r="D30" i="6"/>
  <c r="T27" i="6"/>
  <c r="S27" i="6"/>
  <c r="D27" i="6"/>
  <c r="T26" i="6"/>
  <c r="S26" i="6"/>
  <c r="D26" i="6"/>
  <c r="T25" i="6"/>
  <c r="S25" i="6"/>
  <c r="D25" i="6"/>
  <c r="T24" i="6"/>
  <c r="S24" i="6"/>
  <c r="D24" i="6"/>
  <c r="T21" i="6"/>
  <c r="S21" i="6"/>
  <c r="D21" i="6"/>
  <c r="T20" i="6"/>
  <c r="S20" i="6"/>
  <c r="D20" i="6"/>
  <c r="T19" i="6"/>
  <c r="S19" i="6"/>
  <c r="D19" i="6"/>
  <c r="T16" i="6"/>
  <c r="S16" i="6"/>
  <c r="D16" i="6"/>
  <c r="T13" i="6"/>
  <c r="S13" i="6"/>
  <c r="D13" i="6"/>
  <c r="T12" i="6"/>
  <c r="S12" i="6"/>
  <c r="D12" i="6"/>
  <c r="T9" i="6"/>
  <c r="S9" i="6"/>
  <c r="D9" i="6"/>
  <c r="T6" i="6"/>
  <c r="S6" i="6"/>
  <c r="D6" i="6"/>
  <c r="T50" i="5"/>
  <c r="S50" i="5"/>
  <c r="D50" i="5"/>
  <c r="T49" i="5"/>
  <c r="S49" i="5"/>
  <c r="D49" i="5"/>
  <c r="T46" i="5"/>
  <c r="S46" i="5"/>
  <c r="D46" i="5"/>
  <c r="T45" i="5"/>
  <c r="S45" i="5"/>
  <c r="D45" i="5"/>
  <c r="T44" i="5"/>
  <c r="S44" i="5"/>
  <c r="D44" i="5"/>
  <c r="T43" i="5"/>
  <c r="S43" i="5"/>
  <c r="D43" i="5"/>
  <c r="T40" i="5"/>
  <c r="S40" i="5"/>
  <c r="D40" i="5"/>
  <c r="T39" i="5"/>
  <c r="S39" i="5"/>
  <c r="D39" i="5"/>
  <c r="T38" i="5"/>
  <c r="S38" i="5"/>
  <c r="D38" i="5"/>
  <c r="T37" i="5"/>
  <c r="S37" i="5"/>
  <c r="D37" i="5"/>
  <c r="T36" i="5"/>
  <c r="S36" i="5"/>
  <c r="D36" i="5"/>
  <c r="T35" i="5"/>
  <c r="S35" i="5"/>
  <c r="D35" i="5"/>
  <c r="T32" i="5"/>
  <c r="S32" i="5"/>
  <c r="D32" i="5"/>
  <c r="T31" i="5"/>
  <c r="S31" i="5"/>
  <c r="D31" i="5"/>
  <c r="T30" i="5"/>
  <c r="S30" i="5"/>
  <c r="D30" i="5"/>
  <c r="T29" i="5"/>
  <c r="S29" i="5"/>
  <c r="D29" i="5"/>
  <c r="T28" i="5"/>
  <c r="S28" i="5"/>
  <c r="D28" i="5"/>
  <c r="T27" i="5"/>
  <c r="S27" i="5"/>
  <c r="D27" i="5"/>
  <c r="T24" i="5"/>
  <c r="S24" i="5"/>
  <c r="D24" i="5"/>
  <c r="T21" i="5"/>
  <c r="S21" i="5"/>
  <c r="D21" i="5"/>
  <c r="T20" i="5"/>
  <c r="S20" i="5"/>
  <c r="D20" i="5"/>
  <c r="T19" i="5"/>
  <c r="S19" i="5"/>
  <c r="D19" i="5"/>
  <c r="T16" i="5"/>
  <c r="S16" i="5"/>
  <c r="D16" i="5"/>
  <c r="T13" i="5"/>
  <c r="S13" i="5"/>
  <c r="D13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<sst xmlns="http://schemas.openxmlformats.org/spreadsheetml/2006/main" count="6611" uniqueCount="2258">
  <si>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</si>
  <si>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</si>
  <si>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</si>
  <si>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</si>
  <si>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</si>
  <si>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</si>
  <si>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</si>
  <si>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</si>
  <si>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</si>
  <si>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Wilks</t>
  </si>
  <si>
    <t>Приседание</t>
  </si>
  <si>
    <t>Жим лёжа</t>
  </si>
  <si>
    <t>Становая тяга</t>
  </si>
  <si>
    <t>ВЕСОВАЯ КАТЕГОРИЯ   60</t>
  </si>
  <si>
    <t>-. Будкина Татьяна</t>
  </si>
  <si>
    <t>Ветераны 40 - 44 (02.04.1979)/40</t>
  </si>
  <si>
    <t>59,30</t>
  </si>
  <si>
    <t xml:space="preserve">Russia </t>
  </si>
  <si>
    <t xml:space="preserve">Клин/Московская область </t>
  </si>
  <si>
    <t>120,0</t>
  </si>
  <si>
    <t>135,0</t>
  </si>
  <si>
    <t>75,0</t>
  </si>
  <si>
    <t xml:space="preserve">Шель-Фетенгоф Д.М. </t>
  </si>
  <si>
    <t>ВЕСОВАЯ КАТЕГОРИЯ   67.5</t>
  </si>
  <si>
    <t>1. Макунина Маргарита</t>
  </si>
  <si>
    <t>Ветераны 50 - 54 (07.03.1969)/50</t>
  </si>
  <si>
    <t>65,20</t>
  </si>
  <si>
    <t xml:space="preserve">Озёры/Московская область </t>
  </si>
  <si>
    <t>110,0</t>
  </si>
  <si>
    <t>125,0</t>
  </si>
  <si>
    <t>70,0</t>
  </si>
  <si>
    <t>80,0</t>
  </si>
  <si>
    <t>90,0</t>
  </si>
  <si>
    <t>130,0</t>
  </si>
  <si>
    <t>140,0</t>
  </si>
  <si>
    <t xml:space="preserve">. </t>
  </si>
  <si>
    <t>ВЕСОВАЯ КАТЕГОРИЯ   75</t>
  </si>
  <si>
    <t>1. Епихина Виктория</t>
  </si>
  <si>
    <t>Открытая (18.04.1991)/28</t>
  </si>
  <si>
    <t>72,90</t>
  </si>
  <si>
    <t xml:space="preserve">Москва/ </t>
  </si>
  <si>
    <t>185,0</t>
  </si>
  <si>
    <t>192,5</t>
  </si>
  <si>
    <t>102,5</t>
  </si>
  <si>
    <t>107,5</t>
  </si>
  <si>
    <t>112,5</t>
  </si>
  <si>
    <t>195,0</t>
  </si>
  <si>
    <t>205,0</t>
  </si>
  <si>
    <t>215,0</t>
  </si>
  <si>
    <t xml:space="preserve">Папенков П.А. </t>
  </si>
  <si>
    <t>2. Астахова Елена</t>
  </si>
  <si>
    <t>Открытая (17.04.1982)/37</t>
  </si>
  <si>
    <t>68,30</t>
  </si>
  <si>
    <t>145,0</t>
  </si>
  <si>
    <t>150,0</t>
  </si>
  <si>
    <t>82,5</t>
  </si>
  <si>
    <t>165,0</t>
  </si>
  <si>
    <t>170,0</t>
  </si>
  <si>
    <t>175,0</t>
  </si>
  <si>
    <t>ВЕСОВАЯ КАТЕГОРИЯ   82.5</t>
  </si>
  <si>
    <t>1. Суржицкая Лия</t>
  </si>
  <si>
    <t>Юниорки 20 - 23 (23.01.1999)/20</t>
  </si>
  <si>
    <t>77,10</t>
  </si>
  <si>
    <t>190,0</t>
  </si>
  <si>
    <t>200,0</t>
  </si>
  <si>
    <t>210,0</t>
  </si>
  <si>
    <t>115,0</t>
  </si>
  <si>
    <t>180,0</t>
  </si>
  <si>
    <t xml:space="preserve">Марченко В.В. </t>
  </si>
  <si>
    <t>Космос Дмитрий</t>
  </si>
  <si>
    <t>1. Космос Дмитрий</t>
  </si>
  <si>
    <t>Открытая (25.07.1994)/24</t>
  </si>
  <si>
    <t>73,80</t>
  </si>
  <si>
    <t>220,0</t>
  </si>
  <si>
    <t>225,0</t>
  </si>
  <si>
    <t xml:space="preserve">Бахланов Ю. </t>
  </si>
  <si>
    <t>Ремизевич Евгений</t>
  </si>
  <si>
    <t>2. Ремизевич Евгений</t>
  </si>
  <si>
    <t>Открытая (03.03.1992)/27</t>
  </si>
  <si>
    <t>73,00</t>
  </si>
  <si>
    <t>155,0</t>
  </si>
  <si>
    <t>100,0</t>
  </si>
  <si>
    <t>160,0</t>
  </si>
  <si>
    <t xml:space="preserve">Лакалин А.С. </t>
  </si>
  <si>
    <t>-. Соловьев Владимир</t>
  </si>
  <si>
    <t>Открытая (30.10.1987)/31</t>
  </si>
  <si>
    <t>73,30</t>
  </si>
  <si>
    <t xml:space="preserve">Раменское/Московская область </t>
  </si>
  <si>
    <t xml:space="preserve">Бебенин Г. </t>
  </si>
  <si>
    <t>Зиннатов Руслан</t>
  </si>
  <si>
    <t>1. Зиннатов Руслан</t>
  </si>
  <si>
    <t>Открытая (21.12.1986)/32</t>
  </si>
  <si>
    <t>81,20</t>
  </si>
  <si>
    <t>132,5</t>
  </si>
  <si>
    <t>137,5</t>
  </si>
  <si>
    <t xml:space="preserve">Котов Н. </t>
  </si>
  <si>
    <t>ВЕСОВАЯ КАТЕГОРИЯ   90</t>
  </si>
  <si>
    <t>1. Золотухин Владислав</t>
  </si>
  <si>
    <t>Юноши 15-19 (30.01.2002)/17</t>
  </si>
  <si>
    <t>87,60</t>
  </si>
  <si>
    <t>65,0</t>
  </si>
  <si>
    <t xml:space="preserve">Ушков И.Д </t>
  </si>
  <si>
    <t>1. Никитин Артем</t>
  </si>
  <si>
    <t>Юниоры 20 - 23 (01.02.1998)/21</t>
  </si>
  <si>
    <t>89,60</t>
  </si>
  <si>
    <t>270,0</t>
  </si>
  <si>
    <t>290,0</t>
  </si>
  <si>
    <t>152,5</t>
  </si>
  <si>
    <t>235,0</t>
  </si>
  <si>
    <t>255,0</t>
  </si>
  <si>
    <t xml:space="preserve">Цацулин М. </t>
  </si>
  <si>
    <t>Крошкин Роман</t>
  </si>
  <si>
    <t>1. Крошкин Роман</t>
  </si>
  <si>
    <t>Открытая (09.02.1981)/38</t>
  </si>
  <si>
    <t>88,70</t>
  </si>
  <si>
    <t xml:space="preserve">Подольск/Московская область </t>
  </si>
  <si>
    <t>240,0</t>
  </si>
  <si>
    <t>157,5</t>
  </si>
  <si>
    <t>260,0</t>
  </si>
  <si>
    <t>275,0</t>
  </si>
  <si>
    <t>285,0</t>
  </si>
  <si>
    <t xml:space="preserve">Филиппов И. </t>
  </si>
  <si>
    <t>Исаев Андрей</t>
  </si>
  <si>
    <t>2. Исаев Андрей</t>
  </si>
  <si>
    <t>Открытая (15.12.1991)/27</t>
  </si>
  <si>
    <t>88,80</t>
  </si>
  <si>
    <t>250,0</t>
  </si>
  <si>
    <t>257,5</t>
  </si>
  <si>
    <t>262,5</t>
  </si>
  <si>
    <t>Лебедев Александр</t>
  </si>
  <si>
    <t>3. Лебедев Александр</t>
  </si>
  <si>
    <t>Открытая (14.10.1993)/25</t>
  </si>
  <si>
    <t>86,80</t>
  </si>
  <si>
    <t xml:space="preserve">Химки/Московская область </t>
  </si>
  <si>
    <t>230,0</t>
  </si>
  <si>
    <t xml:space="preserve">Локотков А. А. </t>
  </si>
  <si>
    <t>-. Марков Анатолий</t>
  </si>
  <si>
    <t>Ветераны 65 - 69 (13.01.1951)/68</t>
  </si>
  <si>
    <t>86,90</t>
  </si>
  <si>
    <t>ВЕСОВАЯ КАТЕГОРИЯ   100</t>
  </si>
  <si>
    <t>1. Самойленко Максим</t>
  </si>
  <si>
    <t>Юниоры 20 - 23 (11.03.1998)/21</t>
  </si>
  <si>
    <t>98,60</t>
  </si>
  <si>
    <t xml:space="preserve">Ukraine </t>
  </si>
  <si>
    <t xml:space="preserve">Украина/ </t>
  </si>
  <si>
    <t>300,0</t>
  </si>
  <si>
    <t>320,0</t>
  </si>
  <si>
    <t xml:space="preserve">Самойленко М.П. </t>
  </si>
  <si>
    <t>Шабров Александр</t>
  </si>
  <si>
    <t>1. Шабров Александр</t>
  </si>
  <si>
    <t>Открытая (07.02.1991)/28</t>
  </si>
  <si>
    <t>95,90</t>
  </si>
  <si>
    <t xml:space="preserve">Дубна/Московская область </t>
  </si>
  <si>
    <t>280,0</t>
  </si>
  <si>
    <t>Замчалов Олег</t>
  </si>
  <si>
    <t>2. Замчалов Олег</t>
  </si>
  <si>
    <t>Открытая (12.07.1977)/41</t>
  </si>
  <si>
    <t>98,10</t>
  </si>
  <si>
    <t xml:space="preserve"> </t>
  </si>
  <si>
    <t>Кименшу Сергей</t>
  </si>
  <si>
    <t>3. Кименшу Сергей</t>
  </si>
  <si>
    <t>Открытая (19.12.1982)/36</t>
  </si>
  <si>
    <t>99,40</t>
  </si>
  <si>
    <t>147,5</t>
  </si>
  <si>
    <t xml:space="preserve">Абдуллин М.Р. </t>
  </si>
  <si>
    <t>Резник Евгений</t>
  </si>
  <si>
    <t>4. Резник Евгений</t>
  </si>
  <si>
    <t>Открытая (27.10.1994)/24</t>
  </si>
  <si>
    <t>96,40</t>
  </si>
  <si>
    <t>162,5</t>
  </si>
  <si>
    <t>222,5</t>
  </si>
  <si>
    <t xml:space="preserve">Резник Е.Ю. </t>
  </si>
  <si>
    <t>-. Елов Владимир</t>
  </si>
  <si>
    <t>Открытая (04.03.1991)/28</t>
  </si>
  <si>
    <t>91,80</t>
  </si>
  <si>
    <t>ВЕСОВАЯ КАТЕГОРИЯ   110</t>
  </si>
  <si>
    <t>Болож Сергей</t>
  </si>
  <si>
    <t>1. Болож Сергей</t>
  </si>
  <si>
    <t>Открытая (05.05.1992)/27</t>
  </si>
  <si>
    <t>107,90</t>
  </si>
  <si>
    <t>315,0</t>
  </si>
  <si>
    <t>265,0</t>
  </si>
  <si>
    <t>Романов Александр</t>
  </si>
  <si>
    <t>2. Романов Александр</t>
  </si>
  <si>
    <t>Открытая (02.02.1973)/46</t>
  </si>
  <si>
    <t>109,70</t>
  </si>
  <si>
    <t>187,5</t>
  </si>
  <si>
    <t>-. Трубичкин Ярослав</t>
  </si>
  <si>
    <t>Открытая (16.06.1987)/31</t>
  </si>
  <si>
    <t>104,80</t>
  </si>
  <si>
    <t xml:space="preserve">Ялта/Крым </t>
  </si>
  <si>
    <t>350,0</t>
  </si>
  <si>
    <t>365,0</t>
  </si>
  <si>
    <t>310,0</t>
  </si>
  <si>
    <t>1. Романов Александр</t>
  </si>
  <si>
    <t>Ветераны 45 - 49 (02.02.1973)/46</t>
  </si>
  <si>
    <t>ВЕСОВАЯ КАТЕГОРИЯ   125</t>
  </si>
  <si>
    <t>Ягудин Ильдар</t>
  </si>
  <si>
    <t>1. Ягудин Ильдар</t>
  </si>
  <si>
    <t>Открытая (24.04.1994)/25</t>
  </si>
  <si>
    <t>113,20</t>
  </si>
  <si>
    <t xml:space="preserve">Саратов/Саратовская область </t>
  </si>
  <si>
    <t>1. Старов Дмитрий</t>
  </si>
  <si>
    <t>Ветераны 45 - 49 (01.02.1973)/46</t>
  </si>
  <si>
    <t>116,40</t>
  </si>
  <si>
    <t>272,5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</si>
  <si>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</si>
  <si>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</si>
  <si>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</si>
  <si>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</si>
  <si>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</si>
  <si>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</si>
  <si>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</si>
  <si>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</si>
  <si>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</si>
  <si>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</si>
  <si>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</si>
  <si>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</si>
  <si>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 xml:space="preserve">Юниоры 20 - 23 </t>
  </si>
  <si>
    <t>82.5</t>
  </si>
  <si>
    <t xml:space="preserve">Открытая </t>
  </si>
  <si>
    <t>75</t>
  </si>
  <si>
    <t xml:space="preserve">Ветераны </t>
  </si>
  <si>
    <t xml:space="preserve">Ветераны 50 - 54 </t>
  </si>
  <si>
    <t>67.5</t>
  </si>
  <si>
    <t>340,0</t>
  </si>
  <si>
    <t xml:space="preserve">Мужчины </t>
  </si>
  <si>
    <t xml:space="preserve">Юноши </t>
  </si>
  <si>
    <t xml:space="preserve">Юноши 15-19 </t>
  </si>
  <si>
    <t>90</t>
  </si>
  <si>
    <t xml:space="preserve">Юниоры </t>
  </si>
  <si>
    <t>100</t>
  </si>
  <si>
    <t>780,0</t>
  </si>
  <si>
    <t>760,0</t>
  </si>
  <si>
    <t>470,7440</t>
  </si>
  <si>
    <t>110</t>
  </si>
  <si>
    <t>770,0</t>
  </si>
  <si>
    <t>455,9170</t>
  </si>
  <si>
    <t>697,5</t>
  </si>
  <si>
    <t>448,6320</t>
  </si>
  <si>
    <t>730,0</t>
  </si>
  <si>
    <t>447,7820</t>
  </si>
  <si>
    <t>682,5</t>
  </si>
  <si>
    <t>438,7110</t>
  </si>
  <si>
    <t>125</t>
  </si>
  <si>
    <t>740,0</t>
  </si>
  <si>
    <t>431,8640</t>
  </si>
  <si>
    <t>675,0</t>
  </si>
  <si>
    <t>411,8175</t>
  </si>
  <si>
    <t>670,0</t>
  </si>
  <si>
    <t>394,6300</t>
  </si>
  <si>
    <t>575,0</t>
  </si>
  <si>
    <t>388,9300</t>
  </si>
  <si>
    <t>595,0</t>
  </si>
  <si>
    <t>387,1665</t>
  </si>
  <si>
    <t>612,5</t>
  </si>
  <si>
    <t>378,5250</t>
  </si>
  <si>
    <t>520,0</t>
  </si>
  <si>
    <t>374,7640</t>
  </si>
  <si>
    <t>442,5</t>
  </si>
  <si>
    <t>321,4320</t>
  </si>
  <si>
    <t xml:space="preserve">Ветераны 45 - 49 </t>
  </si>
  <si>
    <t>1. Сафарова Наталья</t>
  </si>
  <si>
    <t>Открытая (03.05.1988)/31</t>
  </si>
  <si>
    <t>77,5</t>
  </si>
  <si>
    <t xml:space="preserve">Лохадынов А. </t>
  </si>
  <si>
    <t>1. Ушкова Анна</t>
  </si>
  <si>
    <t>Открытая (03.06.1982)/37</t>
  </si>
  <si>
    <t>76,60</t>
  </si>
  <si>
    <t>85,0</t>
  </si>
  <si>
    <t>95,0</t>
  </si>
  <si>
    <t>60,0</t>
  </si>
  <si>
    <t>62,5</t>
  </si>
  <si>
    <t xml:space="preserve">Шувалов С.А. </t>
  </si>
  <si>
    <t>-. Князев Юрий</t>
  </si>
  <si>
    <t>Открытая (07.12.1983)/35</t>
  </si>
  <si>
    <t>74,70</t>
  </si>
  <si>
    <t xml:space="preserve">Фрязино/Московская область </t>
  </si>
  <si>
    <t xml:space="preserve">Юдин Г.В. </t>
  </si>
  <si>
    <t>Телегин Александр</t>
  </si>
  <si>
    <t>1. Телегин Александр</t>
  </si>
  <si>
    <t>Ветераны 60 - 64 (08.12.1957)/61</t>
  </si>
  <si>
    <t>72,80</t>
  </si>
  <si>
    <t>Зубков Павел</t>
  </si>
  <si>
    <t>1. Зубков Павел</t>
  </si>
  <si>
    <t>Открытая (22.12.1985)/33</t>
  </si>
  <si>
    <t>81,50</t>
  </si>
  <si>
    <t xml:space="preserve">Чаплыгин/Липецкая область </t>
  </si>
  <si>
    <t>295,0</t>
  </si>
  <si>
    <t>307,5</t>
  </si>
  <si>
    <t>Боев Виталий</t>
  </si>
  <si>
    <t>1. Боев Виталий</t>
  </si>
  <si>
    <t>Открытая (27.06.1984)/34</t>
  </si>
  <si>
    <t>88,90</t>
  </si>
  <si>
    <t xml:space="preserve">Орёл/Орловская область </t>
  </si>
  <si>
    <t>212,5</t>
  </si>
  <si>
    <t>172,5</t>
  </si>
  <si>
    <t>Решетов Владимир</t>
  </si>
  <si>
    <t>1. Решетов Владимир</t>
  </si>
  <si>
    <t>Ветераны 40 - 44 (07.07.1975)/43</t>
  </si>
  <si>
    <t>89,40</t>
  </si>
  <si>
    <t xml:space="preserve">Рязань/Рязанская область </t>
  </si>
  <si>
    <t>167,5</t>
  </si>
  <si>
    <t>242,5</t>
  </si>
  <si>
    <t xml:space="preserve">Решетов А.В. </t>
  </si>
  <si>
    <t>Новиков Николай</t>
  </si>
  <si>
    <t>-. Новиков Николай</t>
  </si>
  <si>
    <t>Ветераны 80+ (25.04.1938)/81</t>
  </si>
  <si>
    <t>87,70</t>
  </si>
  <si>
    <t>Грузин Алексей</t>
  </si>
  <si>
    <t>1. Грузин Алексей</t>
  </si>
  <si>
    <t>Открытая (23.06.1983)/35</t>
  </si>
  <si>
    <t>98,40</t>
  </si>
  <si>
    <t>305,0</t>
  </si>
  <si>
    <t>Дворцов Александр</t>
  </si>
  <si>
    <t>2. Дворцов Александр</t>
  </si>
  <si>
    <t>Открытая (09.07.1981)/37</t>
  </si>
  <si>
    <t>100,00</t>
  </si>
  <si>
    <t>245,0</t>
  </si>
  <si>
    <t xml:space="preserve">Дворцов А.В. </t>
  </si>
  <si>
    <t>Сапунков Константин</t>
  </si>
  <si>
    <t>3. Сапунков Константин</t>
  </si>
  <si>
    <t>Открытая (02.09.1981)/37</t>
  </si>
  <si>
    <t>97,90</t>
  </si>
  <si>
    <t xml:space="preserve">Ивантеевка/Московская область </t>
  </si>
  <si>
    <t xml:space="preserve">Брехов Р.О. </t>
  </si>
  <si>
    <t>Тихомиров Михаил</t>
  </si>
  <si>
    <t>-. Тихомиров Михаил</t>
  </si>
  <si>
    <t>Ветераны 45 - 49 (03.03.1974)/45</t>
  </si>
  <si>
    <t>97,50</t>
  </si>
  <si>
    <t>Солопов Евгений</t>
  </si>
  <si>
    <t>1. Солопов Евгений</t>
  </si>
  <si>
    <t>Открытая (04.09.1989)/29</t>
  </si>
  <si>
    <t>108,60</t>
  </si>
  <si>
    <t>312,5</t>
  </si>
  <si>
    <t>Коротченков Роман</t>
  </si>
  <si>
    <t>1. Коротченков Роман</t>
  </si>
  <si>
    <t>Ветераны 40 - 44 (30.07.1978)/40</t>
  </si>
  <si>
    <t>100,80</t>
  </si>
  <si>
    <t xml:space="preserve">Кубинка/Московская область </t>
  </si>
  <si>
    <t>Маркин Николай</t>
  </si>
  <si>
    <t>1. Маркин Николай</t>
  </si>
  <si>
    <t>Открытая (14.03.1981)/38</t>
  </si>
  <si>
    <t>121,70</t>
  </si>
  <si>
    <t xml:space="preserve">Суровецкий А.Е. </t>
  </si>
  <si>
    <t>Хаяркин Евгений</t>
  </si>
  <si>
    <t>1. Хаяркин Евгений</t>
  </si>
  <si>
    <t>Ветераны 45 - 49 (10.02.1972)/47</t>
  </si>
  <si>
    <t>111,70</t>
  </si>
  <si>
    <t xml:space="preserve">Мытищи/Московская область </t>
  </si>
  <si>
    <t>Шувалов Сергей</t>
  </si>
  <si>
    <t>2. Шувалов Сергей</t>
  </si>
  <si>
    <t>Ветераны 45 - 49 (28.09.1972)/46</t>
  </si>
  <si>
    <t>118,60</t>
  </si>
  <si>
    <t>725,0</t>
  </si>
  <si>
    <t>489,3025</t>
  </si>
  <si>
    <t>460,9020</t>
  </si>
  <si>
    <t>745,0</t>
  </si>
  <si>
    <t>456,3870</t>
  </si>
  <si>
    <t>700,0</t>
  </si>
  <si>
    <t>426,0200</t>
  </si>
  <si>
    <t>690,0</t>
  </si>
  <si>
    <t>423,5910</t>
  </si>
  <si>
    <t>632,5</t>
  </si>
  <si>
    <t>406,3180</t>
  </si>
  <si>
    <t>677,5</t>
  </si>
  <si>
    <t>388,2752</t>
  </si>
  <si>
    <t xml:space="preserve">Ветераны 60 - 64 </t>
  </si>
  <si>
    <t>487,5</t>
  </si>
  <si>
    <t>484,6602</t>
  </si>
  <si>
    <t xml:space="preserve">Ветераны 40 - 44 </t>
  </si>
  <si>
    <t>640,0</t>
  </si>
  <si>
    <t>422,6935</t>
  </si>
  <si>
    <t>645,0</t>
  </si>
  <si>
    <t>408,8240</t>
  </si>
  <si>
    <t>625,0</t>
  </si>
  <si>
    <t>384,8137</t>
  </si>
  <si>
    <t>570,0</t>
  </si>
  <si>
    <t>345,8190</t>
  </si>
  <si>
    <t>1. Емельянов Павел</t>
  </si>
  <si>
    <t>Ветераны 40 - 44 (13.11.1977)/41</t>
  </si>
  <si>
    <t>110,80</t>
  </si>
  <si>
    <t>1. Кириллов Анатолий</t>
  </si>
  <si>
    <t>Открытая (08.09.1981)/37</t>
  </si>
  <si>
    <t>87,30</t>
  </si>
  <si>
    <t>182,5</t>
  </si>
  <si>
    <t xml:space="preserve">Кровиков А.В. </t>
  </si>
  <si>
    <t>1. Кровиков Александр</t>
  </si>
  <si>
    <t>Ветераны 55 - 59 (26.09.1961)/57</t>
  </si>
  <si>
    <t>92,40</t>
  </si>
  <si>
    <t xml:space="preserve">Дзержинский/Московская область </t>
  </si>
  <si>
    <t xml:space="preserve">Ветераны 55 - 59 </t>
  </si>
  <si>
    <t>ВЕСОВАЯ КАТЕГОРИЯ   48</t>
  </si>
  <si>
    <t>Смирнова Елизавета</t>
  </si>
  <si>
    <t>1. Смирнова Елизавета</t>
  </si>
  <si>
    <t>Открытая (19.01.1995)/24</t>
  </si>
  <si>
    <t>47,60</t>
  </si>
  <si>
    <t>72,5</t>
  </si>
  <si>
    <t>40,0</t>
  </si>
  <si>
    <t>45,0</t>
  </si>
  <si>
    <t>47,5</t>
  </si>
  <si>
    <t>105,0</t>
  </si>
  <si>
    <t>ВЕСОВАЯ КАТЕГОРИЯ   52</t>
  </si>
  <si>
    <t>Соколова Анна</t>
  </si>
  <si>
    <t>1. Соколова Анна</t>
  </si>
  <si>
    <t>Открытая (15.03.1984)/35</t>
  </si>
  <si>
    <t>50,20</t>
  </si>
  <si>
    <t>67,5</t>
  </si>
  <si>
    <t>122,5</t>
  </si>
  <si>
    <t>127,5</t>
  </si>
  <si>
    <t xml:space="preserve">Даниелян С.А. </t>
  </si>
  <si>
    <t>Копылова Оксана</t>
  </si>
  <si>
    <t>2. Копылова Оксана</t>
  </si>
  <si>
    <t>Открытая (05.07.1989)/29</t>
  </si>
  <si>
    <t>50,70</t>
  </si>
  <si>
    <t>92,5</t>
  </si>
  <si>
    <t>97,5</t>
  </si>
  <si>
    <t>50,0</t>
  </si>
  <si>
    <t xml:space="preserve">Климов М.В. </t>
  </si>
  <si>
    <t>Смирнова Людмила</t>
  </si>
  <si>
    <t>3. Смирнова Людмила</t>
  </si>
  <si>
    <t>Открытая (03.07.1979)/39</t>
  </si>
  <si>
    <t>52,00</t>
  </si>
  <si>
    <t xml:space="preserve">Славгород/Алтайский край </t>
  </si>
  <si>
    <t xml:space="preserve">Дударева И. </t>
  </si>
  <si>
    <t>ВЕСОВАЯ КАТЕГОРИЯ   56</t>
  </si>
  <si>
    <t>Горшкова Анастасия</t>
  </si>
  <si>
    <t>1. Горшкова Анастасия</t>
  </si>
  <si>
    <t>Открытая (29.01.1988)/31</t>
  </si>
  <si>
    <t>54,10</t>
  </si>
  <si>
    <t xml:space="preserve">Красногорск/Московская область </t>
  </si>
  <si>
    <t>52,5</t>
  </si>
  <si>
    <t>55,0</t>
  </si>
  <si>
    <t xml:space="preserve">Горшкова А.В. </t>
  </si>
  <si>
    <t>Ткаченко Ирина</t>
  </si>
  <si>
    <t>2. Ткаченко Ирина</t>
  </si>
  <si>
    <t>Открытая (23.07.1990)/28</t>
  </si>
  <si>
    <t>55,30</t>
  </si>
  <si>
    <t xml:space="preserve">Ткаченко И.В. </t>
  </si>
  <si>
    <t>1. Мартынова Екатерина</t>
  </si>
  <si>
    <t>Юниорки 20 - 23 (13.04.1997)/22</t>
  </si>
  <si>
    <t xml:space="preserve">Мухин В. </t>
  </si>
  <si>
    <t>1. Большакова Светлана</t>
  </si>
  <si>
    <t>Ветераны 40 - 44 (27.05.1975)/44</t>
  </si>
  <si>
    <t>64,60</t>
  </si>
  <si>
    <t xml:space="preserve">Большакова С В </t>
  </si>
  <si>
    <t>Иваненко Анна</t>
  </si>
  <si>
    <t>1. Иваненко Анна</t>
  </si>
  <si>
    <t>Открытая (03.01.1986)/33</t>
  </si>
  <si>
    <t>74,30</t>
  </si>
  <si>
    <t xml:space="preserve">Румянцев С.В. </t>
  </si>
  <si>
    <t>1. Кочмарук Дмитрий</t>
  </si>
  <si>
    <t>Юноши 15-19 (26.03.2000)/19</t>
  </si>
  <si>
    <t>217,5</t>
  </si>
  <si>
    <t xml:space="preserve">Власова Н.В. </t>
  </si>
  <si>
    <t>Кутилов Петр</t>
  </si>
  <si>
    <t>1. Кутилов Петр</t>
  </si>
  <si>
    <t>Открытая (07.06.1986)/33</t>
  </si>
  <si>
    <t>72,60</t>
  </si>
  <si>
    <t xml:space="preserve">Королёв/Московская область </t>
  </si>
  <si>
    <t>Евсеев Роман</t>
  </si>
  <si>
    <t>1. Евсеев Роман</t>
  </si>
  <si>
    <t>Открытая (12.08.1993)/25</t>
  </si>
  <si>
    <t>81,10</t>
  </si>
  <si>
    <t xml:space="preserve">Шабров А.Г. </t>
  </si>
  <si>
    <t>Васильев Иван</t>
  </si>
  <si>
    <t>2. Васильев Иван</t>
  </si>
  <si>
    <t>Открытая (08.06.1991)/28</t>
  </si>
  <si>
    <t>82,10</t>
  </si>
  <si>
    <t xml:space="preserve">Рассказово/Тамбовская область </t>
  </si>
  <si>
    <t>207,5</t>
  </si>
  <si>
    <t xml:space="preserve">Лаханов И.А </t>
  </si>
  <si>
    <t>1. Петропавловский Евгений</t>
  </si>
  <si>
    <t>Юниоры 20 - 23 (07.08.1997)/21</t>
  </si>
  <si>
    <t xml:space="preserve">Дмитров/Московская область </t>
  </si>
  <si>
    <t>Холодный Станислав</t>
  </si>
  <si>
    <t>1. Холодный Станислав</t>
  </si>
  <si>
    <t>Открытая (11.06.1987)/31</t>
  </si>
  <si>
    <t>89,00</t>
  </si>
  <si>
    <t>Рогачев Илья</t>
  </si>
  <si>
    <t>2. Рогачев Илья</t>
  </si>
  <si>
    <t>Открытая (25.02.1983)/36</t>
  </si>
  <si>
    <t>88,50</t>
  </si>
  <si>
    <t>-. Мурзаханов Николай</t>
  </si>
  <si>
    <t>Ветераны 60 - 64 (29.07.1955)/63</t>
  </si>
  <si>
    <t>88,60</t>
  </si>
  <si>
    <t xml:space="preserve">Санкт-Петербург/ </t>
  </si>
  <si>
    <t>1. Бобков Михаил</t>
  </si>
  <si>
    <t>Ветераны 70 - 74 (21.11.1947)/71</t>
  </si>
  <si>
    <t xml:space="preserve">Балахна/Нижегородская область </t>
  </si>
  <si>
    <t>Сысоев Алексей</t>
  </si>
  <si>
    <t>1. Сысоев Алексей</t>
  </si>
  <si>
    <t>Открытая (24.05.1988)/31</t>
  </si>
  <si>
    <t>96,30</t>
  </si>
  <si>
    <t>Певцов Роман</t>
  </si>
  <si>
    <t>2. Певцов Роман</t>
  </si>
  <si>
    <t>Открытая (08.04.1991)/28</t>
  </si>
  <si>
    <t>96,70</t>
  </si>
  <si>
    <t xml:space="preserve">Владимир/Владимирская область </t>
  </si>
  <si>
    <t>Дрожжин Андрей</t>
  </si>
  <si>
    <t>1. Дрожжин Андрей</t>
  </si>
  <si>
    <t>Открытая (21.11.1977)/41</t>
  </si>
  <si>
    <t xml:space="preserve">Хотьково/Московская область </t>
  </si>
  <si>
    <t xml:space="preserve">Мамичева Е. </t>
  </si>
  <si>
    <t>Ветераны 40 - 44 (21.11.1977)/41</t>
  </si>
  <si>
    <t>2. Рак Иван</t>
  </si>
  <si>
    <t>Ветераны 40 - 44 (27.08.1974)/44</t>
  </si>
  <si>
    <t>108,50</t>
  </si>
  <si>
    <t>252,5</t>
  </si>
  <si>
    <t xml:space="preserve">Евстигнеев М. </t>
  </si>
  <si>
    <t>Самарский Константин</t>
  </si>
  <si>
    <t>1. Самарский Константин</t>
  </si>
  <si>
    <t>Ветераны 55 - 59 (06.01.1962)/57</t>
  </si>
  <si>
    <t>105,80</t>
  </si>
  <si>
    <t xml:space="preserve">Астрахань/Астраханская область </t>
  </si>
  <si>
    <t>142,5</t>
  </si>
  <si>
    <t>60</t>
  </si>
  <si>
    <t>56</t>
  </si>
  <si>
    <t>322,5</t>
  </si>
  <si>
    <t>389,8380</t>
  </si>
  <si>
    <t>52</t>
  </si>
  <si>
    <t>384,2400</t>
  </si>
  <si>
    <t>334,7050</t>
  </si>
  <si>
    <t>320,9528</t>
  </si>
  <si>
    <t>267,5</t>
  </si>
  <si>
    <t>317,8703</t>
  </si>
  <si>
    <t>48</t>
  </si>
  <si>
    <t>296,5035</t>
  </si>
  <si>
    <t>232,5</t>
  </si>
  <si>
    <t>289,8345</t>
  </si>
  <si>
    <t>431,3570</t>
  </si>
  <si>
    <t>414,2610</t>
  </si>
  <si>
    <t>413,5240</t>
  </si>
  <si>
    <t>585,0</t>
  </si>
  <si>
    <t>375,6285</t>
  </si>
  <si>
    <t>552,5</t>
  </si>
  <si>
    <t>373,9873</t>
  </si>
  <si>
    <t>532,5</t>
  </si>
  <si>
    <t>357,7867</t>
  </si>
  <si>
    <t>535,0</t>
  </si>
  <si>
    <t>344,5400</t>
  </si>
  <si>
    <t>425,0</t>
  </si>
  <si>
    <t>309,9525</t>
  </si>
  <si>
    <t xml:space="preserve">Ветераны 70 - 74 </t>
  </si>
  <si>
    <t>ВЕСОВАЯ КАТЕГОРИЯ   44</t>
  </si>
  <si>
    <t>1. Сучкова Екатерина</t>
  </si>
  <si>
    <t>Юниорки 20 - 23 (15.05.1997)/22</t>
  </si>
  <si>
    <t>42,50</t>
  </si>
  <si>
    <t>30,0</t>
  </si>
  <si>
    <t>35,0</t>
  </si>
  <si>
    <t>Лукманова Алиса</t>
  </si>
  <si>
    <t>1. Лукманова Алиса</t>
  </si>
  <si>
    <t>Открытая (25.01.1992)/27</t>
  </si>
  <si>
    <t>55,40</t>
  </si>
  <si>
    <t xml:space="preserve">Лукманова А.Ф </t>
  </si>
  <si>
    <t>Ухарева Мария</t>
  </si>
  <si>
    <t>1. Ухарева Мария</t>
  </si>
  <si>
    <t>57,70</t>
  </si>
  <si>
    <t>117,5</t>
  </si>
  <si>
    <t xml:space="preserve">Корнеев П.Н. </t>
  </si>
  <si>
    <t>Чаплыгина Екатерина</t>
  </si>
  <si>
    <t>2. Чаплыгина Екатерина</t>
  </si>
  <si>
    <t>Открытая (17.09.1991)/27</t>
  </si>
  <si>
    <t>60,00</t>
  </si>
  <si>
    <t>57,5</t>
  </si>
  <si>
    <t xml:space="preserve">Афанасьев Н.Н. </t>
  </si>
  <si>
    <t>Нканди Лоиде</t>
  </si>
  <si>
    <t>3. Нканди Лоиде</t>
  </si>
  <si>
    <t>Открытая (30.08.1990)/28</t>
  </si>
  <si>
    <t>59,70</t>
  </si>
  <si>
    <t>Мясоедова Алина</t>
  </si>
  <si>
    <t>4. Мясоедова Алина</t>
  </si>
  <si>
    <t>Открытая (29.06.1988)/30</t>
  </si>
  <si>
    <t>58,50</t>
  </si>
  <si>
    <t>42,5</t>
  </si>
  <si>
    <t xml:space="preserve">Кондаков А. </t>
  </si>
  <si>
    <t>Карихинга Каунаренга</t>
  </si>
  <si>
    <t>1. Карихинга Каунаренга</t>
  </si>
  <si>
    <t>Открытая (21.07.1985)/33</t>
  </si>
  <si>
    <t>65,90</t>
  </si>
  <si>
    <t xml:space="preserve">Namibia </t>
  </si>
  <si>
    <t>Сёмкина Юлия</t>
  </si>
  <si>
    <t>2. Сёмкина Юлия</t>
  </si>
  <si>
    <t>Открытая (24.04.1989)/30</t>
  </si>
  <si>
    <t>65,70</t>
  </si>
  <si>
    <t xml:space="preserve">Балашиха/Московская область </t>
  </si>
  <si>
    <t xml:space="preserve">Махмадюнус Р. </t>
  </si>
  <si>
    <t>-. Викторова Наталья</t>
  </si>
  <si>
    <t>Открытая (29.12.1985)/33</t>
  </si>
  <si>
    <t>67,20</t>
  </si>
  <si>
    <t xml:space="preserve">Краснозаводск/Московская область </t>
  </si>
  <si>
    <t xml:space="preserve">Пауесов А.И. </t>
  </si>
  <si>
    <t>-. Ушакова Ольга</t>
  </si>
  <si>
    <t>Открытая (22.03.1974)/45</t>
  </si>
  <si>
    <t xml:space="preserve">Сотников В. </t>
  </si>
  <si>
    <t>Ветераны 45 - 49 (22.03.1974)/45</t>
  </si>
  <si>
    <t>1. Кафтайлова Наталья</t>
  </si>
  <si>
    <t>Ветераны 55 - 59 (24.08.1960)/58</t>
  </si>
  <si>
    <t>65,80</t>
  </si>
  <si>
    <t>Сергеева Наталья</t>
  </si>
  <si>
    <t>1. Сергеева Наталья</t>
  </si>
  <si>
    <t>Открытая (27.10.1985)/33</t>
  </si>
  <si>
    <t>68,70</t>
  </si>
  <si>
    <t xml:space="preserve">Бурец Е.Е. </t>
  </si>
  <si>
    <t>1. Кассеус Памела</t>
  </si>
  <si>
    <t>Юниорки 20 - 23 (18.07.1998)/20</t>
  </si>
  <si>
    <t>79,80</t>
  </si>
  <si>
    <t xml:space="preserve">Haiti </t>
  </si>
  <si>
    <t>ВЕСОВАЯ КАТЕГОРИЯ   90+</t>
  </si>
  <si>
    <t>Магама Малебо</t>
  </si>
  <si>
    <t>1. Магама Малебо</t>
  </si>
  <si>
    <t>Открытая (12.03.1992)/27</t>
  </si>
  <si>
    <t>101,60</t>
  </si>
  <si>
    <t>Макаров Роман</t>
  </si>
  <si>
    <t>1. Макаров Роман</t>
  </si>
  <si>
    <t>Открытая (01.05.1988)/31</t>
  </si>
  <si>
    <t>66,90</t>
  </si>
  <si>
    <t>1. Кривов Лев</t>
  </si>
  <si>
    <t>Юноши 15-19 (01.02.2001)/18</t>
  </si>
  <si>
    <t>72,20</t>
  </si>
  <si>
    <t xml:space="preserve">Мурзаханов Н.А. </t>
  </si>
  <si>
    <t>Карангин Иван</t>
  </si>
  <si>
    <t>1. Карангин Иван</t>
  </si>
  <si>
    <t>Открытая (17.09.1985)/33</t>
  </si>
  <si>
    <t>74,50</t>
  </si>
  <si>
    <t>157,2</t>
  </si>
  <si>
    <t>237,5</t>
  </si>
  <si>
    <t>Голявин Илья</t>
  </si>
  <si>
    <t>2. Голявин Илья</t>
  </si>
  <si>
    <t>Открытая (14.08.1993)/25</t>
  </si>
  <si>
    <t>71,30</t>
  </si>
  <si>
    <t xml:space="preserve">Голявин. И. </t>
  </si>
  <si>
    <t>Майборода Алексей</t>
  </si>
  <si>
    <t>3. Майборода Алексей</t>
  </si>
  <si>
    <t>Открытая (08.01.1984)/35</t>
  </si>
  <si>
    <t>73,50</t>
  </si>
  <si>
    <t xml:space="preserve">Мясин Д.А. </t>
  </si>
  <si>
    <t>Киселев Александр</t>
  </si>
  <si>
    <t>1. Киселев Александр</t>
  </si>
  <si>
    <t>Ветераны 45 - 49 (01.01.1974)/45</t>
  </si>
  <si>
    <t>Zhakin Vladimir</t>
  </si>
  <si>
    <t>Ветераны 65 - 69 (15.09.1952)/66</t>
  </si>
  <si>
    <t>74,40</t>
  </si>
  <si>
    <t xml:space="preserve">Мавренков С.В. </t>
  </si>
  <si>
    <t>1. Монжане Видал</t>
  </si>
  <si>
    <t>Юноши 15-19 (12.06.1999)/19</t>
  </si>
  <si>
    <t>77,50</t>
  </si>
  <si>
    <t>2. Барсуков Даниил</t>
  </si>
  <si>
    <t>Юноши 15-19 (08.07.1999)/19</t>
  </si>
  <si>
    <t>79,70</t>
  </si>
  <si>
    <t xml:space="preserve">Барсуков Д. П. </t>
  </si>
  <si>
    <t>1. Хрунов Александр</t>
  </si>
  <si>
    <t>Юниоры 20 - 23 (14.04.1996)/23</t>
  </si>
  <si>
    <t>81,80</t>
  </si>
  <si>
    <t>2. Полетаев Кирилл</t>
  </si>
  <si>
    <t>Юниоры 20 - 23 (17.08.1998)/20</t>
  </si>
  <si>
    <t>81,90</t>
  </si>
  <si>
    <t>Старцев Игорь</t>
  </si>
  <si>
    <t>1. Старцев Игорь</t>
  </si>
  <si>
    <t>Открытая (14.03.1983)/36</t>
  </si>
  <si>
    <t>82,00</t>
  </si>
  <si>
    <t>277,5</t>
  </si>
  <si>
    <t>Цепелев Андрей</t>
  </si>
  <si>
    <t>-. Цепелев Андрей</t>
  </si>
  <si>
    <t>Открытая (22.12.1987)/31</t>
  </si>
  <si>
    <t>Гвоздев Алексей</t>
  </si>
  <si>
    <t>1. Гвоздев Алексей</t>
  </si>
  <si>
    <t>Ветераны 45 - 49 (27.03.1972)/47</t>
  </si>
  <si>
    <t>1. Долгирев Никита</t>
  </si>
  <si>
    <t>Юниоры 20 - 23 (09.03.1997)/22</t>
  </si>
  <si>
    <t>88,00</t>
  </si>
  <si>
    <t xml:space="preserve">Пушкино/Московская область </t>
  </si>
  <si>
    <t xml:space="preserve">Иванов В.В. </t>
  </si>
  <si>
    <t>Ярлыков Максим</t>
  </si>
  <si>
    <t>1. Ярлыков Максим</t>
  </si>
  <si>
    <t>Открытая (16.10.1984)/34</t>
  </si>
  <si>
    <t>89,20</t>
  </si>
  <si>
    <t xml:space="preserve">Ярлыков М.И. </t>
  </si>
  <si>
    <t>-. Мясин Дмитрий</t>
  </si>
  <si>
    <t>Открытая (27.05.1984)/35</t>
  </si>
  <si>
    <t>86,40</t>
  </si>
  <si>
    <t>Открытая (22.04.2019)/0</t>
  </si>
  <si>
    <t>89,50</t>
  </si>
  <si>
    <t>Павловский Дмитрий</t>
  </si>
  <si>
    <t>1. Павловский Дмитрий</t>
  </si>
  <si>
    <t>Открытая (01.02.1988)/31</t>
  </si>
  <si>
    <t xml:space="preserve">Воскресенск/Московская область </t>
  </si>
  <si>
    <t xml:space="preserve">Сенькин В.В. </t>
  </si>
  <si>
    <t>Самофалов Олег</t>
  </si>
  <si>
    <t>1. Самофалов Олег</t>
  </si>
  <si>
    <t>Ветераны 40 - 44 (11.03.1976)/43</t>
  </si>
  <si>
    <t>97,00</t>
  </si>
  <si>
    <t>Кривоконь Виктор</t>
  </si>
  <si>
    <t>1. Кривоконь Виктор</t>
  </si>
  <si>
    <t>Ветераны 45 - 49 (25.07.1972)/46</t>
  </si>
  <si>
    <t>1. Соболев Никита</t>
  </si>
  <si>
    <t>Юноши 15-19 (25.10.2002)/16</t>
  </si>
  <si>
    <t>103,70</t>
  </si>
  <si>
    <t>-. Кафтайлов Антон</t>
  </si>
  <si>
    <t>Открытая (16.03.1992)/27</t>
  </si>
  <si>
    <t>120,20</t>
  </si>
  <si>
    <t xml:space="preserve">Афанасьев Н. </t>
  </si>
  <si>
    <t>362,0610</t>
  </si>
  <si>
    <t>317,7465</t>
  </si>
  <si>
    <t>310,5780</t>
  </si>
  <si>
    <t>290,7800</t>
  </si>
  <si>
    <t>278,8510</t>
  </si>
  <si>
    <t>278,5895</t>
  </si>
  <si>
    <t>90+</t>
  </si>
  <si>
    <t>325,0</t>
  </si>
  <si>
    <t>269,3600</t>
  </si>
  <si>
    <t>264,5737</t>
  </si>
  <si>
    <t>227,5</t>
  </si>
  <si>
    <t>236,7820</t>
  </si>
  <si>
    <t>247,5</t>
  </si>
  <si>
    <t>492,5</t>
  </si>
  <si>
    <t>512,5</t>
  </si>
  <si>
    <t>707,5</t>
  </si>
  <si>
    <t>453,7198</t>
  </si>
  <si>
    <t>610,0</t>
  </si>
  <si>
    <t>436,6990</t>
  </si>
  <si>
    <t>622,5</t>
  </si>
  <si>
    <t>418,5690</t>
  </si>
  <si>
    <t>410,8050</t>
  </si>
  <si>
    <t>475,0</t>
  </si>
  <si>
    <t>368,8850</t>
  </si>
  <si>
    <t>465,0</t>
  </si>
  <si>
    <t>343,6350</t>
  </si>
  <si>
    <t>263,8220</t>
  </si>
  <si>
    <t xml:space="preserve">Ветераны 65 - 69 </t>
  </si>
  <si>
    <t>367,5</t>
  </si>
  <si>
    <t>397,9226</t>
  </si>
  <si>
    <t>517,5</t>
  </si>
  <si>
    <t>390,8546</t>
  </si>
  <si>
    <t>572,5</t>
  </si>
  <si>
    <t>375,0512</t>
  </si>
  <si>
    <t>374,2489</t>
  </si>
  <si>
    <t>312,9371</t>
  </si>
  <si>
    <t>-. Яшин Виктор</t>
  </si>
  <si>
    <t>Открытая (29.10.1989)/29</t>
  </si>
  <si>
    <t>82,20</t>
  </si>
  <si>
    <t xml:space="preserve">Ушков И.Д. </t>
  </si>
  <si>
    <t>1. Поляков Сергей</t>
  </si>
  <si>
    <t>Ветераны 45 - 49 (14.02.1972)/47</t>
  </si>
  <si>
    <t>83,60</t>
  </si>
  <si>
    <t>1. Грачева Ольга</t>
  </si>
  <si>
    <t>Открытая (19.09.1979)/39</t>
  </si>
  <si>
    <t>74,20</t>
  </si>
  <si>
    <t>1. Яковлева Ирина</t>
  </si>
  <si>
    <t>Открытая (08.01.1970)/49</t>
  </si>
  <si>
    <t>81,40</t>
  </si>
  <si>
    <t xml:space="preserve">Солнечногорск/Московская область </t>
  </si>
  <si>
    <t xml:space="preserve">Лепешичев А.А. </t>
  </si>
  <si>
    <t>Попов Максим</t>
  </si>
  <si>
    <t>1. Попов Максим</t>
  </si>
  <si>
    <t>Открытая (03.09.1984)/34</t>
  </si>
  <si>
    <t>66,60</t>
  </si>
  <si>
    <t>133,0</t>
  </si>
  <si>
    <t>Мельников Дмитрий</t>
  </si>
  <si>
    <t>1. Мельников Дмитрий</t>
  </si>
  <si>
    <t>Открытая (13.11.1991)/27</t>
  </si>
  <si>
    <t>74,80</t>
  </si>
  <si>
    <t>Румянцев Александр</t>
  </si>
  <si>
    <t>2. Румянцев Александр</t>
  </si>
  <si>
    <t>Открытая (26.06.1991)/27</t>
  </si>
  <si>
    <t>70,00</t>
  </si>
  <si>
    <t xml:space="preserve">Селятино/Московская область </t>
  </si>
  <si>
    <t xml:space="preserve">Тимченко С.С. </t>
  </si>
  <si>
    <t>Кулаков Владимир</t>
  </si>
  <si>
    <t>2. Кулаков Владимир</t>
  </si>
  <si>
    <t>Ветераны 60 - 64 (24.12.1955)/63</t>
  </si>
  <si>
    <t>Ермолин Юрий</t>
  </si>
  <si>
    <t>1. Ермолин Юрий</t>
  </si>
  <si>
    <t>Ветераны 65 - 69 (24.10.1952)/66</t>
  </si>
  <si>
    <t>69,90</t>
  </si>
  <si>
    <t xml:space="preserve">Киржач/Владимирская область </t>
  </si>
  <si>
    <t>Ионов Николай</t>
  </si>
  <si>
    <t>1. Ионов Николай</t>
  </si>
  <si>
    <t>Ветераны 70 - 74 (20.05.1949)/70</t>
  </si>
  <si>
    <t>70,60</t>
  </si>
  <si>
    <t xml:space="preserve">Хуснетдинова Т.И. </t>
  </si>
  <si>
    <t>Санников Владислав</t>
  </si>
  <si>
    <t>1. Санников Владислав</t>
  </si>
  <si>
    <t>Ветераны 80+ (29.10.1938)/80</t>
  </si>
  <si>
    <t>Добрынин Сергей</t>
  </si>
  <si>
    <t>1. Добрынин Сергей</t>
  </si>
  <si>
    <t>Открытая (19.10.1993)/25</t>
  </si>
  <si>
    <t>78,90</t>
  </si>
  <si>
    <t>Andrey Rul</t>
  </si>
  <si>
    <t>2. Andrey Rul</t>
  </si>
  <si>
    <t>Открытая (24.07.1982)/36</t>
  </si>
  <si>
    <t xml:space="preserve">Устюгов В. </t>
  </si>
  <si>
    <t>Кононович Дмитрий</t>
  </si>
  <si>
    <t>3. Кононович Дмитрий</t>
  </si>
  <si>
    <t>Открытая (23.05.1980)/39</t>
  </si>
  <si>
    <t>-. Петракович Николай</t>
  </si>
  <si>
    <t>Открытая (17.08.1979)/39</t>
  </si>
  <si>
    <t>78,00</t>
  </si>
  <si>
    <t>Захаров Алексей</t>
  </si>
  <si>
    <t>-. Захаров Алексей</t>
  </si>
  <si>
    <t>Открытая (07.07.1988)/30</t>
  </si>
  <si>
    <t>80,80</t>
  </si>
  <si>
    <t>Хуснетдинов Амир</t>
  </si>
  <si>
    <t>1. Хуснетдинов Амир</t>
  </si>
  <si>
    <t>Ветераны 70 - 74 (01.03.1948)/71</t>
  </si>
  <si>
    <t>81,00</t>
  </si>
  <si>
    <t>Снежков Илья</t>
  </si>
  <si>
    <t>1. Снежков Илья</t>
  </si>
  <si>
    <t>Открытая (06.12.1989)/29</t>
  </si>
  <si>
    <t>89,90</t>
  </si>
  <si>
    <t xml:space="preserve">Зеленоград/Московская область </t>
  </si>
  <si>
    <t>Бобарев Максим</t>
  </si>
  <si>
    <t>2. Бобарев Максим</t>
  </si>
  <si>
    <t>Открытая (13.11.1993)/25</t>
  </si>
  <si>
    <t xml:space="preserve">Зайцев С.В. </t>
  </si>
  <si>
    <t>Сидоров Евгений</t>
  </si>
  <si>
    <t>3. Сидоров Евгений</t>
  </si>
  <si>
    <t>Открытая (15.07.1983)/35</t>
  </si>
  <si>
    <t>Кондаков Алексей</t>
  </si>
  <si>
    <t>1. Кондаков Алексей</t>
  </si>
  <si>
    <t>Ветераны 45 - 49 (22.07.1970)/48</t>
  </si>
  <si>
    <t>191,0</t>
  </si>
  <si>
    <t>Базанов Сергей</t>
  </si>
  <si>
    <t>1. Базанов Сергей</t>
  </si>
  <si>
    <t>Ветераны 55 - 59 (22.06.1962)/56</t>
  </si>
  <si>
    <t>87,90</t>
  </si>
  <si>
    <t xml:space="preserve">Ржев/Тверская область </t>
  </si>
  <si>
    <t>177,5</t>
  </si>
  <si>
    <t>1. Новиков Николай</t>
  </si>
  <si>
    <t>Кухневский Андрей</t>
  </si>
  <si>
    <t>1. Кухневский Андрей</t>
  </si>
  <si>
    <t>Открытая (30.11.1981)/37</t>
  </si>
  <si>
    <t>98,70</t>
  </si>
  <si>
    <t xml:space="preserve">Чевордаев В.А. </t>
  </si>
  <si>
    <t>Лукоянов Евгений</t>
  </si>
  <si>
    <t>2. Лукоянов Евгений</t>
  </si>
  <si>
    <t>Открытая (24.03.1982)/37</t>
  </si>
  <si>
    <t xml:space="preserve">Юность/Московская область </t>
  </si>
  <si>
    <t>Бунчук Денис</t>
  </si>
  <si>
    <t>-. Бунчук Денис</t>
  </si>
  <si>
    <t>Открытая (09.07.1989)/29</t>
  </si>
  <si>
    <t>97,60</t>
  </si>
  <si>
    <t xml:space="preserve">Киев/Украина </t>
  </si>
  <si>
    <t>Stone Craig</t>
  </si>
  <si>
    <t>1. Stone Craig</t>
  </si>
  <si>
    <t>Ветераны 40 - 44 (26.11.1974)/44</t>
  </si>
  <si>
    <t>92,00</t>
  </si>
  <si>
    <t xml:space="preserve">England </t>
  </si>
  <si>
    <t>Уткин Вадим</t>
  </si>
  <si>
    <t>1. Уткин Вадим</t>
  </si>
  <si>
    <t>Ветераны 45 - 49 (10.07.1972)/46</t>
  </si>
  <si>
    <t>Дьяконов Сергей</t>
  </si>
  <si>
    <t>1. Дьяконов Сергей</t>
  </si>
  <si>
    <t>Ветераны 60 - 64 (08.07.1957)/61</t>
  </si>
  <si>
    <t>Комиссаров Константин</t>
  </si>
  <si>
    <t>1. Комиссаров Константин</t>
  </si>
  <si>
    <t>Открытая (12.05.1985)/34</t>
  </si>
  <si>
    <t>106,30</t>
  </si>
  <si>
    <t xml:space="preserve">Ульянов А.В. </t>
  </si>
  <si>
    <t>Орлов Илья</t>
  </si>
  <si>
    <t>2. Орлов Илья</t>
  </si>
  <si>
    <t>Открытая (23.06.1982)/36</t>
  </si>
  <si>
    <t>102,60</t>
  </si>
  <si>
    <t xml:space="preserve">Краснов Н.Н. </t>
  </si>
  <si>
    <t>Свинарчук Владимир</t>
  </si>
  <si>
    <t>3. Свинарчук Владимир</t>
  </si>
  <si>
    <t>Открытая (30.08.1983)/35</t>
  </si>
  <si>
    <t>108,30</t>
  </si>
  <si>
    <t xml:space="preserve">Даниленко И. </t>
  </si>
  <si>
    <t>Шумилов Александр</t>
  </si>
  <si>
    <t>4. Шумилов Александр</t>
  </si>
  <si>
    <t>Открытая (30.09.1980)/38</t>
  </si>
  <si>
    <t>105,20</t>
  </si>
  <si>
    <t>Григорьев Алексей</t>
  </si>
  <si>
    <t>1. Григорьев Алексей</t>
  </si>
  <si>
    <t>Ветераны 40 - 44 (04.02.1975)/44</t>
  </si>
  <si>
    <t>107,00</t>
  </si>
  <si>
    <t xml:space="preserve">Костин Д.В. </t>
  </si>
  <si>
    <t>Прокудин Дмитрий</t>
  </si>
  <si>
    <t>1. Прокудин Дмитрий</t>
  </si>
  <si>
    <t>Ветераны 45 - 49 (09.04.1974)/45</t>
  </si>
  <si>
    <t>109,30</t>
  </si>
  <si>
    <t>Гринберг Игорс</t>
  </si>
  <si>
    <t>2. Гринберг Игорс</t>
  </si>
  <si>
    <t>Ветераны 45 - 49 (24.08.1969)/49</t>
  </si>
  <si>
    <t>100,30</t>
  </si>
  <si>
    <t>Герштанский Сергей</t>
  </si>
  <si>
    <t>3. Герштанский Сергей</t>
  </si>
  <si>
    <t>Ветераны 45 - 49 (06.04.1974)/45</t>
  </si>
  <si>
    <t>107,70</t>
  </si>
  <si>
    <t>Филин Вячеслав</t>
  </si>
  <si>
    <t>1. Филин Вячеслав</t>
  </si>
  <si>
    <t>Ветераны 55 - 59 (12.11.1961)/57</t>
  </si>
  <si>
    <t>103,00</t>
  </si>
  <si>
    <t xml:space="preserve">Тула/Тульская область </t>
  </si>
  <si>
    <t xml:space="preserve">Соломин В.Б. </t>
  </si>
  <si>
    <t>Пронин Вадим</t>
  </si>
  <si>
    <t>1. Пронин Вадим</t>
  </si>
  <si>
    <t>Открытая (10.08.1979)/39</t>
  </si>
  <si>
    <t>118,30</t>
  </si>
  <si>
    <t>Трухачев Игорь</t>
  </si>
  <si>
    <t>2. Трухачев Игорь</t>
  </si>
  <si>
    <t>Открытая (31.10.1988)/30</t>
  </si>
  <si>
    <t>116,60</t>
  </si>
  <si>
    <t>Миронов Сергей</t>
  </si>
  <si>
    <t>1. Миронов Сергей</t>
  </si>
  <si>
    <t>Ветераны 45 - 49 (09.07.1973)/45</t>
  </si>
  <si>
    <t>124,30</t>
  </si>
  <si>
    <t xml:space="preserve">Жуковский/Московская область </t>
  </si>
  <si>
    <t xml:space="preserve">Закружной В.П. </t>
  </si>
  <si>
    <t>Козлов Виктор</t>
  </si>
  <si>
    <t>1. Козлов Виктор</t>
  </si>
  <si>
    <t>Ветераны 55 - 59 (23.03.1963)/56</t>
  </si>
  <si>
    <t>121,50</t>
  </si>
  <si>
    <t>202,5</t>
  </si>
  <si>
    <t xml:space="preserve">Гаврилова А. </t>
  </si>
  <si>
    <t>Куротченко Игорь</t>
  </si>
  <si>
    <t>2. Куротченко Игорь</t>
  </si>
  <si>
    <t>Ветераны 55 - 59 (20.03.1962)/57</t>
  </si>
  <si>
    <t>112,10</t>
  </si>
  <si>
    <t>ВЕСОВАЯ КАТЕГОРИЯ   140</t>
  </si>
  <si>
    <t>Чернышев Андрей</t>
  </si>
  <si>
    <t>1. Чернышев Андрей</t>
  </si>
  <si>
    <t>Открытая (24.08.1981)/37</t>
  </si>
  <si>
    <t>126,60</t>
  </si>
  <si>
    <t>Аладышев Сергей</t>
  </si>
  <si>
    <t>1. Аладышев Сергей</t>
  </si>
  <si>
    <t>Ветераны 45 - 49 (08.05.1971)/48</t>
  </si>
  <si>
    <t>138,00</t>
  </si>
  <si>
    <t>139,8250</t>
  </si>
  <si>
    <t>138,5980</t>
  </si>
  <si>
    <t>132,5510</t>
  </si>
  <si>
    <t>131,5370</t>
  </si>
  <si>
    <t>130,1080</t>
  </si>
  <si>
    <t>126,9180</t>
  </si>
  <si>
    <t>122,0560</t>
  </si>
  <si>
    <t>118,6950</t>
  </si>
  <si>
    <t>110,2680</t>
  </si>
  <si>
    <t>110,2080</t>
  </si>
  <si>
    <t>106,1940</t>
  </si>
  <si>
    <t>101,3220</t>
  </si>
  <si>
    <t>99,1790</t>
  </si>
  <si>
    <t>98,5380</t>
  </si>
  <si>
    <t>97,8605</t>
  </si>
  <si>
    <t>140</t>
  </si>
  <si>
    <t>95,2070</t>
  </si>
  <si>
    <t>87,4528</t>
  </si>
  <si>
    <t>67,4460</t>
  </si>
  <si>
    <t>148,7763</t>
  </si>
  <si>
    <t>144,9522</t>
  </si>
  <si>
    <t>144,6522</t>
  </si>
  <si>
    <t xml:space="preserve">Ветераны 80+ </t>
  </si>
  <si>
    <t>142,4138</t>
  </si>
  <si>
    <t>136,6990</t>
  </si>
  <si>
    <t>134,1455</t>
  </si>
  <si>
    <t>125,3578</t>
  </si>
  <si>
    <t>124,8896</t>
  </si>
  <si>
    <t>122,4702</t>
  </si>
  <si>
    <t>119,1296</t>
  </si>
  <si>
    <t>118,4037</t>
  </si>
  <si>
    <t>116,1055</t>
  </si>
  <si>
    <t>113,6492</t>
  </si>
  <si>
    <t>110,4287</t>
  </si>
  <si>
    <t>107,5949</t>
  </si>
  <si>
    <t>103,1220</t>
  </si>
  <si>
    <t>102,0197</t>
  </si>
  <si>
    <t>101,2774</t>
  </si>
  <si>
    <t>91,0968</t>
  </si>
  <si>
    <t>88,9184</t>
  </si>
  <si>
    <t>87,8228</t>
  </si>
  <si>
    <t>Результат</t>
  </si>
  <si>
    <t>1. Кулаков Владимир</t>
  </si>
  <si>
    <t>1. Beniston Phil</t>
  </si>
  <si>
    <t>Ветераны 55 - 59 (02.06.1963)/56</t>
  </si>
  <si>
    <t xml:space="preserve">Англия/ </t>
  </si>
  <si>
    <t>Карпов Денис</t>
  </si>
  <si>
    <t>1. Карпов Денис</t>
  </si>
  <si>
    <t>Открытая (20.04.1981)/38</t>
  </si>
  <si>
    <t xml:space="preserve">Соколов Н.Д. </t>
  </si>
  <si>
    <t>Лазарев Владимир</t>
  </si>
  <si>
    <t>2. Лазарев Владимир</t>
  </si>
  <si>
    <t>Открытая (06.11.1979)/39</t>
  </si>
  <si>
    <t>99,60</t>
  </si>
  <si>
    <t xml:space="preserve">Истра/Московская область </t>
  </si>
  <si>
    <t xml:space="preserve">Маркин Н.И. </t>
  </si>
  <si>
    <t>-. Филиппов Кирилл</t>
  </si>
  <si>
    <t>Открытая (07.01.1989)/30</t>
  </si>
  <si>
    <t xml:space="preserve">Тучково/Московская область </t>
  </si>
  <si>
    <t>Брехов Роман</t>
  </si>
  <si>
    <t>1. Брехов Роман</t>
  </si>
  <si>
    <t>Открытая (24.02.1990)/29</t>
  </si>
  <si>
    <t>106,90</t>
  </si>
  <si>
    <t xml:space="preserve">Соловьёв В. </t>
  </si>
  <si>
    <t>Рысцов Александр</t>
  </si>
  <si>
    <t>1. Рысцов Александр</t>
  </si>
  <si>
    <t>Открытая (02.12.1979)/39</t>
  </si>
  <si>
    <t>112,60</t>
  </si>
  <si>
    <t>161,8378</t>
  </si>
  <si>
    <t>157,7880</t>
  </si>
  <si>
    <t>146,8320</t>
  </si>
  <si>
    <t>115,8240</t>
  </si>
  <si>
    <t>-. Абдуллин Марат</t>
  </si>
  <si>
    <t>370,0</t>
  </si>
  <si>
    <t xml:space="preserve">Борю Ю. </t>
  </si>
  <si>
    <t>-. Филатов Василий</t>
  </si>
  <si>
    <t>Открытая (29.09.1986)/32</t>
  </si>
  <si>
    <t>135,00</t>
  </si>
  <si>
    <t xml:space="preserve">Люберцы/Московская область </t>
  </si>
  <si>
    <t>360,0</t>
  </si>
  <si>
    <t>1. Сиротктн Игорь</t>
  </si>
  <si>
    <t>Ветераны 45 - 49 (29.07.1970)/48</t>
  </si>
  <si>
    <t>89,10</t>
  </si>
  <si>
    <t xml:space="preserve">Соловьев Ю.В. </t>
  </si>
  <si>
    <t>Гельфман Анна</t>
  </si>
  <si>
    <t>1. Гельфман Анна</t>
  </si>
  <si>
    <t>Открытая (27.05.1989)/30</t>
  </si>
  <si>
    <t>46,70</t>
  </si>
  <si>
    <t>Юртаева Светлана</t>
  </si>
  <si>
    <t>2. Юртаева Светлана</t>
  </si>
  <si>
    <t>Открытая (02.04.1987)/32</t>
  </si>
  <si>
    <t>48,00</t>
  </si>
  <si>
    <t>Лукасевич Мария</t>
  </si>
  <si>
    <t>3. Лукасевич Мария</t>
  </si>
  <si>
    <t>Открытая (28.04.1989)/30</t>
  </si>
  <si>
    <t>47,70</t>
  </si>
  <si>
    <t>Щербинина Олеся</t>
  </si>
  <si>
    <t>4. Щербинина Олеся</t>
  </si>
  <si>
    <t>Открытая (23.10.1986)/32</t>
  </si>
  <si>
    <t>47,20</t>
  </si>
  <si>
    <t>Мостовая Мария</t>
  </si>
  <si>
    <t>1. Мостовая Мария</t>
  </si>
  <si>
    <t>Открытая (19.11.1985)/33</t>
  </si>
  <si>
    <t>51,70</t>
  </si>
  <si>
    <t xml:space="preserve">Белов А.В. </t>
  </si>
  <si>
    <t>Бажина Екатерина</t>
  </si>
  <si>
    <t>2. Бажина Екатерина</t>
  </si>
  <si>
    <t>Открытая (04.04.1983)/36</t>
  </si>
  <si>
    <t xml:space="preserve">Бажина Е.В. </t>
  </si>
  <si>
    <t>Советина Наталья</t>
  </si>
  <si>
    <t>3. Советина Наталья</t>
  </si>
  <si>
    <t>Открытая (26.10.1985)/33</t>
  </si>
  <si>
    <t>49,70</t>
  </si>
  <si>
    <t xml:space="preserve">Клостер Э.В </t>
  </si>
  <si>
    <t>1. Чинчилей Анастасия</t>
  </si>
  <si>
    <t>Юниорки 20 - 23 (06.10.1997)/21</t>
  </si>
  <si>
    <t>55,90</t>
  </si>
  <si>
    <t xml:space="preserve">Зайцев В.Б </t>
  </si>
  <si>
    <t>Дворянинова Зинаида</t>
  </si>
  <si>
    <t>1. Дворянинова Зинаида</t>
  </si>
  <si>
    <t>Открытая (13.11.1984)/34</t>
  </si>
  <si>
    <t>54,50</t>
  </si>
  <si>
    <t>Камышникова Марина</t>
  </si>
  <si>
    <t>2. Камышникова Марина</t>
  </si>
  <si>
    <t>Открытая (16.02.1979)/40</t>
  </si>
  <si>
    <t>55,80</t>
  </si>
  <si>
    <t>Феоктистова Наталья</t>
  </si>
  <si>
    <t>1. Феоктистова Наталья</t>
  </si>
  <si>
    <t>Ветераны 45 - 49 (08.11.1969)/49</t>
  </si>
  <si>
    <t>55,60</t>
  </si>
  <si>
    <t xml:space="preserve">Кузнецов Е С </t>
  </si>
  <si>
    <t>Леонтьева Анастасия</t>
  </si>
  <si>
    <t>1. Леонтьева Анастасия</t>
  </si>
  <si>
    <t>Открытая (07.07.1994)/24</t>
  </si>
  <si>
    <t>59,00</t>
  </si>
  <si>
    <t>Быстрова Дарья</t>
  </si>
  <si>
    <t>2. Быстрова Дарья</t>
  </si>
  <si>
    <t>Открытая (07.03.1990)/29</t>
  </si>
  <si>
    <t xml:space="preserve">Сайденцаль О. </t>
  </si>
  <si>
    <t>Самсонова Ольга</t>
  </si>
  <si>
    <t>1. Самсонова Ольга</t>
  </si>
  <si>
    <t>Ветераны 40 - 44 (06.08.1975)/43</t>
  </si>
  <si>
    <t xml:space="preserve">Мичуринск/Тамбовская область </t>
  </si>
  <si>
    <t>Черемисова Анна</t>
  </si>
  <si>
    <t>2. Черемисова Анна</t>
  </si>
  <si>
    <t>Ветераны 40 - 44 (25.04.1975)/44</t>
  </si>
  <si>
    <t>58,10</t>
  </si>
  <si>
    <t xml:space="preserve">Левчишин А., Кошелева О. </t>
  </si>
  <si>
    <t>Буханцева Ирина</t>
  </si>
  <si>
    <t>1. Буханцева Ирина</t>
  </si>
  <si>
    <t>Ветераны 45 - 49 (24.11.1971)/47</t>
  </si>
  <si>
    <t>57,20</t>
  </si>
  <si>
    <t>53,5</t>
  </si>
  <si>
    <t>Волкова Мария</t>
  </si>
  <si>
    <t>1. Волкова Мария</t>
  </si>
  <si>
    <t>Открытая (03.01.1995)/24</t>
  </si>
  <si>
    <t>66,00</t>
  </si>
  <si>
    <t>Ларская Алиса</t>
  </si>
  <si>
    <t>2. Ларская Алиса</t>
  </si>
  <si>
    <t>Открытая (18.04.1989)/30</t>
  </si>
  <si>
    <t>65,50</t>
  </si>
  <si>
    <t xml:space="preserve">Волков В.Л. </t>
  </si>
  <si>
    <t>Ромасенко Ирина</t>
  </si>
  <si>
    <t>1. Ромасенко Ирина</t>
  </si>
  <si>
    <t>Ветераны 40 - 44 (22.12.1975)/43</t>
  </si>
  <si>
    <t>66,20</t>
  </si>
  <si>
    <t>Макарова Юлия</t>
  </si>
  <si>
    <t>1. Макарова Юлия</t>
  </si>
  <si>
    <t>Ветераны 45 - 49 (30.06.1969)/49</t>
  </si>
  <si>
    <t xml:space="preserve">Зайцев В. </t>
  </si>
  <si>
    <t>Павловская Ольга</t>
  </si>
  <si>
    <t>2. Павловская Ольга</t>
  </si>
  <si>
    <t>Ветераны 45 - 49 (06.05.1974)/45</t>
  </si>
  <si>
    <t>66,10</t>
  </si>
  <si>
    <t xml:space="preserve">Сорокин С. </t>
  </si>
  <si>
    <t>1. Данилова Мария</t>
  </si>
  <si>
    <t>Девушки 15-19 (27.06.2000)/18</t>
  </si>
  <si>
    <t>63,0</t>
  </si>
  <si>
    <t xml:space="preserve">Балугин Н.В. </t>
  </si>
  <si>
    <t>Нилова Екатерина</t>
  </si>
  <si>
    <t>1. Нилова Екатерина</t>
  </si>
  <si>
    <t>Открытая (06.08.1983)/35</t>
  </si>
  <si>
    <t xml:space="preserve">Железнодорожный/Московская область </t>
  </si>
  <si>
    <t xml:space="preserve">Попов И. </t>
  </si>
  <si>
    <t>-. Мишина Ирина</t>
  </si>
  <si>
    <t>Открытая (08.08.1979)/39</t>
  </si>
  <si>
    <t>Петрокович Евгения</t>
  </si>
  <si>
    <t>1. Петрокович Евгения</t>
  </si>
  <si>
    <t>Открытая (18.07.1985)/33</t>
  </si>
  <si>
    <t>87,80</t>
  </si>
  <si>
    <t>Мешков Даниил</t>
  </si>
  <si>
    <t>1. Мешков Даниил</t>
  </si>
  <si>
    <t>Юноши 15-19 (04.04.2003)/16</t>
  </si>
  <si>
    <t xml:space="preserve">Бурлаков Д.Б. </t>
  </si>
  <si>
    <t>Фокин Николай</t>
  </si>
  <si>
    <t>1. Фокин Николай</t>
  </si>
  <si>
    <t>Юниоры 20 - 23 (26.06.1998)/20</t>
  </si>
  <si>
    <t>58,00</t>
  </si>
  <si>
    <t xml:space="preserve">Бусов А.Б. </t>
  </si>
  <si>
    <t>1. Балашов Алексей</t>
  </si>
  <si>
    <t>Открытая (14.01.1990)/29</t>
  </si>
  <si>
    <t>57,40</t>
  </si>
  <si>
    <t xml:space="preserve">Снежков И.Н. </t>
  </si>
  <si>
    <t>Самарский Даниил</t>
  </si>
  <si>
    <t>1. Самарский Даниил</t>
  </si>
  <si>
    <t>Юноши 15-19 (12.01.2003)/16</t>
  </si>
  <si>
    <t xml:space="preserve">Belarus </t>
  </si>
  <si>
    <t xml:space="preserve">Минск/Беларусь </t>
  </si>
  <si>
    <t xml:space="preserve">Самарский К.Е. </t>
  </si>
  <si>
    <t>Дёмин Артём</t>
  </si>
  <si>
    <t>2. Дёмин Артём</t>
  </si>
  <si>
    <t>Юноши 15-19 (05.11.2000)/18</t>
  </si>
  <si>
    <t xml:space="preserve">Сироткин И.С. </t>
  </si>
  <si>
    <t>Логинов Матвей</t>
  </si>
  <si>
    <t>3. Логинов Матвей</t>
  </si>
  <si>
    <t>Юноши 15-19 (24.02.2003)/16</t>
  </si>
  <si>
    <t>60,40</t>
  </si>
  <si>
    <t xml:space="preserve">Елисеев П.С </t>
  </si>
  <si>
    <t>Гапузин Александр</t>
  </si>
  <si>
    <t>1. Гапузин Александр</t>
  </si>
  <si>
    <t>Открытая (03.01.1988)/31</t>
  </si>
  <si>
    <t>65,60</t>
  </si>
  <si>
    <t xml:space="preserve">Мосальск/Калужская область </t>
  </si>
  <si>
    <t xml:space="preserve">Челенков А.А. </t>
  </si>
  <si>
    <t>2. Самарский Даниил</t>
  </si>
  <si>
    <t>Открытая (12.01.2003)/16</t>
  </si>
  <si>
    <t>Ходкин Дмитрий</t>
  </si>
  <si>
    <t>1. Ходкин Дмитрий</t>
  </si>
  <si>
    <t>Юноши 15-19 (20.12.2002)/16</t>
  </si>
  <si>
    <t>72,00</t>
  </si>
  <si>
    <t>87,5</t>
  </si>
  <si>
    <t xml:space="preserve">Лазарев В. Маркин Н.И. </t>
  </si>
  <si>
    <t>-. Агапов Александр</t>
  </si>
  <si>
    <t>Юноши 15-19 (25.08.1999)/19</t>
  </si>
  <si>
    <t>73,40</t>
  </si>
  <si>
    <t xml:space="preserve">Ильинский/Московская область </t>
  </si>
  <si>
    <t>Берлизов Дмитрий</t>
  </si>
  <si>
    <t>1. Берлизов Дмитрий</t>
  </si>
  <si>
    <t>Юниоры 20 - 23 (22.01.1996)/23</t>
  </si>
  <si>
    <t>74,00</t>
  </si>
  <si>
    <t xml:space="preserve">Рак И. </t>
  </si>
  <si>
    <t>Ермолов Сергей</t>
  </si>
  <si>
    <t>2. Ермолов Сергей</t>
  </si>
  <si>
    <t>Юниоры 20 - 23 (03.07.1995)/23</t>
  </si>
  <si>
    <t xml:space="preserve">Даниэлян С.А. </t>
  </si>
  <si>
    <t>2. Берлизов Дмитрий</t>
  </si>
  <si>
    <t>Открытая (22.01.1996)/23</t>
  </si>
  <si>
    <t>3. Карпов Иван</t>
  </si>
  <si>
    <t>Открытая (09.12.1987)/31</t>
  </si>
  <si>
    <t>74,60</t>
  </si>
  <si>
    <t xml:space="preserve">Москва </t>
  </si>
  <si>
    <t>4. Юшин Владимир</t>
  </si>
  <si>
    <t>Открытая (16.06.1993)/25</t>
  </si>
  <si>
    <t>72,50</t>
  </si>
  <si>
    <t xml:space="preserve">Даниелян С. А. </t>
  </si>
  <si>
    <t>5. Краснобаев Даниил</t>
  </si>
  <si>
    <t>Открытая (18.05.1981)/38</t>
  </si>
  <si>
    <t>6. Пекарский Николай</t>
  </si>
  <si>
    <t>Открытая (16.12.1989)/29</t>
  </si>
  <si>
    <t>74,90</t>
  </si>
  <si>
    <t>7. Барденков Александр</t>
  </si>
  <si>
    <t>Открытая (08.06.1984)/35</t>
  </si>
  <si>
    <t>-. Рыжов Александр</t>
  </si>
  <si>
    <t>Открытая (19.04.1985)/34</t>
  </si>
  <si>
    <t xml:space="preserve">Чернышенко М.А. </t>
  </si>
  <si>
    <t>Калинин Сергей</t>
  </si>
  <si>
    <t>1. Калинин Сергей</t>
  </si>
  <si>
    <t>Ветераны 40 - 44 (19.11.1975)/43</t>
  </si>
  <si>
    <t>1. Колесников Сергей</t>
  </si>
  <si>
    <t>Ветераны 45 - 49 (28.05.1974)/45</t>
  </si>
  <si>
    <t>Солодов Олег</t>
  </si>
  <si>
    <t>2. Солодов Олег</t>
  </si>
  <si>
    <t>Ветераны 45 - 49 (14.10.1971)/47</t>
  </si>
  <si>
    <t>-. Мешалов Алексей</t>
  </si>
  <si>
    <t>Ветераны 45 - 49 (02.01.1973)/46</t>
  </si>
  <si>
    <t xml:space="preserve">Комиссаров К. </t>
  </si>
  <si>
    <t>1. Винокуров Олег</t>
  </si>
  <si>
    <t>Ветераны 50 - 54 (10.05.1966)/53</t>
  </si>
  <si>
    <t xml:space="preserve">Самара/Самарская область </t>
  </si>
  <si>
    <t xml:space="preserve">Кучер С.А. </t>
  </si>
  <si>
    <t>Ветров Николай</t>
  </si>
  <si>
    <t>1. Ветров Николай</t>
  </si>
  <si>
    <t>Ветераны 70 - 74 (12.09.1945)/73</t>
  </si>
  <si>
    <t xml:space="preserve">Санников В.М. </t>
  </si>
  <si>
    <t>Салосалов Сергей</t>
  </si>
  <si>
    <t>1. Салосалов Сергей</t>
  </si>
  <si>
    <t>Юноши 15-19 (11.09.2004)/14</t>
  </si>
  <si>
    <t>81,70</t>
  </si>
  <si>
    <t xml:space="preserve">Салосалов С. </t>
  </si>
  <si>
    <t>Емельянов Всеволод</t>
  </si>
  <si>
    <t>1. Емельянов Всеволод</t>
  </si>
  <si>
    <t>Юниоры 20 - 23 (24.06.1998)/20</t>
  </si>
  <si>
    <t xml:space="preserve">Долгопрудный/Московская область </t>
  </si>
  <si>
    <t>Бектемиров Рамиль</t>
  </si>
  <si>
    <t>1. Бектемиров Рамиль</t>
  </si>
  <si>
    <t>Открытая (09.09.1987)/31</t>
  </si>
  <si>
    <t xml:space="preserve">Московский/Московская область </t>
  </si>
  <si>
    <t>Шаров Константин</t>
  </si>
  <si>
    <t>2. Шаров Константин</t>
  </si>
  <si>
    <t>Открытая (30.10.1986)/32</t>
  </si>
  <si>
    <t xml:space="preserve">Сапунков К.В. </t>
  </si>
  <si>
    <t>3. Захаров Алексей</t>
  </si>
  <si>
    <t>Попов Игорь</t>
  </si>
  <si>
    <t>4. Попов Игорь</t>
  </si>
  <si>
    <t>Открытая (11.11.1989)/29</t>
  </si>
  <si>
    <t>81,30</t>
  </si>
  <si>
    <t xml:space="preserve">Сюта А.В. </t>
  </si>
  <si>
    <t>5. Мусатов Даниил</t>
  </si>
  <si>
    <t>Открытая (21.10.1991)/27</t>
  </si>
  <si>
    <t>80,00</t>
  </si>
  <si>
    <t xml:space="preserve">Баку/ </t>
  </si>
  <si>
    <t xml:space="preserve">Скопинцев Е. </t>
  </si>
  <si>
    <t>1. Парфенков Алексей</t>
  </si>
  <si>
    <t>Ветераны 40 - 44 (31.12.1976)/42</t>
  </si>
  <si>
    <t>81,60</t>
  </si>
  <si>
    <t>2. Семенов Александр</t>
  </si>
  <si>
    <t>Ветераны 40 - 44 (03.02.1977)/42</t>
  </si>
  <si>
    <t>1. Арапов Алексей</t>
  </si>
  <si>
    <t>Ветераны 50 - 54 (03.06.1969)/50</t>
  </si>
  <si>
    <t xml:space="preserve">Тверской А. </t>
  </si>
  <si>
    <t>Кондрашев Сергей</t>
  </si>
  <si>
    <t>1. Кондрашев Сергей</t>
  </si>
  <si>
    <t>Ветераны 55 - 59 (16.09.1963)/55</t>
  </si>
  <si>
    <t xml:space="preserve">Одинцово/Московская область </t>
  </si>
  <si>
    <t>Волков Вячеслав</t>
  </si>
  <si>
    <t>1. Волков Вячеслав</t>
  </si>
  <si>
    <t>Открытая (13.11.1971)/47</t>
  </si>
  <si>
    <t>89,70</t>
  </si>
  <si>
    <t>Талдыкин Алексей</t>
  </si>
  <si>
    <t>2. Талдыкин Алексей</t>
  </si>
  <si>
    <t>Открытая (29.03.1980)/39</t>
  </si>
  <si>
    <t xml:space="preserve">Липецк/Липецкая область </t>
  </si>
  <si>
    <t>Некрасов Марат</t>
  </si>
  <si>
    <t>3. Некрасов Марат</t>
  </si>
  <si>
    <t>Открытая (14.08.1990)/28</t>
  </si>
  <si>
    <t>Галичевский Иван</t>
  </si>
  <si>
    <t>4. Галичевский Иван</t>
  </si>
  <si>
    <t>Открытая (21.11.1989)/29</t>
  </si>
  <si>
    <t xml:space="preserve">Богданов М. </t>
  </si>
  <si>
    <t>Савин Игорь</t>
  </si>
  <si>
    <t>5. Савин Игорь</t>
  </si>
  <si>
    <t>Открытая (12.01.1987)/32</t>
  </si>
  <si>
    <t>6. Соловьев Евгений</t>
  </si>
  <si>
    <t>Открытая (07.07.1989)/29</t>
  </si>
  <si>
    <t xml:space="preserve">Волков В. </t>
  </si>
  <si>
    <t>1. Кравцов Сергей</t>
  </si>
  <si>
    <t>Ветераны 40 - 44 (19.12.1974)/44</t>
  </si>
  <si>
    <t xml:space="preserve">Исаев А. </t>
  </si>
  <si>
    <t>2. Казаченко Александр</t>
  </si>
  <si>
    <t>Ветераны 40 - 44 (19.12.1978)/40</t>
  </si>
  <si>
    <t>Ветераны 45 - 49 (13.11.1971)/47</t>
  </si>
  <si>
    <t>Чепурной Михаил</t>
  </si>
  <si>
    <t>2. Чепурной Михаил</t>
  </si>
  <si>
    <t>Ветераны 45 - 49 (26.02.1970)/49</t>
  </si>
  <si>
    <t xml:space="preserve">Кобец Д. </t>
  </si>
  <si>
    <t>3. Гришин Вадим</t>
  </si>
  <si>
    <t>Ветераны 45 - 49 (16.09.1973)/45</t>
  </si>
  <si>
    <t>85,50</t>
  </si>
  <si>
    <t xml:space="preserve">Бобков М. Е. </t>
  </si>
  <si>
    <t>Хорхордин Игорь</t>
  </si>
  <si>
    <t>1. Хорхордин Игорь</t>
  </si>
  <si>
    <t>Ветераны 50 - 54 (15.06.1967)/51</t>
  </si>
  <si>
    <t>Семенов Сергей</t>
  </si>
  <si>
    <t>1. Семенов Сергей</t>
  </si>
  <si>
    <t>Ветераны 60 - 64 (01.04.1959)/60</t>
  </si>
  <si>
    <t xml:space="preserve">Тамбов/Тамбовская область </t>
  </si>
  <si>
    <t xml:space="preserve">Семенов С.С. </t>
  </si>
  <si>
    <t>2. Алексаков Михаил</t>
  </si>
  <si>
    <t>Ветераны 60 - 64 (04.12.1954)/64</t>
  </si>
  <si>
    <t xml:space="preserve">Нахабино/Московская область </t>
  </si>
  <si>
    <t>Кан Алексей</t>
  </si>
  <si>
    <t>1. Кан Алексей</t>
  </si>
  <si>
    <t>Юниоры 20 - 23 (20.09.1996)/22</t>
  </si>
  <si>
    <t xml:space="preserve">Сорокин С.В. </t>
  </si>
  <si>
    <t>Хворостюк Иван</t>
  </si>
  <si>
    <t>2. Хворостюк Иван</t>
  </si>
  <si>
    <t>Юниоры 20 - 23 (26.12.1995)/23</t>
  </si>
  <si>
    <t>98,20</t>
  </si>
  <si>
    <t xml:space="preserve">Маракшин К. </t>
  </si>
  <si>
    <t>Минаев Алексей</t>
  </si>
  <si>
    <t>1. Минаев Алексей</t>
  </si>
  <si>
    <t>Открытая (29.07.1985)/33</t>
  </si>
  <si>
    <t xml:space="preserve">Щеголев А.Ю. </t>
  </si>
  <si>
    <t>Овчаров Сергей</t>
  </si>
  <si>
    <t>2. Овчаров Сергей</t>
  </si>
  <si>
    <t>Открытая (14.08.1979)/39</t>
  </si>
  <si>
    <t>98,90</t>
  </si>
  <si>
    <t>Лапин Александр</t>
  </si>
  <si>
    <t>3. Лапин Александр</t>
  </si>
  <si>
    <t>Открытая (25.09.1989)/29</t>
  </si>
  <si>
    <t>91,50</t>
  </si>
  <si>
    <t xml:space="preserve">Лапин А.Е. </t>
  </si>
  <si>
    <t>Лопатин Олег</t>
  </si>
  <si>
    <t>4. Лопатин Олег</t>
  </si>
  <si>
    <t>Открытая (15.06.1983)/35</t>
  </si>
  <si>
    <t>99,30</t>
  </si>
  <si>
    <t xml:space="preserve">Солдатов И. </t>
  </si>
  <si>
    <t>Голенков Олег</t>
  </si>
  <si>
    <t>5. Голенков Олег</t>
  </si>
  <si>
    <t>Открытая (29.08.1983)/35</t>
  </si>
  <si>
    <t>Нестеров Николай</t>
  </si>
  <si>
    <t>6. Нестеров Николай</t>
  </si>
  <si>
    <t>Открытая (26.11.1990)/28</t>
  </si>
  <si>
    <t>7. Назгаидзе Виктор</t>
  </si>
  <si>
    <t>Открытая (19.09.1981)/37</t>
  </si>
  <si>
    <t>Максимов Сергей</t>
  </si>
  <si>
    <t>8. Максимов Сергей</t>
  </si>
  <si>
    <t>Открытая (03.12.1985)/33</t>
  </si>
  <si>
    <t xml:space="preserve">Максимов С.В. </t>
  </si>
  <si>
    <t>-. Милосердов Павел</t>
  </si>
  <si>
    <t>Открытая (11.10.1993)/25</t>
  </si>
  <si>
    <t>95,20</t>
  </si>
  <si>
    <t xml:space="preserve">Седых А. </t>
  </si>
  <si>
    <t>-. Сёмочкин Владимир</t>
  </si>
  <si>
    <t>Открытая (23.09.1986)/32</t>
  </si>
  <si>
    <t>99,50</t>
  </si>
  <si>
    <t>1. Максимов Сергей</t>
  </si>
  <si>
    <t>Ветераны 40 - 44 (15.09.1975)/43</t>
  </si>
  <si>
    <t>99,00</t>
  </si>
  <si>
    <t>Щербаков Владислав</t>
  </si>
  <si>
    <t>2. Щербаков Владислав</t>
  </si>
  <si>
    <t>Ветераны 40 - 44 (07.08.1977)/41</t>
  </si>
  <si>
    <t>Ромасенко Николай</t>
  </si>
  <si>
    <t>1. Ромасенко Николай</t>
  </si>
  <si>
    <t>Ветераны 45 - 49 (19.12.1973)/45</t>
  </si>
  <si>
    <t>Кореньков Валерий</t>
  </si>
  <si>
    <t>2. Кореньков Валерий</t>
  </si>
  <si>
    <t>Ветераны 45 - 49 (01.07.1972)/46</t>
  </si>
  <si>
    <t>3. Климов Сергей</t>
  </si>
  <si>
    <t>Ветераны 45 - 49 (07.09.1971)/47</t>
  </si>
  <si>
    <t>98,50</t>
  </si>
  <si>
    <t>Сапачев Александр</t>
  </si>
  <si>
    <t>1. Сапачев Александр</t>
  </si>
  <si>
    <t>Ветераны 50 - 54 (13.12.1965)/53</t>
  </si>
  <si>
    <t>Усачев Игорь</t>
  </si>
  <si>
    <t>2. Усачев Игорь</t>
  </si>
  <si>
    <t>Ветераны 50 - 54 (06.06.1965)/54</t>
  </si>
  <si>
    <t>94,10</t>
  </si>
  <si>
    <t xml:space="preserve">Брянск/Брянская область </t>
  </si>
  <si>
    <t>-. Малышев Сергей</t>
  </si>
  <si>
    <t>Ветераны 50 - 54 (06.04.1969)/50</t>
  </si>
  <si>
    <t>97,40</t>
  </si>
  <si>
    <t>1. Чеботарев Александр</t>
  </si>
  <si>
    <t>Ветераны 55 - 59 (09.07.1959)/59</t>
  </si>
  <si>
    <t>93,90</t>
  </si>
  <si>
    <t>1. Геженко Александр</t>
  </si>
  <si>
    <t>Ветераны 65 - 69 (21.03.1953)/66</t>
  </si>
  <si>
    <t>Лапченко Даниил</t>
  </si>
  <si>
    <t>1. Лапченко Даниил</t>
  </si>
  <si>
    <t>Юноши 15-19 (09.09.2005)/13</t>
  </si>
  <si>
    <t xml:space="preserve">Терехов А. </t>
  </si>
  <si>
    <t>Фролов Алексей</t>
  </si>
  <si>
    <t>1. Фролов Алексей</t>
  </si>
  <si>
    <t>Открытая (29.10.1983)/35</t>
  </si>
  <si>
    <t>103,90</t>
  </si>
  <si>
    <t xml:space="preserve">Фролов А.С. </t>
  </si>
  <si>
    <t>Журкин Ян</t>
  </si>
  <si>
    <t>2. Журкин Ян</t>
  </si>
  <si>
    <t>Открытая (05.11.1985)/33</t>
  </si>
  <si>
    <t>103,20</t>
  </si>
  <si>
    <t>Буянов Александр</t>
  </si>
  <si>
    <t>3. Буянов Александр</t>
  </si>
  <si>
    <t>Открытая (24.03.1980)/39</t>
  </si>
  <si>
    <t>104,90</t>
  </si>
  <si>
    <t xml:space="preserve">Алексеев А.В. </t>
  </si>
  <si>
    <t>-. Лещенко Иван</t>
  </si>
  <si>
    <t>Открытая (10.07.1986)/32</t>
  </si>
  <si>
    <t>106,10</t>
  </si>
  <si>
    <t>Ремин Кирилл</t>
  </si>
  <si>
    <t>1. Ремин Кирилл</t>
  </si>
  <si>
    <t>Ветераны 40 - 44 (13.08.1975)/43</t>
  </si>
  <si>
    <t>103,50</t>
  </si>
  <si>
    <t xml:space="preserve">Пушнин М. </t>
  </si>
  <si>
    <t>2. Мишин Станислав</t>
  </si>
  <si>
    <t>Ветераны 40 - 44 (02.11.1978)/40</t>
  </si>
  <si>
    <t>109,00</t>
  </si>
  <si>
    <t xml:space="preserve">Канищев Р.В. </t>
  </si>
  <si>
    <t>Шахбанов Исмаил</t>
  </si>
  <si>
    <t>1. Шахбанов Исмаил</t>
  </si>
  <si>
    <t>Ветераны 45 - 49 (26.11.1971)/47</t>
  </si>
  <si>
    <t>Буханцев Павел</t>
  </si>
  <si>
    <t>2. Буханцев Павел</t>
  </si>
  <si>
    <t>Ветераны 45 - 49 (02.08.1969)/49</t>
  </si>
  <si>
    <t>107,50</t>
  </si>
  <si>
    <t>Степанов Владимир</t>
  </si>
  <si>
    <t>3. Степанов Владимир</t>
  </si>
  <si>
    <t>Ветераны 45 - 49 (15.09.1970)/48</t>
  </si>
  <si>
    <t>Бурлов Иван</t>
  </si>
  <si>
    <t>4. Бурлов Иван</t>
  </si>
  <si>
    <t>Ветераны 45 - 49 (20.01.1970)/49</t>
  </si>
  <si>
    <t>108,70</t>
  </si>
  <si>
    <t xml:space="preserve">Романов Ю.Н. </t>
  </si>
  <si>
    <t>Киреев Дмитрий</t>
  </si>
  <si>
    <t>5. Киреев Дмитрий</t>
  </si>
  <si>
    <t>Ветераны 45 - 49 (25.08.1969)/49</t>
  </si>
  <si>
    <t>Литовцев Василий</t>
  </si>
  <si>
    <t>1. Литовцев Василий</t>
  </si>
  <si>
    <t>Ветераны 50 - 54 (27.06.1968)/50</t>
  </si>
  <si>
    <t>102,90</t>
  </si>
  <si>
    <t>2. Кондратьев Валерий</t>
  </si>
  <si>
    <t>Ветераны 55 - 59 (15.01.1964)/55</t>
  </si>
  <si>
    <t>Пауесов Анатолий</t>
  </si>
  <si>
    <t>1. Пауесов Анатолий</t>
  </si>
  <si>
    <t>Ветераны 65 - 69 (14.06.1953)/65</t>
  </si>
  <si>
    <t>110,00</t>
  </si>
  <si>
    <t>Хачатрян Георгий</t>
  </si>
  <si>
    <t>1. Хачатрян Георгий</t>
  </si>
  <si>
    <t>Открытая (23.07.1986)/32</t>
  </si>
  <si>
    <t>114,40</t>
  </si>
  <si>
    <t xml:space="preserve">Лосино-Петровский/Московская область </t>
  </si>
  <si>
    <t>Устюгов Вячеслав</t>
  </si>
  <si>
    <t>2. Устюгов Вячеслав</t>
  </si>
  <si>
    <t>Открытая (05.08.1973)/45</t>
  </si>
  <si>
    <t>122,50</t>
  </si>
  <si>
    <t>197,5</t>
  </si>
  <si>
    <t xml:space="preserve">Устюгов В.В. </t>
  </si>
  <si>
    <t>1. Селезнев Владимир</t>
  </si>
  <si>
    <t>Ветераны 40 - 44 (09.05.1977)/42</t>
  </si>
  <si>
    <t>122,30</t>
  </si>
  <si>
    <t>1. Устюгов Вячеслав</t>
  </si>
  <si>
    <t>Ветераны 45 - 49 (05.08.1973)/45</t>
  </si>
  <si>
    <t>Оглоблин Денис</t>
  </si>
  <si>
    <t>1. Оглоблин Денис</t>
  </si>
  <si>
    <t>Ветераны 50 - 54 (12.05.1967)/52</t>
  </si>
  <si>
    <t>123,00</t>
  </si>
  <si>
    <t>Беляев Владимир</t>
  </si>
  <si>
    <t>1. Беляев Владимир</t>
  </si>
  <si>
    <t>Ветераны 70 - 74 (14.07.1946)/72</t>
  </si>
  <si>
    <t>Демидов Дмитрий</t>
  </si>
  <si>
    <t>1. Демидов Дмитрий</t>
  </si>
  <si>
    <t>Юниоры 20 - 23 (04.10.1998)/20</t>
  </si>
  <si>
    <t>130,00</t>
  </si>
  <si>
    <t>1. Филатов Артем</t>
  </si>
  <si>
    <t>Открытая (26.09.1986)/32</t>
  </si>
  <si>
    <t>132,20</t>
  </si>
  <si>
    <t>Чубаров Владимир</t>
  </si>
  <si>
    <t>1. Чубаров Владимир</t>
  </si>
  <si>
    <t>Ветераны 55 - 59 (03.04.1964)/55</t>
  </si>
  <si>
    <t>131,00</t>
  </si>
  <si>
    <t xml:space="preserve">Девушки </t>
  </si>
  <si>
    <t>101,6550</t>
  </si>
  <si>
    <t>95,9595</t>
  </si>
  <si>
    <t>81,3930</t>
  </si>
  <si>
    <t>78,1235</t>
  </si>
  <si>
    <t>74,3105</t>
  </si>
  <si>
    <t>72,0300</t>
  </si>
  <si>
    <t>70,7940</t>
  </si>
  <si>
    <t>69,5310</t>
  </si>
  <si>
    <t>67,8080</t>
  </si>
  <si>
    <t>63,1988</t>
  </si>
  <si>
    <t>61,3195</t>
  </si>
  <si>
    <t>54,4340</t>
  </si>
  <si>
    <t>53,6320</t>
  </si>
  <si>
    <t>48,0315</t>
  </si>
  <si>
    <t>45,1675</t>
  </si>
  <si>
    <t>86,0293</t>
  </si>
  <si>
    <t>80,0391</t>
  </si>
  <si>
    <t>72,7822</t>
  </si>
  <si>
    <t>65,8451</t>
  </si>
  <si>
    <t>65,7347</t>
  </si>
  <si>
    <t>62,8585</t>
  </si>
  <si>
    <t>62,5988</t>
  </si>
  <si>
    <t>102,3360</t>
  </si>
  <si>
    <t>101,0850</t>
  </si>
  <si>
    <t>92,8560</t>
  </si>
  <si>
    <t>83,4765</t>
  </si>
  <si>
    <t>56,8617</t>
  </si>
  <si>
    <t>53,1810</t>
  </si>
  <si>
    <t>52,9812</t>
  </si>
  <si>
    <t>111,5040</t>
  </si>
  <si>
    <t>104,6360</t>
  </si>
  <si>
    <t>102,8283</t>
  </si>
  <si>
    <t>99,6287</t>
  </si>
  <si>
    <t>93,5090</t>
  </si>
  <si>
    <t>82,4895</t>
  </si>
  <si>
    <t>79,2180</t>
  </si>
  <si>
    <t>124,9490</t>
  </si>
  <si>
    <t>122,9400</t>
  </si>
  <si>
    <t>114,6187</t>
  </si>
  <si>
    <t>113,9620</t>
  </si>
  <si>
    <t>112,0158</t>
  </si>
  <si>
    <t>111,9125</t>
  </si>
  <si>
    <t>109,2080</t>
  </si>
  <si>
    <t>109,1748</t>
  </si>
  <si>
    <t>108,7370</t>
  </si>
  <si>
    <t>108,5960</t>
  </si>
  <si>
    <t>106,5285</t>
  </si>
  <si>
    <t>104,4615</t>
  </si>
  <si>
    <t>104,2795</t>
  </si>
  <si>
    <t>104,1120</t>
  </si>
  <si>
    <t>103,4712</t>
  </si>
  <si>
    <t>102,2210</t>
  </si>
  <si>
    <t>101,3850</t>
  </si>
  <si>
    <t>97,6480</t>
  </si>
  <si>
    <t>97,3350</t>
  </si>
  <si>
    <t>96,0070</t>
  </si>
  <si>
    <t>94,1535</t>
  </si>
  <si>
    <t>93,2640</t>
  </si>
  <si>
    <t>126,2921</t>
  </si>
  <si>
    <t>122,0605</t>
  </si>
  <si>
    <t>121,0893</t>
  </si>
  <si>
    <t>120,2221</t>
  </si>
  <si>
    <t>118,0416</t>
  </si>
  <si>
    <t>117,5629</t>
  </si>
  <si>
    <t>116,6972</t>
  </si>
  <si>
    <t>116,5757</t>
  </si>
  <si>
    <t>116,4847</t>
  </si>
  <si>
    <t>115,6250</t>
  </si>
  <si>
    <t>114,7175</t>
  </si>
  <si>
    <t>113,0074</t>
  </si>
  <si>
    <t>112,3066</t>
  </si>
  <si>
    <t>111,4009</t>
  </si>
  <si>
    <t>110,7008</t>
  </si>
  <si>
    <t>109,5806</t>
  </si>
  <si>
    <t>109,2240</t>
  </si>
  <si>
    <t>109,1562</t>
  </si>
  <si>
    <t>109,0601</t>
  </si>
  <si>
    <t>109,0226</t>
  </si>
  <si>
    <t>107,8759</t>
  </si>
  <si>
    <t>107,6132</t>
  </si>
  <si>
    <t>107,4490</t>
  </si>
  <si>
    <t>107,1075</t>
  </si>
  <si>
    <t>-. Поливанова Анастасия</t>
  </si>
  <si>
    <t>Открытая (20.01.1993)/26</t>
  </si>
  <si>
    <t xml:space="preserve">Филатов В.Г. </t>
  </si>
  <si>
    <t>1. Андреев Алексей</t>
  </si>
  <si>
    <t>Юниоры 20 - 23 (24.09.1997)/21</t>
  </si>
  <si>
    <t>64,20</t>
  </si>
  <si>
    <t>Ларионов Артем</t>
  </si>
  <si>
    <t>1. Ларионов Артем</t>
  </si>
  <si>
    <t>Открытая (14.05.1978)/41</t>
  </si>
  <si>
    <t>75,00</t>
  </si>
  <si>
    <t xml:space="preserve">Котов А.В. </t>
  </si>
  <si>
    <t>Добрянский Денис</t>
  </si>
  <si>
    <t>1. Добрянский Денис</t>
  </si>
  <si>
    <t>Открытая (06.12.1977)/41</t>
  </si>
  <si>
    <t>Корнеев Дмитрий</t>
  </si>
  <si>
    <t>2. Корнеев Дмитрий</t>
  </si>
  <si>
    <t>Открытая (15.02.1987)/32</t>
  </si>
  <si>
    <t>Саунин Дмитрий</t>
  </si>
  <si>
    <t>3. Саунин Дмитрий</t>
  </si>
  <si>
    <t>Открытая (23.04.1994)/25</t>
  </si>
  <si>
    <t xml:space="preserve">Шабров А. Г. </t>
  </si>
  <si>
    <t>Ветераны 40 - 44 (06.12.1977)/41</t>
  </si>
  <si>
    <t>Евстигнеев Михаил</t>
  </si>
  <si>
    <t>1. Евстигнеев Михаил</t>
  </si>
  <si>
    <t>Открытая (21.06.1976)/42</t>
  </si>
  <si>
    <t xml:space="preserve">Козлов В.В. </t>
  </si>
  <si>
    <t>Майоров Владимир</t>
  </si>
  <si>
    <t>2. Майоров Владимир</t>
  </si>
  <si>
    <t>Открытая (14.08.1987)/31</t>
  </si>
  <si>
    <t>98,30</t>
  </si>
  <si>
    <t xml:space="preserve">Мудрогелов Р.А. </t>
  </si>
  <si>
    <t>-. Игнатов Андрей</t>
  </si>
  <si>
    <t>Открытая (22.02.1992)/27</t>
  </si>
  <si>
    <t>95,00</t>
  </si>
  <si>
    <t xml:space="preserve">Егорьевск/Московская область </t>
  </si>
  <si>
    <t>Ветераны 40 - 44 (21.06.1976)/42</t>
  </si>
  <si>
    <t>-. Ярлыков Михаил</t>
  </si>
  <si>
    <t>Открытая (22.02.1989)/30</t>
  </si>
  <si>
    <t>106,50</t>
  </si>
  <si>
    <t>149,1070</t>
  </si>
  <si>
    <t>146,0830</t>
  </si>
  <si>
    <t>138,2020</t>
  </si>
  <si>
    <t>128,7090</t>
  </si>
  <si>
    <t>121,7140</t>
  </si>
  <si>
    <t>109,1570</t>
  </si>
  <si>
    <t>1. Нетребина Галина</t>
  </si>
  <si>
    <t>Открытая (07.07.1978)/40</t>
  </si>
  <si>
    <t>67,00</t>
  </si>
  <si>
    <t>1. Нилова Наталья</t>
  </si>
  <si>
    <t>Ветераны 45 - 49 (13.11.1973)/45</t>
  </si>
  <si>
    <t>84,90</t>
  </si>
  <si>
    <t xml:space="preserve">Мишенин С.В. </t>
  </si>
  <si>
    <t>Soliman Islam</t>
  </si>
  <si>
    <t>1. Soliman Islam</t>
  </si>
  <si>
    <t>Открытая (11.02.1996)/23</t>
  </si>
  <si>
    <t xml:space="preserve">Каир/ </t>
  </si>
  <si>
    <t>Шелаханов Андрей</t>
  </si>
  <si>
    <t>1. Шелаханов Андрей</t>
  </si>
  <si>
    <t>Открытая (18.11.1984)/34</t>
  </si>
  <si>
    <t>Зайцев Вадим</t>
  </si>
  <si>
    <t>1. Зайцев Вадим</t>
  </si>
  <si>
    <t>Ветераны 55 - 59 (26.08.1960)/58</t>
  </si>
  <si>
    <t>88,10</t>
  </si>
  <si>
    <t xml:space="preserve">Зайцев Вадим </t>
  </si>
  <si>
    <t>Белокуров Николай</t>
  </si>
  <si>
    <t>1. Белокуров Николай</t>
  </si>
  <si>
    <t>Ветераны 60 - 64 (29.11.1955)/63</t>
  </si>
  <si>
    <t xml:space="preserve">Волжский/Волгоградская область </t>
  </si>
  <si>
    <t xml:space="preserve">Кочетков Г.С. </t>
  </si>
  <si>
    <t>Кравченко Евгений</t>
  </si>
  <si>
    <t>1. Кравченко Евгений</t>
  </si>
  <si>
    <t>Открытая (03.09.1986)/32</t>
  </si>
  <si>
    <t>347,5</t>
  </si>
  <si>
    <t xml:space="preserve">Калита И.В. </t>
  </si>
  <si>
    <t>Бурдаков Николай</t>
  </si>
  <si>
    <t>2. Бурдаков Николай</t>
  </si>
  <si>
    <t>Открытая (24.07.1988)/30</t>
  </si>
  <si>
    <t>94,60</t>
  </si>
  <si>
    <t>330,0</t>
  </si>
  <si>
    <t>Желудев Виталий</t>
  </si>
  <si>
    <t>3. Желудев Виталий</t>
  </si>
  <si>
    <t>Открытая (09.02.1985)/34</t>
  </si>
  <si>
    <t>94,90</t>
  </si>
  <si>
    <t xml:space="preserve">Евдокушин С.П. </t>
  </si>
  <si>
    <t>Сазонов Павел</t>
  </si>
  <si>
    <t>4. Сазонов Павел</t>
  </si>
  <si>
    <t>Открытая (08.06.1986)/33</t>
  </si>
  <si>
    <t>97,80</t>
  </si>
  <si>
    <t>5. Лукоянов Евгений</t>
  </si>
  <si>
    <t>Катушенко Николай</t>
  </si>
  <si>
    <t>6. Катушенко Николай</t>
  </si>
  <si>
    <t>Открытая (30.05.1982)/37</t>
  </si>
  <si>
    <t>95,50</t>
  </si>
  <si>
    <t xml:space="preserve">Смирнов А.В. </t>
  </si>
  <si>
    <t>Ушков Илья</t>
  </si>
  <si>
    <t>1. Ушков Илья</t>
  </si>
  <si>
    <t>96,10</t>
  </si>
  <si>
    <t xml:space="preserve">Орехово-Зуево/Московская область </t>
  </si>
  <si>
    <t>282,5</t>
  </si>
  <si>
    <t>292,5</t>
  </si>
  <si>
    <t>2. Stone Craig</t>
  </si>
  <si>
    <t>1. Тихомиров Михаил</t>
  </si>
  <si>
    <t>Курмей Денис</t>
  </si>
  <si>
    <t>1. Курмей Денис</t>
  </si>
  <si>
    <t>Открытая (21.10.1987)/31</t>
  </si>
  <si>
    <t>109,10</t>
  </si>
  <si>
    <t xml:space="preserve">Руза/Московская область </t>
  </si>
  <si>
    <t>372,5</t>
  </si>
  <si>
    <t xml:space="preserve">Трубичкин Я.О. </t>
  </si>
  <si>
    <t>Наничкин Алексей</t>
  </si>
  <si>
    <t>2. Наничкин Алексей</t>
  </si>
  <si>
    <t>Открытая (23.02.1991)/28</t>
  </si>
  <si>
    <t xml:space="preserve">Фряново/Московская область </t>
  </si>
  <si>
    <t>342,5</t>
  </si>
  <si>
    <t>355,0</t>
  </si>
  <si>
    <t xml:space="preserve">Резвых В.Н. </t>
  </si>
  <si>
    <t>Каблуков Александр</t>
  </si>
  <si>
    <t>3. Каблуков Александр</t>
  </si>
  <si>
    <t>Открытая (25.12.1984)/34</t>
  </si>
  <si>
    <t xml:space="preserve">Хламков А.Е. </t>
  </si>
  <si>
    <t>Березников Александр</t>
  </si>
  <si>
    <t>1. Березников Александр</t>
  </si>
  <si>
    <t>Ветераны 55 - 59 (26.01.1964)/55</t>
  </si>
  <si>
    <t>117,50</t>
  </si>
  <si>
    <t>Carter David</t>
  </si>
  <si>
    <t>1. Carter David</t>
  </si>
  <si>
    <t>Ветераны 70 - 74 (08.08.1947)/71</t>
  </si>
  <si>
    <t>126,80</t>
  </si>
  <si>
    <t>214,2340</t>
  </si>
  <si>
    <t>212,4000</t>
  </si>
  <si>
    <t>209,6985</t>
  </si>
  <si>
    <t>205,6560</t>
  </si>
  <si>
    <t>200,6955</t>
  </si>
  <si>
    <t>195,8450</t>
  </si>
  <si>
    <t>192,9130</t>
  </si>
  <si>
    <t>178,1180</t>
  </si>
  <si>
    <t>171,5280</t>
  </si>
  <si>
    <t>164,9790</t>
  </si>
  <si>
    <t>148,4780</t>
  </si>
  <si>
    <t>147,3925</t>
  </si>
  <si>
    <t>146,1405</t>
  </si>
  <si>
    <t>141,2040</t>
  </si>
  <si>
    <t>130,7520</t>
  </si>
  <si>
    <t>219,6832</t>
  </si>
  <si>
    <t>210,4185</t>
  </si>
  <si>
    <t>203,4482</t>
  </si>
  <si>
    <t>184,6190</t>
  </si>
  <si>
    <t>184,0293</t>
  </si>
  <si>
    <t>171,2502</t>
  </si>
  <si>
    <t>155,1121</t>
  </si>
  <si>
    <t>152,4739</t>
  </si>
  <si>
    <t>Веденеева Анастасия</t>
  </si>
  <si>
    <t>1. Веденеева Анастасия</t>
  </si>
  <si>
    <t>Открытая (21.11.1981)/37</t>
  </si>
  <si>
    <t>46,50</t>
  </si>
  <si>
    <t xml:space="preserve">Бойко Ю.М. </t>
  </si>
  <si>
    <t>Викторова Виктория</t>
  </si>
  <si>
    <t>1. Викторова Виктория</t>
  </si>
  <si>
    <t>Девушки 15-19 (15.09.1999)/19</t>
  </si>
  <si>
    <t xml:space="preserve">Боев В.Ф </t>
  </si>
  <si>
    <t>1. Шагдырова Виктория</t>
  </si>
  <si>
    <t>Юниорки 20 - 23 (09.10.1998)/20</t>
  </si>
  <si>
    <t>50,90</t>
  </si>
  <si>
    <t>Журавлева Анна</t>
  </si>
  <si>
    <t>1. Журавлева Анна</t>
  </si>
  <si>
    <t>Открытая (22.01.1986)/33</t>
  </si>
  <si>
    <t>50,80</t>
  </si>
  <si>
    <t xml:space="preserve">Журавлева А.В. </t>
  </si>
  <si>
    <t>Романенкова Евгения</t>
  </si>
  <si>
    <t>2. Романенкова Евгения</t>
  </si>
  <si>
    <t>Открытая (27.11.1987)/31</t>
  </si>
  <si>
    <t>49,20</t>
  </si>
  <si>
    <t>Мальгина Ольга</t>
  </si>
  <si>
    <t>3. Мальгина Ольга</t>
  </si>
  <si>
    <t>Открытая (01.12.1990)/28</t>
  </si>
  <si>
    <t>Демина Лариса</t>
  </si>
  <si>
    <t>1. Демина Лариса</t>
  </si>
  <si>
    <t>Девушки 15-19 (27.07.2001)/17</t>
  </si>
  <si>
    <t>1. Каймачникова Ольга</t>
  </si>
  <si>
    <t>Юниорки 20 - 23 (16.10.1996)/22</t>
  </si>
  <si>
    <t>54,60</t>
  </si>
  <si>
    <t>Левенкова Наталья</t>
  </si>
  <si>
    <t>1. Левенкова Наталья</t>
  </si>
  <si>
    <t>Открытая (16.09.1988)/30</t>
  </si>
  <si>
    <t>2. Демина Лариса</t>
  </si>
  <si>
    <t>Открытая (27.07.2001)/17</t>
  </si>
  <si>
    <t>3. Камышникова Марина</t>
  </si>
  <si>
    <t>Черткова Алина</t>
  </si>
  <si>
    <t>4. Черткова Алина</t>
  </si>
  <si>
    <t>Открытая (09.08.2001)/17</t>
  </si>
  <si>
    <t>54,40</t>
  </si>
  <si>
    <t xml:space="preserve">Аркадьев Д. </t>
  </si>
  <si>
    <t>Огородникова Мария</t>
  </si>
  <si>
    <t>1. Огородникова Мария</t>
  </si>
  <si>
    <t>Открытая (28.04.1982)/37</t>
  </si>
  <si>
    <t>59,90</t>
  </si>
  <si>
    <t>2. Мясоедова Алина</t>
  </si>
  <si>
    <t>Сухорукова Ксения</t>
  </si>
  <si>
    <t>3. Сухорукова Ксения</t>
  </si>
  <si>
    <t>Открытая (20.10.1987)/31</t>
  </si>
  <si>
    <t>Тихомирова Ксения</t>
  </si>
  <si>
    <t>1. Тихомирова Ксения</t>
  </si>
  <si>
    <t>Девушки 15-19 (29.07.2000)/18</t>
  </si>
  <si>
    <t>62,00</t>
  </si>
  <si>
    <t xml:space="preserve">Тихомиров М.В. </t>
  </si>
  <si>
    <t>Батракова Алла</t>
  </si>
  <si>
    <t>2. Батракова Алла</t>
  </si>
  <si>
    <t>Девушки 15-19 (31.01.2003)/16</t>
  </si>
  <si>
    <t>1. Васильева Екатерина</t>
  </si>
  <si>
    <t>Ветераны 40 - 44 (07.09.1976)/42</t>
  </si>
  <si>
    <t>Старова Олеся</t>
  </si>
  <si>
    <t>1. Старова Олеся</t>
  </si>
  <si>
    <t>Девушки 15-19 (29.09.2000)/18</t>
  </si>
  <si>
    <t xml:space="preserve">Старов Д.А. </t>
  </si>
  <si>
    <t>1. Романова Нина</t>
  </si>
  <si>
    <t>Ветераны 40 - 44 (19.05.1978)/41</t>
  </si>
  <si>
    <t>Неунывалова Наталья</t>
  </si>
  <si>
    <t>1. Неунывалова Наталья</t>
  </si>
  <si>
    <t>Открытая (05.12.1984)/34</t>
  </si>
  <si>
    <t>89,30</t>
  </si>
  <si>
    <t>1. Грахов Александр</t>
  </si>
  <si>
    <t>Юноши 15-19 (12.06.2001)/17</t>
  </si>
  <si>
    <t>66,80</t>
  </si>
  <si>
    <t>1. Якимчук Николай</t>
  </si>
  <si>
    <t>Юниоры 20 - 23 (09.02.1999)/20</t>
  </si>
  <si>
    <t>66,40</t>
  </si>
  <si>
    <t xml:space="preserve">Грошев А.М. </t>
  </si>
  <si>
    <t>Назаренко Михаил</t>
  </si>
  <si>
    <t>1. Назаренко Михаил</t>
  </si>
  <si>
    <t>Открытая (12.05.1983)/36</t>
  </si>
  <si>
    <t>64,10</t>
  </si>
  <si>
    <t>Маслаков Сергей</t>
  </si>
  <si>
    <t>2. Маслаков Сергей</t>
  </si>
  <si>
    <t>Открытая (23.06.2000)/18</t>
  </si>
  <si>
    <t>62,80</t>
  </si>
  <si>
    <t xml:space="preserve">Будко А. </t>
  </si>
  <si>
    <t>1. Алексеев Глеб</t>
  </si>
  <si>
    <t>Юноши 15-19 (18.08.1999)/19</t>
  </si>
  <si>
    <t xml:space="preserve">Тарасав Р.С. </t>
  </si>
  <si>
    <t>2. Ходкин Дмитрий</t>
  </si>
  <si>
    <t>3. Калачев Николай</t>
  </si>
  <si>
    <t>Юноши 15-19 (27.11.2004)/14</t>
  </si>
  <si>
    <t>70,50</t>
  </si>
  <si>
    <t xml:space="preserve">Сидоров И.Е. </t>
  </si>
  <si>
    <t>Опарин Илья</t>
  </si>
  <si>
    <t>2. Опарин Илья</t>
  </si>
  <si>
    <t>Открытая (01.01.1992)/27</t>
  </si>
  <si>
    <t>Попов Виктор</t>
  </si>
  <si>
    <t>1. Попов Виктор</t>
  </si>
  <si>
    <t>Ветераны 65 - 69 (15.07.1952)/66</t>
  </si>
  <si>
    <t xml:space="preserve">Бобкин В.В. </t>
  </si>
  <si>
    <t>1. Галкин Никита</t>
  </si>
  <si>
    <t>Юноши 15-19 (21.12.2000)/18</t>
  </si>
  <si>
    <t>Кофи Каблан</t>
  </si>
  <si>
    <t>1. Кофи Каблан</t>
  </si>
  <si>
    <t>Открытая (15.03.1994)/25</t>
  </si>
  <si>
    <t>76,30</t>
  </si>
  <si>
    <t>Федоренко Владимир</t>
  </si>
  <si>
    <t>2. Федоренко Владимир</t>
  </si>
  <si>
    <t>Открытая (11.03.1993)/26</t>
  </si>
  <si>
    <t>80,60</t>
  </si>
  <si>
    <t xml:space="preserve">Кишинев/ </t>
  </si>
  <si>
    <t xml:space="preserve">Фурсов Р. </t>
  </si>
  <si>
    <t>Евсеев Сергей</t>
  </si>
  <si>
    <t>3. Евсеев Сергей</t>
  </si>
  <si>
    <t>Открытая (09.10.1990)/28</t>
  </si>
  <si>
    <t xml:space="preserve">Великие Луки/Псковская область </t>
  </si>
  <si>
    <t xml:space="preserve">Евсеев М.И. </t>
  </si>
  <si>
    <t>Семенов Роман</t>
  </si>
  <si>
    <t>4. Семенов Роман</t>
  </si>
  <si>
    <t>Открытая (12.07.1988)/30</t>
  </si>
  <si>
    <t>5. Цепелев Андрей</t>
  </si>
  <si>
    <t>82,50</t>
  </si>
  <si>
    <t>Абрамов Максим</t>
  </si>
  <si>
    <t>1. Абрамов Максим</t>
  </si>
  <si>
    <t>Ветераны 50 - 54 (07.02.1969)/50</t>
  </si>
  <si>
    <t>82,30</t>
  </si>
  <si>
    <t xml:space="preserve">Абрамов М.В. </t>
  </si>
  <si>
    <t>Щемелев Владимир</t>
  </si>
  <si>
    <t>1. Щемелев Владимир</t>
  </si>
  <si>
    <t>Ветераны 55 - 59 (02.04.1961)/58</t>
  </si>
  <si>
    <t>75,70</t>
  </si>
  <si>
    <t>Пантелеев Александр</t>
  </si>
  <si>
    <t>1. Пантелеев Александр</t>
  </si>
  <si>
    <t>Открытая (01.12.1991)/27</t>
  </si>
  <si>
    <t>1. Суржиков Владислав</t>
  </si>
  <si>
    <t>Юниоры 20 - 23 (10.02.1999)/20</t>
  </si>
  <si>
    <t>Моисеев Роман</t>
  </si>
  <si>
    <t>1. Моисеев Роман</t>
  </si>
  <si>
    <t>Открытая (01.11.1990)/28</t>
  </si>
  <si>
    <t>92,80</t>
  </si>
  <si>
    <t>Лаханов Иван</t>
  </si>
  <si>
    <t>2. Лаханов Иван</t>
  </si>
  <si>
    <t>Открытая (17.06.1987)/31</t>
  </si>
  <si>
    <t>Богачев Иван</t>
  </si>
  <si>
    <t>3. Богачев Иван</t>
  </si>
  <si>
    <t>Открытая (08.06.1978)/41</t>
  </si>
  <si>
    <t>97,30</t>
  </si>
  <si>
    <t xml:space="preserve">Лазарев В. </t>
  </si>
  <si>
    <t>Козлов Андрей</t>
  </si>
  <si>
    <t>4. Козлов Андрей</t>
  </si>
  <si>
    <t>Открытая (24.10.1969)/49</t>
  </si>
  <si>
    <t>Богринцев Владимир</t>
  </si>
  <si>
    <t>5. Богринцев Владимир</t>
  </si>
  <si>
    <t>Открытая (12.05.1992)/27</t>
  </si>
  <si>
    <t xml:space="preserve">Богринцев В. Н. </t>
  </si>
  <si>
    <t>1. Богачев Иван</t>
  </si>
  <si>
    <t>Ветераны 40 - 44 (08.06.1978)/41</t>
  </si>
  <si>
    <t>1. Козлов Андрей</t>
  </si>
  <si>
    <t>Ветераны 45 - 49 (24.10.1969)/49</t>
  </si>
  <si>
    <t>Коваленко Алексей</t>
  </si>
  <si>
    <t>2. Коваленко Алексей</t>
  </si>
  <si>
    <t>Ветераны 45 - 49 (07.01.1972)/47</t>
  </si>
  <si>
    <t>1. Усачев Игорь</t>
  </si>
  <si>
    <t>94,20</t>
  </si>
  <si>
    <t>Лучина Дмитрий</t>
  </si>
  <si>
    <t>1. Лучина Дмитрий</t>
  </si>
  <si>
    <t>Открытая (20.10.1984)/34</t>
  </si>
  <si>
    <t>101,80</t>
  </si>
  <si>
    <t xml:space="preserve">д. Аладьино </t>
  </si>
  <si>
    <t>Холодов Сергей</t>
  </si>
  <si>
    <t>2. Холодов Сергей</t>
  </si>
  <si>
    <t>Открытая (08.07.1989)/29</t>
  </si>
  <si>
    <t>107,80</t>
  </si>
  <si>
    <t>1. Степанов Владимир</t>
  </si>
  <si>
    <t>105,50</t>
  </si>
  <si>
    <t>Русаков Михаил</t>
  </si>
  <si>
    <t>2. Русаков Михаил</t>
  </si>
  <si>
    <t>Ветераны 45 - 49 (02.03.1974)/45</t>
  </si>
  <si>
    <t xml:space="preserve">Русаков М.А. </t>
  </si>
  <si>
    <t>Веснин Артем</t>
  </si>
  <si>
    <t>3. Веснин Артем</t>
  </si>
  <si>
    <t>Ветераны 45 - 49 (08.09.1971)/47</t>
  </si>
  <si>
    <t>Баранов Михаил</t>
  </si>
  <si>
    <t>1. Баранов Михаил</t>
  </si>
  <si>
    <t>Ветераны 60 - 64 (02.03.1957)/62</t>
  </si>
  <si>
    <t xml:space="preserve">Санкт-Петербург </t>
  </si>
  <si>
    <t>159,7320</t>
  </si>
  <si>
    <t>135,8875</t>
  </si>
  <si>
    <t>127,7765</t>
  </si>
  <si>
    <t>120,3365</t>
  </si>
  <si>
    <t>116,9663</t>
  </si>
  <si>
    <t>169,4125</t>
  </si>
  <si>
    <t>163,3913</t>
  </si>
  <si>
    <t>156,4680</t>
  </si>
  <si>
    <t>156,3368</t>
  </si>
  <si>
    <t>147,9097</t>
  </si>
  <si>
    <t>139,2947</t>
  </si>
  <si>
    <t>136,4390</t>
  </si>
  <si>
    <t>130,0400</t>
  </si>
  <si>
    <t>130,0350</t>
  </si>
  <si>
    <t>125,4262</t>
  </si>
  <si>
    <t>101,3840</t>
  </si>
  <si>
    <t>200,6970</t>
  </si>
  <si>
    <t>180,0675</t>
  </si>
  <si>
    <t>178,9750</t>
  </si>
  <si>
    <t>173,9155</t>
  </si>
  <si>
    <t>162,9315</t>
  </si>
  <si>
    <t>160,3440</t>
  </si>
  <si>
    <t>157,1440</t>
  </si>
  <si>
    <t>155,7092</t>
  </si>
  <si>
    <t>155,3420</t>
  </si>
  <si>
    <t>149,5235</t>
  </si>
  <si>
    <t>148,6945</t>
  </si>
  <si>
    <t>147,3780</t>
  </si>
  <si>
    <t>142,1520</t>
  </si>
  <si>
    <t>141,5650</t>
  </si>
  <si>
    <t>139,9780</t>
  </si>
  <si>
    <t>122,8350</t>
  </si>
  <si>
    <t>116,2990</t>
  </si>
  <si>
    <t>200,5105</t>
  </si>
  <si>
    <t>194,4161</t>
  </si>
  <si>
    <t>191,9459</t>
  </si>
  <si>
    <t>184,9560</t>
  </si>
  <si>
    <t>172,3776</t>
  </si>
  <si>
    <t>166,8899</t>
  </si>
  <si>
    <t>162,4815</t>
  </si>
  <si>
    <t>161,6322</t>
  </si>
  <si>
    <t>155,7955</t>
  </si>
  <si>
    <t>151,6234</t>
  </si>
  <si>
    <t>148,0608</t>
  </si>
  <si>
    <t>142,9806</t>
  </si>
  <si>
    <t>135,8143</t>
  </si>
  <si>
    <t>103,2834</t>
  </si>
  <si>
    <t>1. Самсонов Вадим</t>
  </si>
  <si>
    <t>Ветераны 40 - 44 (05.12.1974)/44</t>
  </si>
  <si>
    <t>124,50</t>
  </si>
  <si>
    <t>Gloss</t>
  </si>
  <si>
    <t>1. Карнаушкина Ирина</t>
  </si>
  <si>
    <t>Мастера 40 - 49 (30.06.1972)/46</t>
  </si>
  <si>
    <t>51,80</t>
  </si>
  <si>
    <t>24,0</t>
  </si>
  <si>
    <t xml:space="preserve">Филоненко И. </t>
  </si>
  <si>
    <t>Побережец Андрей</t>
  </si>
  <si>
    <t>1. Побережец Андрей</t>
  </si>
  <si>
    <t>Открытая (16.08.1988)/30</t>
  </si>
  <si>
    <t>77,30</t>
  </si>
  <si>
    <t>Тимченко Сергей</t>
  </si>
  <si>
    <t>1. Тимченко Сергей</t>
  </si>
  <si>
    <t>Открытая (23.12.1979)/39</t>
  </si>
  <si>
    <t>89,80</t>
  </si>
  <si>
    <t>38,0</t>
  </si>
  <si>
    <t xml:space="preserve">Тимченко Ю. </t>
  </si>
  <si>
    <t>Меженин Иван</t>
  </si>
  <si>
    <t>2. Меженин Иван</t>
  </si>
  <si>
    <t>Открытая (08.01.1973)/46</t>
  </si>
  <si>
    <t xml:space="preserve">Алексеев В. </t>
  </si>
  <si>
    <t>1. Меженин Иван</t>
  </si>
  <si>
    <t>Мастера 40 - 49 (08.01.1973)/46</t>
  </si>
  <si>
    <t>Ефремов Александр</t>
  </si>
  <si>
    <t>1. Ефремов Александр</t>
  </si>
  <si>
    <t>Мастера 40 - 49 (14.02.1971)/48</t>
  </si>
  <si>
    <t>96,90</t>
  </si>
  <si>
    <t xml:space="preserve">Смоленск/Смоленская область </t>
  </si>
  <si>
    <t>21,0</t>
  </si>
  <si>
    <t xml:space="preserve">Гладских В.А. </t>
  </si>
  <si>
    <t>Розинкевич Павел</t>
  </si>
  <si>
    <t>1. Розинкевич Павел</t>
  </si>
  <si>
    <t>Открытая (25.05.1989)/30</t>
  </si>
  <si>
    <t xml:space="preserve">Калининград/Калининградская об </t>
  </si>
  <si>
    <t>23,0</t>
  </si>
  <si>
    <t>Цуцкиридзе Нодар</t>
  </si>
  <si>
    <t>1. Цуцкиридзе Нодар</t>
  </si>
  <si>
    <t>Мастера 40 - 49 (14.09.1976)/42</t>
  </si>
  <si>
    <t>104,00</t>
  </si>
  <si>
    <t xml:space="preserve">Тверь/Тверская область </t>
  </si>
  <si>
    <t>31,0</t>
  </si>
  <si>
    <t>Арсенин Роман</t>
  </si>
  <si>
    <t>1. Арсенин Роман</t>
  </si>
  <si>
    <t>Открытая (25.05.1987)/32</t>
  </si>
  <si>
    <t>113,40</t>
  </si>
  <si>
    <t>Гладских Владислав</t>
  </si>
  <si>
    <t>1. Гладских Владислав</t>
  </si>
  <si>
    <t>Мастера 40 - 49 (27.02.1976)/43</t>
  </si>
  <si>
    <t>112,40</t>
  </si>
  <si>
    <t>19,0</t>
  </si>
  <si>
    <t>18,0</t>
  </si>
  <si>
    <t xml:space="preserve">Мастера </t>
  </si>
  <si>
    <t xml:space="preserve">Gloss </t>
  </si>
  <si>
    <t xml:space="preserve">Мастера 40 - 49 </t>
  </si>
  <si>
    <t>3420,0</t>
  </si>
  <si>
    <t>2095,0921</t>
  </si>
  <si>
    <t>3062,5</t>
  </si>
  <si>
    <t>1918,1968</t>
  </si>
  <si>
    <t>2712,5</t>
  </si>
  <si>
    <t>1827,2757</t>
  </si>
  <si>
    <t>2760,0</t>
  </si>
  <si>
    <t>1540,2179</t>
  </si>
  <si>
    <t>2415,0</t>
  </si>
  <si>
    <t>1385,1232</t>
  </si>
  <si>
    <t>2295,0</t>
  </si>
  <si>
    <t>1247,9292</t>
  </si>
  <si>
    <t>2048,6342</t>
  </si>
  <si>
    <t>3255,0</t>
  </si>
  <si>
    <t>1900,9233</t>
  </si>
  <si>
    <t>2047,5</t>
  </si>
  <si>
    <t>1323,8557</t>
  </si>
  <si>
    <t>2137,5</t>
  </si>
  <si>
    <t>1232,4542</t>
  </si>
  <si>
    <t>Жим мн. повт.</t>
  </si>
  <si>
    <t>Вес</t>
  </si>
  <si>
    <t>Повторы</t>
  </si>
  <si>
    <t>Тоннаж</t>
  </si>
  <si>
    <t>1. Балашова Елена</t>
  </si>
  <si>
    <t>Открытая (01.09.1979)/39</t>
  </si>
  <si>
    <t>57,30</t>
  </si>
  <si>
    <t>53,0</t>
  </si>
  <si>
    <t>1. Чеховская Елена</t>
  </si>
  <si>
    <t>Мастера 40 - 49 (11.04.1978)/41</t>
  </si>
  <si>
    <t>57,80</t>
  </si>
  <si>
    <t>34,0</t>
  </si>
  <si>
    <t>1. Мамуткина Наталия</t>
  </si>
  <si>
    <t>55,00</t>
  </si>
  <si>
    <t>17,0</t>
  </si>
  <si>
    <t>Цырулев Александр</t>
  </si>
  <si>
    <t>1. Цырулев Александр</t>
  </si>
  <si>
    <t>Мастера 50 - 59 (02.12.1960)/58</t>
  </si>
  <si>
    <t>Рузибадалов Турсунали</t>
  </si>
  <si>
    <t>1. Рузибадалов Турсунали</t>
  </si>
  <si>
    <t>Открытая (02.06.1994)/25</t>
  </si>
  <si>
    <t>Заболотников Иван</t>
  </si>
  <si>
    <t>1. Заболотников Иван</t>
  </si>
  <si>
    <t>Открытая (17.06.1979)/39</t>
  </si>
  <si>
    <t>67,10</t>
  </si>
  <si>
    <t xml:space="preserve">Никулин Е. </t>
  </si>
  <si>
    <t>Леонов Андрей</t>
  </si>
  <si>
    <t>1. Леонов Андрей</t>
  </si>
  <si>
    <t>Открытая (12.10.1980)/38</t>
  </si>
  <si>
    <t>69,10</t>
  </si>
  <si>
    <t>Мастера 40 - 49 (19.11.1975)/43</t>
  </si>
  <si>
    <t>32,0</t>
  </si>
  <si>
    <t>27,0</t>
  </si>
  <si>
    <t>Мишин Николай</t>
  </si>
  <si>
    <t>1. Мишин Николай</t>
  </si>
  <si>
    <t>Открытая (22.12.1982)/36</t>
  </si>
  <si>
    <t>77,40</t>
  </si>
  <si>
    <t>36,0</t>
  </si>
  <si>
    <t xml:space="preserve">Чеботарев А.О. </t>
  </si>
  <si>
    <t>Селезнев Роман</t>
  </si>
  <si>
    <t>2. Селезнев Роман</t>
  </si>
  <si>
    <t>Открытая (10.06.1982)/36</t>
  </si>
  <si>
    <t>26,0</t>
  </si>
  <si>
    <t>Петров Александр</t>
  </si>
  <si>
    <t>3. Петров Александр</t>
  </si>
  <si>
    <t>Открытая (21.12.1978)/40</t>
  </si>
  <si>
    <t>75,80</t>
  </si>
  <si>
    <t xml:space="preserve">Петров А.С. </t>
  </si>
  <si>
    <t>1. Петров Александр</t>
  </si>
  <si>
    <t>Мастера 40 - 49 (21.12.1978)/40</t>
  </si>
  <si>
    <t>Абашкин Денис</t>
  </si>
  <si>
    <t>2. Абашкин Денис</t>
  </si>
  <si>
    <t>Мастера 40 - 49 (14.04.1978)/41</t>
  </si>
  <si>
    <t>Пантин Олег</t>
  </si>
  <si>
    <t>1. Пантин Олег</t>
  </si>
  <si>
    <t>Мастера 50 - 59 (08.07.1961)/57</t>
  </si>
  <si>
    <t xml:space="preserve">Ухта/Коми </t>
  </si>
  <si>
    <t>Терехин Юрий</t>
  </si>
  <si>
    <t>1. Терехин Юрий</t>
  </si>
  <si>
    <t>Открытая (23.05.1975)/44</t>
  </si>
  <si>
    <t>84,20</t>
  </si>
  <si>
    <t xml:space="preserve">Барышников А. </t>
  </si>
  <si>
    <t>Барабошкин Владимир</t>
  </si>
  <si>
    <t>2. Барабошкин Владимир</t>
  </si>
  <si>
    <t>Открытая (01.04.1965)/54</t>
  </si>
  <si>
    <t>84,50</t>
  </si>
  <si>
    <t>3. Талдыкин Алексей</t>
  </si>
  <si>
    <t>Мастера 40 - 49 (23.05.1975)/44</t>
  </si>
  <si>
    <t>Терехов Анатолий</t>
  </si>
  <si>
    <t>2. Терехов Анатолий</t>
  </si>
  <si>
    <t>Мастера 40 - 49 (20.03.1971)/48</t>
  </si>
  <si>
    <t>84,10</t>
  </si>
  <si>
    <t>Дымов Олег</t>
  </si>
  <si>
    <t>3. Дымов Олег</t>
  </si>
  <si>
    <t>Мастера 40 - 49 (02.05.1970)/49</t>
  </si>
  <si>
    <t>28,0</t>
  </si>
  <si>
    <t>Румянцев Дмитрий</t>
  </si>
  <si>
    <t>4. Румянцев Дмитрий</t>
  </si>
  <si>
    <t>Мастера 40 - 49 (24.05.1978)/41</t>
  </si>
  <si>
    <t>83,50</t>
  </si>
  <si>
    <t>Семёнов Иван</t>
  </si>
  <si>
    <t>1. Семёнов Иван</t>
  </si>
  <si>
    <t>93,30</t>
  </si>
  <si>
    <t>Наумов Андрей</t>
  </si>
  <si>
    <t>2. Наумов Андрей</t>
  </si>
  <si>
    <t>Открытая (07.10.1981)/37</t>
  </si>
  <si>
    <t>20,0</t>
  </si>
  <si>
    <t>Мастера 40 - 49 (07.07.1978)/40</t>
  </si>
  <si>
    <t>Мастера 40 - 49 (07.08.1977)/41</t>
  </si>
  <si>
    <t>Колесников Андрей</t>
  </si>
  <si>
    <t>1. Колесников Андрей</t>
  </si>
  <si>
    <t>Открытая (20.04.1987)/32</t>
  </si>
  <si>
    <t>101,70</t>
  </si>
  <si>
    <t>Сазонов Вадим</t>
  </si>
  <si>
    <t>1. Сазонов Вадим</t>
  </si>
  <si>
    <t>Мастера 40 - 49 (06.07.1975)/43</t>
  </si>
  <si>
    <t>101,10</t>
  </si>
  <si>
    <t>2. Киреев Дмитрий</t>
  </si>
  <si>
    <t>Мастера 40 - 49 (25.08.1969)/49</t>
  </si>
  <si>
    <t>6750,0</t>
  </si>
  <si>
    <t>5077,3501</t>
  </si>
  <si>
    <t>3230,0</t>
  </si>
  <si>
    <t>2055,2491</t>
  </si>
  <si>
    <t>3280,0</t>
  </si>
  <si>
    <t>1893,8721</t>
  </si>
  <si>
    <t>2975,0</t>
  </si>
  <si>
    <t>1888,9762</t>
  </si>
  <si>
    <t>2790,0</t>
  </si>
  <si>
    <t>1877,8095</t>
  </si>
  <si>
    <t>1718,7795</t>
  </si>
  <si>
    <t>2660,0</t>
  </si>
  <si>
    <t>1596,7980</t>
  </si>
  <si>
    <t>2015,0</t>
  </si>
  <si>
    <t>1359,9235</t>
  </si>
  <si>
    <t>1860,0</t>
  </si>
  <si>
    <t>1270,7520</t>
  </si>
  <si>
    <t>2000,0</t>
  </si>
  <si>
    <t>1170,1000</t>
  </si>
  <si>
    <t>1207,5</t>
  </si>
  <si>
    <t>1054,5702</t>
  </si>
  <si>
    <t>1330,0</t>
  </si>
  <si>
    <t>976,1535</t>
  </si>
  <si>
    <t xml:space="preserve">Мастера 50 - 59 </t>
  </si>
  <si>
    <t>2012,5</t>
  </si>
  <si>
    <t>2327,5415</t>
  </si>
  <si>
    <t>2143,6248</t>
  </si>
  <si>
    <t>2890,0</t>
  </si>
  <si>
    <t>2018,8661</t>
  </si>
  <si>
    <t>1745,5897</t>
  </si>
  <si>
    <t>2520,0</t>
  </si>
  <si>
    <t>1731,3783</t>
  </si>
  <si>
    <t>2400,0</t>
  </si>
  <si>
    <t>1717,2336</t>
  </si>
  <si>
    <t>2870,0</t>
  </si>
  <si>
    <t>1712,5039</t>
  </si>
  <si>
    <t>2472,5</t>
  </si>
  <si>
    <t>1563,9005</t>
  </si>
  <si>
    <t>2040,0</t>
  </si>
  <si>
    <t>1317,9348</t>
  </si>
  <si>
    <t>1800,0</t>
  </si>
  <si>
    <t>1058,6214</t>
  </si>
  <si>
    <t>1440,0</t>
  </si>
  <si>
    <t>958,3768</t>
  </si>
  <si>
    <t>1. Ромашова Нина</t>
  </si>
  <si>
    <t>Открытая (27.09.1983)/35</t>
  </si>
  <si>
    <t>51,60</t>
  </si>
  <si>
    <t>27,5</t>
  </si>
  <si>
    <t>44,0</t>
  </si>
  <si>
    <t>1. Филиппова Оксана</t>
  </si>
  <si>
    <t>Мастера 40 - 49 (10.09.1975)/43</t>
  </si>
  <si>
    <t>Милостной Станислав</t>
  </si>
  <si>
    <t>1. Милостной Станислав</t>
  </si>
  <si>
    <t>Открытая (19.12.1978)/40</t>
  </si>
  <si>
    <t xml:space="preserve">Курск/Курская область </t>
  </si>
  <si>
    <t>253,0</t>
  </si>
  <si>
    <t>Панкратов Илья</t>
  </si>
  <si>
    <t>2. Панкратов Илья</t>
  </si>
  <si>
    <t>Открытая (09.12.1986)/32</t>
  </si>
  <si>
    <t>Летлян Вячеслав</t>
  </si>
  <si>
    <t>1. Летлян Вячеслав</t>
  </si>
  <si>
    <t>Открытая (28.02.1987)/32</t>
  </si>
  <si>
    <t xml:space="preserve">Рига/ </t>
  </si>
  <si>
    <t xml:space="preserve">Даугавет М. </t>
  </si>
  <si>
    <t>1. Бунчук Денис</t>
  </si>
  <si>
    <t>Соловьев Алексей</t>
  </si>
  <si>
    <t>1. Соловьев Алексей</t>
  </si>
  <si>
    <t>Открытая (01.07.1990)/28</t>
  </si>
  <si>
    <t>276,0</t>
  </si>
  <si>
    <t>Трунов Иван</t>
  </si>
  <si>
    <t>2. Трунов Иван</t>
  </si>
  <si>
    <t>Открытая (10.10.1980)/38</t>
  </si>
  <si>
    <t xml:space="preserve">Богородск/Нижегородская область </t>
  </si>
  <si>
    <t>Сербин Анатолий</t>
  </si>
  <si>
    <t>1. Сербин Анатолий</t>
  </si>
  <si>
    <t>Открытая (26.07.1990)/28</t>
  </si>
  <si>
    <t>120,30</t>
  </si>
  <si>
    <t>Козак Богдан</t>
  </si>
  <si>
    <t>1. Козак Богдан</t>
  </si>
  <si>
    <t>Открытая (05.04.1984)/35</t>
  </si>
  <si>
    <t>134,30</t>
  </si>
  <si>
    <t xml:space="preserve">Суслов Н. </t>
  </si>
  <si>
    <t>164,3705</t>
  </si>
  <si>
    <t>162,3245</t>
  </si>
  <si>
    <t>159,5430</t>
  </si>
  <si>
    <t>156,7485</t>
  </si>
  <si>
    <t>155,4425</t>
  </si>
  <si>
    <t>154,9970</t>
  </si>
  <si>
    <t>146,2240</t>
  </si>
  <si>
    <t>141,5280</t>
  </si>
  <si>
    <t>Калинин С.И.</t>
  </si>
  <si>
    <t>Russia</t>
  </si>
  <si>
    <t xml:space="preserve">Moldavia </t>
  </si>
  <si>
    <t>Сухорукова К.</t>
  </si>
  <si>
    <t xml:space="preserve">Лаханов И.А. </t>
  </si>
  <si>
    <t>Egypt</t>
  </si>
  <si>
    <t>Англия</t>
  </si>
  <si>
    <t>Latvia</t>
  </si>
  <si>
    <t>Ушков И.</t>
  </si>
  <si>
    <t>Бурлаков Д.Б.</t>
  </si>
  <si>
    <t>Котов А.В.</t>
  </si>
  <si>
    <t>Голенков О.С.</t>
  </si>
  <si>
    <t xml:space="preserve">Калинин С.И. </t>
  </si>
  <si>
    <t>Петрокович Н.</t>
  </si>
  <si>
    <t>Глазунов С.</t>
  </si>
  <si>
    <t>Azerbaijan</t>
  </si>
  <si>
    <t>England</t>
  </si>
  <si>
    <t>Ukrain</t>
  </si>
  <si>
    <t>Haiti</t>
  </si>
  <si>
    <t>Гаити</t>
  </si>
  <si>
    <t>Намибия</t>
  </si>
  <si>
    <t>-. Гамов Александр</t>
  </si>
  <si>
    <t>1. Жакин Владимир</t>
  </si>
  <si>
    <t>Филиппов И.</t>
  </si>
  <si>
    <t>Уколов Д.</t>
  </si>
  <si>
    <t>Пауесов А.И.</t>
  </si>
  <si>
    <t>Трубичкин Я.</t>
  </si>
  <si>
    <t>Иванкин Д.Н.</t>
  </si>
  <si>
    <t>Бобков М.Е.</t>
  </si>
  <si>
    <t xml:space="preserve">Астахова Е.А. </t>
  </si>
  <si>
    <t>Карнаушкина Ирина</t>
  </si>
  <si>
    <t>1260,0</t>
  </si>
  <si>
    <t>1495,0504</t>
  </si>
  <si>
    <t>European Championship 2019
WPF PRO ЭЛИТА Жим лежа Безэкипировочный
Москва 7 - 9 июня 2019 г.</t>
  </si>
  <si>
    <t>European Championship 2019
WPF PRO Пауэрлифтинг Безэкипировочный
Москва 7 - 9 июня 2019 г.</t>
  </si>
  <si>
    <t>European Championship 2019
WPF PRO Пауэрлифтинг Классический
Москва 7 - 9 июня 2019 г.</t>
  </si>
  <si>
    <t>European Championship 2019
WPF PRO  Пауэрлифтинг в Однослойной экипировке
Москва 7 - 9 июня 2019 г.</t>
  </si>
  <si>
    <t>European Championship 2019
WPF PRO Жим лежа Безэкипировочный
Москва 7 - 9 июня 2019 г.</t>
  </si>
  <si>
    <t>European Championship 2019
WPF PRO Жим лежа в Однослойной экипировке
Москва 7 - 9 июня 2019 г.</t>
  </si>
  <si>
    <t>European Championship 2019
WPF PRO Жим лежа в Многослойной экипировке
Москва 7 - 9 июня 2019 г.</t>
  </si>
  <si>
    <t>European Championship 2019
WPF PRO Становая тяга Безэкипировочная
Москва 7 - 9 июня 2019 г.</t>
  </si>
  <si>
    <t>European Championship 2019
WPF PRO Становая тяга в Однослойной экипировке
Москва 7 - 9 июня 2019 г.</t>
  </si>
  <si>
    <t>European Championship 2019
WPF AM Пауэрлифтинг Безэкипировочный
Москва 7 - 9 июня 2019 г.</t>
  </si>
  <si>
    <t>European Championship 2019
WPF AM Пауэрлифтинг Классический
Москва 7 - 9 июня 2019 г.</t>
  </si>
  <si>
    <t>European Championship 2019
WPF AM Пауэрлифтинг в Однослойной экипировке
Москва 7 - 9 июня 2019 г.</t>
  </si>
  <si>
    <t>European Championship 2019
WPF AM Пауэрлифтинг в Многослойной экипировке
Москва 7 - 9 июня 2019 г.</t>
  </si>
  <si>
    <t>European Championship 2019
WPF AM Жим лежа Безэкипировочный
Москва 7 - 9 июня 2019 г.</t>
  </si>
  <si>
    <t>European Championship 2019
WPF AM Жим лежа в Однослойной экипировке
Москва 7 - 9 июня 2019 г.</t>
  </si>
  <si>
    <t>European Championship 2019
WPF AM Жим лежа в Многослойной экипировке
Москва 7 - 9 июня 2019 г.</t>
  </si>
  <si>
    <t>European Championship 2019
WPF AM Становая тяга Безэкипировочная
Москва 7 - 9 июня 2019 г.</t>
  </si>
  <si>
    <t>European Championship 2019
WPF AM Становая тяга в Однослойной экипировке
Москва 7 - 9 июня 2019 г.</t>
  </si>
  <si>
    <t>European Championship 2019
Народный жим (1/2 вес)
Москва 7 - 9 июня 2019 г.</t>
  </si>
  <si>
    <t>European Championship 2019 
Народный жим (1 вес)
Москва 7 - 9 июня 2019 г.</t>
  </si>
  <si>
    <t>European Championship 2019
Народный жим (1/2 вес) с ДК
Москва 7 - 9 июня 2019 г.</t>
  </si>
  <si>
    <t>European Championship 2019
Народный жим (1 вес) с ДК
Москва 7 - 9 июня 2019 г.</t>
  </si>
  <si>
    <t xml:space="preserve">Кольчугино/Владимирская область </t>
  </si>
  <si>
    <t xml:space="preserve">Борисоглебск/Воронежская область </t>
  </si>
  <si>
    <t>Московская область</t>
  </si>
  <si>
    <t>Орехово-Зуево/Московская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</si>
</sst>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1" fontId="0" fillId="0" borderId="13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49" fontId="1" fillId="0" borderId="13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F16" sqref="F1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3" bestFit="1" customWidth="1"/>
    <col min="4" max="4" width="8.42578125" style="4" bestFit="1" customWidth="1"/>
    <col min="5" max="5" width="22.7109375" style="4" bestFit="1" customWidth="1"/>
    <col min="6" max="6" width="32.42578125" style="4" bestFit="1" customWidth="1"/>
    <col min="7" max="10" width="5.5703125" style="3" bestFit="1" customWidth="1"/>
    <col min="11" max="11" width="11.28515625" style="43" bestFit="1" customWidth="1"/>
    <col min="12" max="12" width="9.42578125" style="3" customWidth="1"/>
    <col min="13" max="13" width="12" style="4" bestFit="1" customWidth="1"/>
    <col min="14" max="16384" width="9.140625" style="3"/>
  </cols>
  <sheetData>
    <row r="1" spans="1:13" s="2" customFormat="1" ht="29.1" customHeight="1" x14ac:dyDescent="0.2">
      <c r="A1" s="50" t="s">
        <v>2232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11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31.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59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2" t="s">
        <v>2161</v>
      </c>
      <c r="B6" s="8" t="s">
        <v>2162</v>
      </c>
      <c r="C6" s="9" t="s">
        <v>1827</v>
      </c>
      <c r="D6" s="8" t="str">
        <f>"0,6709"</f>
        <v>0,6709</v>
      </c>
      <c r="E6" s="8" t="s">
        <v>17</v>
      </c>
      <c r="F6" s="8" t="s">
        <v>2163</v>
      </c>
      <c r="G6" s="9" t="s">
        <v>528</v>
      </c>
      <c r="H6" s="9" t="s">
        <v>303</v>
      </c>
      <c r="I6" s="9" t="s">
        <v>318</v>
      </c>
      <c r="J6" s="10" t="s">
        <v>2164</v>
      </c>
      <c r="K6" s="40" t="str">
        <f>"245,0"</f>
        <v>245,0</v>
      </c>
      <c r="L6" s="35" t="str">
        <f>"164,3705"</f>
        <v>164,3705</v>
      </c>
      <c r="M6" s="8"/>
    </row>
    <row r="7" spans="1:13" x14ac:dyDescent="0.2">
      <c r="A7" s="33" t="s">
        <v>2166</v>
      </c>
      <c r="B7" s="11" t="s">
        <v>2167</v>
      </c>
      <c r="C7" s="12" t="s">
        <v>1216</v>
      </c>
      <c r="D7" s="11" t="str">
        <f>"0,6739"</f>
        <v>0,6739</v>
      </c>
      <c r="E7" s="11" t="s">
        <v>17</v>
      </c>
      <c r="F7" s="11" t="s">
        <v>40</v>
      </c>
      <c r="G7" s="12" t="s">
        <v>453</v>
      </c>
      <c r="H7" s="12" t="s">
        <v>74</v>
      </c>
      <c r="I7" s="12" t="s">
        <v>134</v>
      </c>
      <c r="J7" s="13"/>
      <c r="K7" s="41" t="str">
        <f>"230,0"</f>
        <v>230,0</v>
      </c>
      <c r="L7" s="36" t="str">
        <f>"154,9970"</f>
        <v>154,9970</v>
      </c>
      <c r="M7" s="11" t="s">
        <v>158</v>
      </c>
    </row>
    <row r="9" spans="1:13" ht="15" x14ac:dyDescent="0.2">
      <c r="A9" s="44" t="s">
        <v>96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3" x14ac:dyDescent="0.2">
      <c r="A10" s="34" t="s">
        <v>2169</v>
      </c>
      <c r="B10" s="5" t="s">
        <v>2170</v>
      </c>
      <c r="C10" s="6" t="s">
        <v>1770</v>
      </c>
      <c r="D10" s="5" t="str">
        <f>"0,6410"</f>
        <v>0,6410</v>
      </c>
      <c r="E10" s="5" t="s">
        <v>2206</v>
      </c>
      <c r="F10" s="5" t="s">
        <v>2171</v>
      </c>
      <c r="G10" s="6" t="s">
        <v>626</v>
      </c>
      <c r="H10" s="6" t="s">
        <v>303</v>
      </c>
      <c r="I10" s="7" t="s">
        <v>126</v>
      </c>
      <c r="J10" s="7"/>
      <c r="K10" s="42" t="str">
        <f>"242,5"</f>
        <v>242,5</v>
      </c>
      <c r="L10" s="37" t="str">
        <f>"155,4425"</f>
        <v>155,4425</v>
      </c>
      <c r="M10" s="5" t="s">
        <v>2172</v>
      </c>
    </row>
    <row r="12" spans="1:13" ht="15" x14ac:dyDescent="0.2">
      <c r="A12" s="44" t="s">
        <v>139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3" x14ac:dyDescent="0.2">
      <c r="A13" s="34" t="s">
        <v>2173</v>
      </c>
      <c r="B13" s="5" t="s">
        <v>840</v>
      </c>
      <c r="C13" s="6" t="s">
        <v>841</v>
      </c>
      <c r="D13" s="5" t="str">
        <f>"0,6147"</f>
        <v>0,6147</v>
      </c>
      <c r="E13" s="5" t="s">
        <v>143</v>
      </c>
      <c r="F13" s="5" t="s">
        <v>842</v>
      </c>
      <c r="G13" s="6" t="s">
        <v>318</v>
      </c>
      <c r="H13" s="6" t="s">
        <v>109</v>
      </c>
      <c r="I13" s="7" t="s">
        <v>128</v>
      </c>
      <c r="J13" s="7"/>
      <c r="K13" s="42" t="str">
        <f>"255,0"</f>
        <v>255,0</v>
      </c>
      <c r="L13" s="37" t="str">
        <f>"156,7485"</f>
        <v>156,7485</v>
      </c>
      <c r="M13" s="5"/>
    </row>
    <row r="15" spans="1:13" ht="15" x14ac:dyDescent="0.2">
      <c r="A15" s="44" t="s">
        <v>175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3" x14ac:dyDescent="0.2">
      <c r="A16" s="32" t="s">
        <v>2175</v>
      </c>
      <c r="B16" s="8" t="s">
        <v>2176</v>
      </c>
      <c r="C16" s="9" t="s">
        <v>333</v>
      </c>
      <c r="D16" s="8" t="str">
        <f>"0,5909"</f>
        <v>0,5909</v>
      </c>
      <c r="E16" s="8" t="s">
        <v>17</v>
      </c>
      <c r="F16" s="8" t="s">
        <v>2254</v>
      </c>
      <c r="G16" s="9" t="s">
        <v>181</v>
      </c>
      <c r="H16" s="9" t="s">
        <v>105</v>
      </c>
      <c r="I16" s="10" t="s">
        <v>2177</v>
      </c>
      <c r="J16" s="10"/>
      <c r="K16" s="40" t="str">
        <f>"270,0"</f>
        <v>270,0</v>
      </c>
      <c r="L16" s="35" t="str">
        <f>"159,5430"</f>
        <v>159,5430</v>
      </c>
      <c r="M16" s="8"/>
    </row>
    <row r="17" spans="1:13" x14ac:dyDescent="0.2">
      <c r="A17" s="33" t="s">
        <v>2179</v>
      </c>
      <c r="B17" s="11" t="s">
        <v>2180</v>
      </c>
      <c r="C17" s="12" t="s">
        <v>881</v>
      </c>
      <c r="D17" s="11" t="str">
        <f>"0,5897"</f>
        <v>0,5897</v>
      </c>
      <c r="E17" s="11" t="s">
        <v>17</v>
      </c>
      <c r="F17" s="11" t="s">
        <v>2181</v>
      </c>
      <c r="G17" s="12" t="s">
        <v>73</v>
      </c>
      <c r="H17" s="12" t="s">
        <v>116</v>
      </c>
      <c r="I17" s="13" t="s">
        <v>128</v>
      </c>
      <c r="J17" s="13"/>
      <c r="K17" s="41" t="str">
        <f>"240,0"</f>
        <v>240,0</v>
      </c>
      <c r="L17" s="36" t="str">
        <f>"141,5280"</f>
        <v>141,5280</v>
      </c>
      <c r="M17" s="11" t="s">
        <v>158</v>
      </c>
    </row>
    <row r="19" spans="1:13" ht="15" x14ac:dyDescent="0.2">
      <c r="A19" s="44" t="s">
        <v>196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3" x14ac:dyDescent="0.2">
      <c r="A20" s="34" t="s">
        <v>2183</v>
      </c>
      <c r="B20" s="5" t="s">
        <v>2184</v>
      </c>
      <c r="C20" s="6" t="s">
        <v>2185</v>
      </c>
      <c r="D20" s="5" t="str">
        <f>"0,5746"</f>
        <v>0,5746</v>
      </c>
      <c r="E20" s="5" t="s">
        <v>17</v>
      </c>
      <c r="F20" s="5" t="s">
        <v>1179</v>
      </c>
      <c r="G20" s="6" t="s">
        <v>105</v>
      </c>
      <c r="H20" s="6" t="s">
        <v>661</v>
      </c>
      <c r="I20" s="6" t="s">
        <v>1649</v>
      </c>
      <c r="J20" s="7"/>
      <c r="K20" s="42" t="str">
        <f>"282,5"</f>
        <v>282,5</v>
      </c>
      <c r="L20" s="37" t="str">
        <f>"162,3245"</f>
        <v>162,3245</v>
      </c>
      <c r="M20" s="5" t="s">
        <v>158</v>
      </c>
    </row>
    <row r="22" spans="1:13" ht="15" x14ac:dyDescent="0.2">
      <c r="A22" s="44" t="s">
        <v>920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3" x14ac:dyDescent="0.2">
      <c r="A23" s="34" t="s">
        <v>2187</v>
      </c>
      <c r="B23" s="5" t="s">
        <v>2188</v>
      </c>
      <c r="C23" s="6" t="s">
        <v>2189</v>
      </c>
      <c r="D23" s="5" t="str">
        <f>"0,5624"</f>
        <v>0,5624</v>
      </c>
      <c r="E23" s="5" t="s">
        <v>17</v>
      </c>
      <c r="F23" s="5" t="s">
        <v>2163</v>
      </c>
      <c r="G23" s="6" t="s">
        <v>126</v>
      </c>
      <c r="H23" s="6" t="s">
        <v>118</v>
      </c>
      <c r="I23" s="7" t="s">
        <v>105</v>
      </c>
      <c r="J23" s="7"/>
      <c r="K23" s="42" t="str">
        <f>"260,0"</f>
        <v>260,0</v>
      </c>
      <c r="L23" s="37" t="str">
        <f>"146,2240"</f>
        <v>146,2240</v>
      </c>
      <c r="M23" s="5" t="s">
        <v>2190</v>
      </c>
    </row>
    <row r="25" spans="1:13" ht="15" x14ac:dyDescent="0.2">
      <c r="E25" s="17" t="s">
        <v>206</v>
      </c>
    </row>
    <row r="26" spans="1:13" ht="15" x14ac:dyDescent="0.2">
      <c r="E26" s="17" t="s">
        <v>207</v>
      </c>
    </row>
    <row r="27" spans="1:13" ht="15" x14ac:dyDescent="0.2">
      <c r="E27" s="17" t="s">
        <v>208</v>
      </c>
    </row>
    <row r="28" spans="1:13" ht="15" x14ac:dyDescent="0.2">
      <c r="E28" s="17" t="s">
        <v>209</v>
      </c>
    </row>
    <row r="29" spans="1:13" ht="15" x14ac:dyDescent="0.2">
      <c r="E29" s="17" t="s">
        <v>209</v>
      </c>
    </row>
    <row r="30" spans="1:13" ht="15" x14ac:dyDescent="0.2">
      <c r="E30" s="17" t="s">
        <v>210</v>
      </c>
    </row>
    <row r="31" spans="1:13" ht="15" x14ac:dyDescent="0.2">
      <c r="E31" s="17"/>
    </row>
    <row r="33" spans="1:5" ht="18" x14ac:dyDescent="0.25">
      <c r="A33" s="18" t="s">
        <v>211</v>
      </c>
      <c r="B33" s="18"/>
    </row>
    <row r="34" spans="1:5" ht="15" x14ac:dyDescent="0.2">
      <c r="A34" s="19" t="s">
        <v>226</v>
      </c>
      <c r="B34" s="19"/>
    </row>
    <row r="35" spans="1:5" ht="14.25" x14ac:dyDescent="0.2">
      <c r="A35" s="21"/>
      <c r="B35" s="22" t="s">
        <v>220</v>
      </c>
    </row>
    <row r="36" spans="1:5" ht="15" x14ac:dyDescent="0.2">
      <c r="A36" s="23" t="s">
        <v>213</v>
      </c>
      <c r="B36" s="23" t="s">
        <v>214</v>
      </c>
      <c r="C36" s="23" t="s">
        <v>215</v>
      </c>
      <c r="D36" s="23" t="s">
        <v>216</v>
      </c>
      <c r="E36" s="23" t="s">
        <v>217</v>
      </c>
    </row>
    <row r="37" spans="1:5" x14ac:dyDescent="0.2">
      <c r="A37" s="20" t="s">
        <v>2160</v>
      </c>
      <c r="B37" s="4" t="s">
        <v>220</v>
      </c>
      <c r="C37" s="3" t="s">
        <v>219</v>
      </c>
      <c r="D37" s="4" t="s">
        <v>318</v>
      </c>
      <c r="E37" s="24" t="s">
        <v>2191</v>
      </c>
    </row>
    <row r="38" spans="1:5" x14ac:dyDescent="0.2">
      <c r="A38" s="20" t="s">
        <v>2182</v>
      </c>
      <c r="B38" s="4" t="s">
        <v>220</v>
      </c>
      <c r="C38" s="3" t="s">
        <v>244</v>
      </c>
      <c r="D38" s="4" t="s">
        <v>1649</v>
      </c>
      <c r="E38" s="24" t="s">
        <v>2192</v>
      </c>
    </row>
    <row r="39" spans="1:5" x14ac:dyDescent="0.2">
      <c r="A39" s="20" t="s">
        <v>2174</v>
      </c>
      <c r="B39" s="4" t="s">
        <v>220</v>
      </c>
      <c r="C39" s="3" t="s">
        <v>235</v>
      </c>
      <c r="D39" s="4" t="s">
        <v>105</v>
      </c>
      <c r="E39" s="24" t="s">
        <v>2193</v>
      </c>
    </row>
    <row r="40" spans="1:5" x14ac:dyDescent="0.2">
      <c r="A40" s="20" t="s">
        <v>838</v>
      </c>
      <c r="B40" s="4" t="s">
        <v>220</v>
      </c>
      <c r="C40" s="3" t="s">
        <v>231</v>
      </c>
      <c r="D40" s="4" t="s">
        <v>109</v>
      </c>
      <c r="E40" s="24" t="s">
        <v>2194</v>
      </c>
    </row>
    <row r="41" spans="1:5" x14ac:dyDescent="0.2">
      <c r="A41" s="20" t="s">
        <v>2168</v>
      </c>
      <c r="B41" s="4" t="s">
        <v>220</v>
      </c>
      <c r="C41" s="3" t="s">
        <v>229</v>
      </c>
      <c r="D41" s="4" t="s">
        <v>303</v>
      </c>
      <c r="E41" s="24" t="s">
        <v>2195</v>
      </c>
    </row>
    <row r="42" spans="1:5" x14ac:dyDescent="0.2">
      <c r="A42" s="20" t="s">
        <v>2165</v>
      </c>
      <c r="B42" s="4" t="s">
        <v>220</v>
      </c>
      <c r="C42" s="3" t="s">
        <v>219</v>
      </c>
      <c r="D42" s="4" t="s">
        <v>134</v>
      </c>
      <c r="E42" s="24" t="s">
        <v>2196</v>
      </c>
    </row>
    <row r="43" spans="1:5" x14ac:dyDescent="0.2">
      <c r="A43" s="20" t="s">
        <v>2186</v>
      </c>
      <c r="B43" s="4" t="s">
        <v>220</v>
      </c>
      <c r="C43" s="3" t="s">
        <v>944</v>
      </c>
      <c r="D43" s="4" t="s">
        <v>118</v>
      </c>
      <c r="E43" s="24" t="s">
        <v>2197</v>
      </c>
    </row>
    <row r="44" spans="1:5" x14ac:dyDescent="0.2">
      <c r="A44" s="20" t="s">
        <v>2178</v>
      </c>
      <c r="B44" s="4" t="s">
        <v>220</v>
      </c>
      <c r="C44" s="3" t="s">
        <v>235</v>
      </c>
      <c r="D44" s="4" t="s">
        <v>116</v>
      </c>
      <c r="E44" s="24" t="s">
        <v>2198</v>
      </c>
    </row>
  </sheetData>
  <mergeCells count="17">
    <mergeCell ref="M3:M4"/>
    <mergeCell ref="A5:L5"/>
    <mergeCell ref="A9:L9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A19:L19"/>
    <mergeCell ref="A22:L22"/>
    <mergeCell ref="K3:K4"/>
    <mergeCell ref="L3:L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topLeftCell="A43"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6.42578125" style="4" bestFit="1" customWidth="1"/>
    <col min="22" max="16384" width="9.140625" style="3"/>
  </cols>
  <sheetData>
    <row r="1" spans="1:21" s="2" customFormat="1" ht="29.1" customHeight="1" x14ac:dyDescent="0.2">
      <c r="A1" s="50" t="s">
        <v>2241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7" t="s">
        <v>2</v>
      </c>
    </row>
    <row r="4" spans="1:21" s="1" customFormat="1" ht="33.7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30">
        <v>1</v>
      </c>
      <c r="L4" s="30">
        <v>2</v>
      </c>
      <c r="M4" s="30">
        <v>3</v>
      </c>
      <c r="N4" s="30" t="s">
        <v>5</v>
      </c>
      <c r="O4" s="30">
        <v>1</v>
      </c>
      <c r="P4" s="30">
        <v>2</v>
      </c>
      <c r="Q4" s="30">
        <v>3</v>
      </c>
      <c r="R4" s="30" t="s">
        <v>5</v>
      </c>
      <c r="S4" s="46"/>
      <c r="T4" s="46"/>
      <c r="U4" s="48"/>
    </row>
    <row r="5" spans="1:21" ht="15" x14ac:dyDescent="0.2">
      <c r="A5" s="49" t="s">
        <v>544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 x14ac:dyDescent="0.2">
      <c r="A6" s="34" t="s">
        <v>545</v>
      </c>
      <c r="B6" s="5" t="s">
        <v>546</v>
      </c>
      <c r="C6" s="5" t="s">
        <v>547</v>
      </c>
      <c r="D6" s="5" t="str">
        <f>"1,4402"</f>
        <v>1,4402</v>
      </c>
      <c r="E6" s="5" t="s">
        <v>17</v>
      </c>
      <c r="F6" s="5" t="s">
        <v>40</v>
      </c>
      <c r="G6" s="6" t="s">
        <v>271</v>
      </c>
      <c r="H6" s="7" t="s">
        <v>30</v>
      </c>
      <c r="I6" s="7" t="s">
        <v>30</v>
      </c>
      <c r="J6" s="7"/>
      <c r="K6" s="6" t="s">
        <v>548</v>
      </c>
      <c r="L6" s="6" t="s">
        <v>549</v>
      </c>
      <c r="M6" s="7" t="s">
        <v>398</v>
      </c>
      <c r="N6" s="7"/>
      <c r="O6" s="6" t="s">
        <v>31</v>
      </c>
      <c r="P6" s="6" t="s">
        <v>32</v>
      </c>
      <c r="Q6" s="7" t="s">
        <v>81</v>
      </c>
      <c r="R6" s="7"/>
      <c r="S6" s="34" t="str">
        <f>"185,0"</f>
        <v>185,0</v>
      </c>
      <c r="T6" s="37" t="str">
        <f>"266,4370"</f>
        <v>266,4370</v>
      </c>
      <c r="U6" s="5" t="s">
        <v>319</v>
      </c>
    </row>
    <row r="8" spans="1:21" ht="15" x14ac:dyDescent="0.2">
      <c r="A8" s="44" t="s">
        <v>425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x14ac:dyDescent="0.2">
      <c r="A9" s="34" t="s">
        <v>551</v>
      </c>
      <c r="B9" s="5" t="s">
        <v>552</v>
      </c>
      <c r="C9" s="5" t="s">
        <v>553</v>
      </c>
      <c r="D9" s="5" t="str">
        <f>"1,1866"</f>
        <v>1,1866</v>
      </c>
      <c r="E9" s="5" t="s">
        <v>17</v>
      </c>
      <c r="F9" s="5" t="s">
        <v>40</v>
      </c>
      <c r="G9" s="6" t="s">
        <v>30</v>
      </c>
      <c r="H9" s="6" t="s">
        <v>31</v>
      </c>
      <c r="I9" s="6" t="s">
        <v>269</v>
      </c>
      <c r="J9" s="7"/>
      <c r="K9" s="6" t="s">
        <v>417</v>
      </c>
      <c r="L9" s="7" t="s">
        <v>432</v>
      </c>
      <c r="M9" s="7" t="s">
        <v>432</v>
      </c>
      <c r="N9" s="7"/>
      <c r="O9" s="6" t="s">
        <v>31</v>
      </c>
      <c r="P9" s="6" t="s">
        <v>32</v>
      </c>
      <c r="Q9" s="6" t="s">
        <v>81</v>
      </c>
      <c r="R9" s="7"/>
      <c r="S9" s="34" t="str">
        <f>"235,0"</f>
        <v>235,0</v>
      </c>
      <c r="T9" s="37" t="str">
        <f>"278,8510"</f>
        <v>278,8510</v>
      </c>
      <c r="U9" s="5" t="s">
        <v>554</v>
      </c>
    </row>
    <row r="11" spans="1:21" ht="15" x14ac:dyDescent="0.2">
      <c r="A11" s="44" t="s">
        <v>13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1" x14ac:dyDescent="0.2">
      <c r="A12" s="32" t="s">
        <v>556</v>
      </c>
      <c r="B12" s="8" t="s">
        <v>263</v>
      </c>
      <c r="C12" s="8" t="s">
        <v>557</v>
      </c>
      <c r="D12" s="8" t="str">
        <f>"1,1494"</f>
        <v>1,1494</v>
      </c>
      <c r="E12" s="8" t="s">
        <v>17</v>
      </c>
      <c r="F12" s="8" t="s">
        <v>40</v>
      </c>
      <c r="G12" s="9" t="s">
        <v>81</v>
      </c>
      <c r="H12" s="9" t="s">
        <v>28</v>
      </c>
      <c r="I12" s="9" t="s">
        <v>66</v>
      </c>
      <c r="J12" s="9" t="s">
        <v>558</v>
      </c>
      <c r="K12" s="9" t="s">
        <v>407</v>
      </c>
      <c r="L12" s="10" t="s">
        <v>397</v>
      </c>
      <c r="M12" s="9" t="s">
        <v>397</v>
      </c>
      <c r="N12" s="10"/>
      <c r="O12" s="9" t="s">
        <v>66</v>
      </c>
      <c r="P12" s="9" t="s">
        <v>408</v>
      </c>
      <c r="Q12" s="9" t="s">
        <v>409</v>
      </c>
      <c r="R12" s="10"/>
      <c r="S12" s="32" t="str">
        <f>"315,0"</f>
        <v>315,0</v>
      </c>
      <c r="T12" s="35" t="str">
        <f>"362,0610"</f>
        <v>362,0610</v>
      </c>
      <c r="U12" s="8" t="s">
        <v>559</v>
      </c>
    </row>
    <row r="13" spans="1:21" x14ac:dyDescent="0.2">
      <c r="A13" s="38" t="s">
        <v>561</v>
      </c>
      <c r="B13" s="14" t="s">
        <v>562</v>
      </c>
      <c r="C13" s="14" t="s">
        <v>563</v>
      </c>
      <c r="D13" s="14" t="str">
        <f>"1,1149"</f>
        <v>1,1149</v>
      </c>
      <c r="E13" s="14" t="s">
        <v>17</v>
      </c>
      <c r="F13" s="14" t="s">
        <v>40</v>
      </c>
      <c r="G13" s="15" t="s">
        <v>415</v>
      </c>
      <c r="H13" s="15" t="s">
        <v>416</v>
      </c>
      <c r="I13" s="16" t="s">
        <v>43</v>
      </c>
      <c r="J13" s="16"/>
      <c r="K13" s="15" t="s">
        <v>431</v>
      </c>
      <c r="L13" s="16" t="s">
        <v>564</v>
      </c>
      <c r="M13" s="16" t="s">
        <v>564</v>
      </c>
      <c r="N13" s="16"/>
      <c r="O13" s="15" t="s">
        <v>29</v>
      </c>
      <c r="P13" s="15" t="s">
        <v>33</v>
      </c>
      <c r="Q13" s="15" t="s">
        <v>20</v>
      </c>
      <c r="R13" s="16"/>
      <c r="S13" s="38" t="str">
        <f>"285,0"</f>
        <v>285,0</v>
      </c>
      <c r="T13" s="39" t="str">
        <f>"317,7465"</f>
        <v>317,7465</v>
      </c>
      <c r="U13" s="14" t="s">
        <v>565</v>
      </c>
    </row>
    <row r="14" spans="1:21" x14ac:dyDescent="0.2">
      <c r="A14" s="38" t="s">
        <v>567</v>
      </c>
      <c r="B14" s="14" t="s">
        <v>568</v>
      </c>
      <c r="C14" s="14" t="s">
        <v>569</v>
      </c>
      <c r="D14" s="14" t="str">
        <f>"1,1192"</f>
        <v>1,1192</v>
      </c>
      <c r="E14" s="14" t="s">
        <v>2217</v>
      </c>
      <c r="F14" s="14" t="s">
        <v>2218</v>
      </c>
      <c r="G14" s="15" t="s">
        <v>31</v>
      </c>
      <c r="H14" s="15" t="s">
        <v>32</v>
      </c>
      <c r="I14" s="16" t="s">
        <v>81</v>
      </c>
      <c r="J14" s="16"/>
      <c r="K14" s="15" t="s">
        <v>417</v>
      </c>
      <c r="L14" s="15" t="s">
        <v>564</v>
      </c>
      <c r="M14" s="16" t="s">
        <v>272</v>
      </c>
      <c r="N14" s="16"/>
      <c r="O14" s="15" t="s">
        <v>558</v>
      </c>
      <c r="P14" s="15" t="s">
        <v>29</v>
      </c>
      <c r="Q14" s="15" t="s">
        <v>33</v>
      </c>
      <c r="R14" s="16"/>
      <c r="S14" s="38" t="str">
        <f>"277,5"</f>
        <v>277,5</v>
      </c>
      <c r="T14" s="39" t="str">
        <f>"310,5780"</f>
        <v>310,5780</v>
      </c>
      <c r="U14" s="14"/>
    </row>
    <row r="15" spans="1:21" x14ac:dyDescent="0.2">
      <c r="A15" s="33" t="s">
        <v>571</v>
      </c>
      <c r="B15" s="11" t="s">
        <v>572</v>
      </c>
      <c r="C15" s="11" t="s">
        <v>573</v>
      </c>
      <c r="D15" s="11" t="str">
        <f>"1,1371"</f>
        <v>1,1371</v>
      </c>
      <c r="E15" s="11" t="s">
        <v>17</v>
      </c>
      <c r="F15" s="11" t="s">
        <v>40</v>
      </c>
      <c r="G15" s="12" t="s">
        <v>100</v>
      </c>
      <c r="H15" s="12" t="s">
        <v>397</v>
      </c>
      <c r="I15" s="12" t="s">
        <v>31</v>
      </c>
      <c r="J15" s="13"/>
      <c r="K15" s="12" t="s">
        <v>549</v>
      </c>
      <c r="L15" s="12" t="s">
        <v>574</v>
      </c>
      <c r="M15" s="13" t="s">
        <v>399</v>
      </c>
      <c r="N15" s="13"/>
      <c r="O15" s="13" t="s">
        <v>28</v>
      </c>
      <c r="P15" s="12" t="s">
        <v>66</v>
      </c>
      <c r="Q15" s="12" t="s">
        <v>408</v>
      </c>
      <c r="R15" s="13"/>
      <c r="S15" s="33" t="str">
        <f>"245,0"</f>
        <v>245,0</v>
      </c>
      <c r="T15" s="36" t="str">
        <f>"278,5895"</f>
        <v>278,5895</v>
      </c>
      <c r="U15" s="11" t="s">
        <v>575</v>
      </c>
    </row>
    <row r="17" spans="1:21" ht="15" x14ac:dyDescent="0.2">
      <c r="A17" s="44" t="s">
        <v>23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1" x14ac:dyDescent="0.2">
      <c r="A18" s="32" t="s">
        <v>577</v>
      </c>
      <c r="B18" s="8" t="s">
        <v>578</v>
      </c>
      <c r="C18" s="8" t="s">
        <v>579</v>
      </c>
      <c r="D18" s="8" t="str">
        <f>"1,0385"</f>
        <v>1,0385</v>
      </c>
      <c r="E18" s="8" t="s">
        <v>580</v>
      </c>
      <c r="F18" s="8" t="s">
        <v>2219</v>
      </c>
      <c r="G18" s="9" t="s">
        <v>31</v>
      </c>
      <c r="H18" s="9" t="s">
        <v>32</v>
      </c>
      <c r="I18" s="10" t="s">
        <v>81</v>
      </c>
      <c r="J18" s="10"/>
      <c r="K18" s="10" t="s">
        <v>417</v>
      </c>
      <c r="L18" s="9" t="s">
        <v>432</v>
      </c>
      <c r="M18" s="9" t="s">
        <v>271</v>
      </c>
      <c r="N18" s="10"/>
      <c r="O18" s="9" t="s">
        <v>28</v>
      </c>
      <c r="P18" s="9" t="s">
        <v>19</v>
      </c>
      <c r="Q18" s="9" t="s">
        <v>33</v>
      </c>
      <c r="R18" s="10"/>
      <c r="S18" s="32" t="str">
        <f>"280,0"</f>
        <v>280,0</v>
      </c>
      <c r="T18" s="35" t="str">
        <f>"290,7800"</f>
        <v>290,7800</v>
      </c>
      <c r="U18" s="8"/>
    </row>
    <row r="19" spans="1:21" x14ac:dyDescent="0.2">
      <c r="A19" s="38" t="s">
        <v>582</v>
      </c>
      <c r="B19" s="14" t="s">
        <v>583</v>
      </c>
      <c r="C19" s="14" t="s">
        <v>584</v>
      </c>
      <c r="D19" s="14" t="str">
        <f>"1,0408"</f>
        <v>1,0408</v>
      </c>
      <c r="E19" s="14" t="s">
        <v>17</v>
      </c>
      <c r="F19" s="14" t="s">
        <v>585</v>
      </c>
      <c r="G19" s="15" t="s">
        <v>269</v>
      </c>
      <c r="H19" s="16" t="s">
        <v>32</v>
      </c>
      <c r="I19" s="16" t="s">
        <v>32</v>
      </c>
      <c r="J19" s="16"/>
      <c r="K19" s="16" t="s">
        <v>417</v>
      </c>
      <c r="L19" s="15" t="s">
        <v>417</v>
      </c>
      <c r="M19" s="15" t="s">
        <v>431</v>
      </c>
      <c r="N19" s="16"/>
      <c r="O19" s="15" t="s">
        <v>32</v>
      </c>
      <c r="P19" s="16" t="s">
        <v>415</v>
      </c>
      <c r="Q19" s="16" t="s">
        <v>415</v>
      </c>
      <c r="R19" s="16"/>
      <c r="S19" s="38" t="str">
        <f>"227,5"</f>
        <v>227,5</v>
      </c>
      <c r="T19" s="39" t="str">
        <f>"236,7820"</f>
        <v>236,7820</v>
      </c>
      <c r="U19" s="14" t="s">
        <v>586</v>
      </c>
    </row>
    <row r="20" spans="1:21" x14ac:dyDescent="0.2">
      <c r="A20" s="38" t="s">
        <v>587</v>
      </c>
      <c r="B20" s="14" t="s">
        <v>588</v>
      </c>
      <c r="C20" s="14" t="s">
        <v>589</v>
      </c>
      <c r="D20" s="14" t="str">
        <f>"1,0239"</f>
        <v>1,0239</v>
      </c>
      <c r="E20" s="14" t="s">
        <v>17</v>
      </c>
      <c r="F20" s="14" t="s">
        <v>590</v>
      </c>
      <c r="G20" s="15" t="s">
        <v>401</v>
      </c>
      <c r="H20" s="15" t="s">
        <v>28</v>
      </c>
      <c r="I20" s="16" t="s">
        <v>66</v>
      </c>
      <c r="J20" s="16"/>
      <c r="K20" s="16" t="s">
        <v>271</v>
      </c>
      <c r="L20" s="16" t="s">
        <v>272</v>
      </c>
      <c r="M20" s="16" t="s">
        <v>272</v>
      </c>
      <c r="N20" s="16"/>
      <c r="O20" s="16" t="s">
        <v>66</v>
      </c>
      <c r="P20" s="16"/>
      <c r="Q20" s="16"/>
      <c r="R20" s="16"/>
      <c r="S20" s="38" t="str">
        <f>"0.00"</f>
        <v>0.00</v>
      </c>
      <c r="T20" s="39" t="str">
        <f>"0,0000"</f>
        <v>0,0000</v>
      </c>
      <c r="U20" s="14" t="s">
        <v>591</v>
      </c>
    </row>
    <row r="21" spans="1:21" x14ac:dyDescent="0.2">
      <c r="A21" s="38" t="s">
        <v>592</v>
      </c>
      <c r="B21" s="14" t="s">
        <v>593</v>
      </c>
      <c r="C21" s="14" t="s">
        <v>589</v>
      </c>
      <c r="D21" s="14" t="str">
        <f>"1,0239"</f>
        <v>1,0239</v>
      </c>
      <c r="E21" s="14" t="s">
        <v>17</v>
      </c>
      <c r="F21" s="14" t="s">
        <v>40</v>
      </c>
      <c r="G21" s="16" t="s">
        <v>401</v>
      </c>
      <c r="H21" s="16" t="s">
        <v>401</v>
      </c>
      <c r="I21" s="16" t="s">
        <v>401</v>
      </c>
      <c r="J21" s="16"/>
      <c r="K21" s="16" t="s">
        <v>271</v>
      </c>
      <c r="L21" s="16"/>
      <c r="M21" s="16"/>
      <c r="N21" s="16"/>
      <c r="O21" s="16" t="s">
        <v>28</v>
      </c>
      <c r="P21" s="16"/>
      <c r="Q21" s="16"/>
      <c r="R21" s="16"/>
      <c r="S21" s="38" t="str">
        <f>"0.00"</f>
        <v>0.00</v>
      </c>
      <c r="T21" s="39" t="str">
        <f>"0,0000"</f>
        <v>0,0000</v>
      </c>
      <c r="U21" s="14" t="s">
        <v>594</v>
      </c>
    </row>
    <row r="22" spans="1:21" x14ac:dyDescent="0.2">
      <c r="A22" s="38" t="s">
        <v>592</v>
      </c>
      <c r="B22" s="14" t="s">
        <v>595</v>
      </c>
      <c r="C22" s="14" t="s">
        <v>589</v>
      </c>
      <c r="D22" s="14" t="str">
        <f>"1,0239"</f>
        <v>1,0239</v>
      </c>
      <c r="E22" s="14" t="s">
        <v>17</v>
      </c>
      <c r="F22" s="14" t="s">
        <v>40</v>
      </c>
      <c r="G22" s="16" t="s">
        <v>401</v>
      </c>
      <c r="H22" s="16" t="s">
        <v>401</v>
      </c>
      <c r="I22" s="16" t="s">
        <v>401</v>
      </c>
      <c r="J22" s="16"/>
      <c r="K22" s="16" t="s">
        <v>271</v>
      </c>
      <c r="L22" s="16"/>
      <c r="M22" s="16"/>
      <c r="N22" s="16"/>
      <c r="O22" s="16" t="s">
        <v>28</v>
      </c>
      <c r="P22" s="16"/>
      <c r="Q22" s="16"/>
      <c r="R22" s="16"/>
      <c r="S22" s="38" t="str">
        <f>"0.00"</f>
        <v>0.00</v>
      </c>
      <c r="T22" s="39" t="str">
        <f>"0,0000"</f>
        <v>0,0000</v>
      </c>
      <c r="U22" s="14" t="s">
        <v>594</v>
      </c>
    </row>
    <row r="23" spans="1:21" x14ac:dyDescent="0.2">
      <c r="A23" s="33" t="s">
        <v>596</v>
      </c>
      <c r="B23" s="11" t="s">
        <v>597</v>
      </c>
      <c r="C23" s="11" t="s">
        <v>598</v>
      </c>
      <c r="D23" s="11" t="str">
        <f>"1,0397"</f>
        <v>1,0397</v>
      </c>
      <c r="E23" s="11" t="s">
        <v>17</v>
      </c>
      <c r="F23" s="11" t="s">
        <v>40</v>
      </c>
      <c r="G23" s="12" t="s">
        <v>271</v>
      </c>
      <c r="H23" s="12" t="s">
        <v>100</v>
      </c>
      <c r="I23" s="12" t="s">
        <v>30</v>
      </c>
      <c r="J23" s="13"/>
      <c r="K23" s="12" t="s">
        <v>574</v>
      </c>
      <c r="L23" s="13" t="s">
        <v>400</v>
      </c>
      <c r="M23" s="12" t="s">
        <v>400</v>
      </c>
      <c r="N23" s="13"/>
      <c r="O23" s="12" t="s">
        <v>33</v>
      </c>
      <c r="P23" s="13" t="s">
        <v>20</v>
      </c>
      <c r="Q23" s="13" t="s">
        <v>20</v>
      </c>
      <c r="R23" s="13"/>
      <c r="S23" s="33" t="str">
        <f>"247,5"</f>
        <v>247,5</v>
      </c>
      <c r="T23" s="36" t="str">
        <f>"332,2076"</f>
        <v>332,2076</v>
      </c>
      <c r="U23" s="11" t="s">
        <v>565</v>
      </c>
    </row>
    <row r="25" spans="1:21" ht="15" x14ac:dyDescent="0.2">
      <c r="A25" s="44" t="s">
        <v>36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1" x14ac:dyDescent="0.2">
      <c r="A26" s="34" t="s">
        <v>600</v>
      </c>
      <c r="B26" s="5" t="s">
        <v>601</v>
      </c>
      <c r="C26" s="5" t="s">
        <v>602</v>
      </c>
      <c r="D26" s="5" t="str">
        <f>"1,0079"</f>
        <v>1,0079</v>
      </c>
      <c r="E26" s="5" t="s">
        <v>17</v>
      </c>
      <c r="F26" s="5" t="s">
        <v>40</v>
      </c>
      <c r="G26" s="6" t="s">
        <v>31</v>
      </c>
      <c r="H26" s="7" t="s">
        <v>32</v>
      </c>
      <c r="I26" s="6" t="s">
        <v>32</v>
      </c>
      <c r="J26" s="7"/>
      <c r="K26" s="6" t="s">
        <v>564</v>
      </c>
      <c r="L26" s="7" t="s">
        <v>272</v>
      </c>
      <c r="M26" s="6" t="s">
        <v>272</v>
      </c>
      <c r="N26" s="7"/>
      <c r="O26" s="6" t="s">
        <v>81</v>
      </c>
      <c r="P26" s="6" t="s">
        <v>28</v>
      </c>
      <c r="Q26" s="7" t="s">
        <v>19</v>
      </c>
      <c r="R26" s="7"/>
      <c r="S26" s="34" t="str">
        <f>"262,5"</f>
        <v>262,5</v>
      </c>
      <c r="T26" s="37" t="str">
        <f>"264,5737"</f>
        <v>264,5737</v>
      </c>
      <c r="U26" s="5" t="s">
        <v>603</v>
      </c>
    </row>
    <row r="28" spans="1:21" ht="15" x14ac:dyDescent="0.2">
      <c r="A28" s="44" t="s">
        <v>59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29" spans="1:21" x14ac:dyDescent="0.2">
      <c r="A29" s="34" t="s">
        <v>604</v>
      </c>
      <c r="B29" s="5" t="s">
        <v>605</v>
      </c>
      <c r="C29" s="5" t="s">
        <v>606</v>
      </c>
      <c r="D29" s="5" t="str">
        <f>"0,9163"</f>
        <v>0,9163</v>
      </c>
      <c r="E29" s="5" t="s">
        <v>607</v>
      </c>
      <c r="F29" s="5" t="s">
        <v>2218</v>
      </c>
      <c r="G29" s="6" t="s">
        <v>29</v>
      </c>
      <c r="H29" s="6" t="s">
        <v>20</v>
      </c>
      <c r="I29" s="6" t="s">
        <v>34</v>
      </c>
      <c r="J29" s="7"/>
      <c r="K29" s="6" t="s">
        <v>271</v>
      </c>
      <c r="L29" s="6" t="s">
        <v>100</v>
      </c>
      <c r="M29" s="6" t="s">
        <v>30</v>
      </c>
      <c r="N29" s="7"/>
      <c r="O29" s="6" t="s">
        <v>29</v>
      </c>
      <c r="P29" s="6" t="s">
        <v>20</v>
      </c>
      <c r="Q29" s="6" t="s">
        <v>34</v>
      </c>
      <c r="R29" s="7"/>
      <c r="S29" s="34" t="str">
        <f>"350,0"</f>
        <v>350,0</v>
      </c>
      <c r="T29" s="37" t="str">
        <f>"320,7050"</f>
        <v>320,7050</v>
      </c>
      <c r="U29" s="5"/>
    </row>
    <row r="31" spans="1:21" ht="15" x14ac:dyDescent="0.2">
      <c r="A31" s="44" t="s">
        <v>608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1:21" x14ac:dyDescent="0.2">
      <c r="A32" s="34" t="s">
        <v>610</v>
      </c>
      <c r="B32" s="5" t="s">
        <v>611</v>
      </c>
      <c r="C32" s="5" t="s">
        <v>612</v>
      </c>
      <c r="D32" s="5" t="str">
        <f>"0,8288"</f>
        <v>0,8288</v>
      </c>
      <c r="E32" s="5" t="s">
        <v>607</v>
      </c>
      <c r="F32" s="5" t="s">
        <v>2218</v>
      </c>
      <c r="G32" s="6" t="s">
        <v>66</v>
      </c>
      <c r="H32" s="6" t="s">
        <v>29</v>
      </c>
      <c r="I32" s="7" t="s">
        <v>20</v>
      </c>
      <c r="J32" s="7"/>
      <c r="K32" s="6" t="s">
        <v>271</v>
      </c>
      <c r="L32" s="6" t="s">
        <v>100</v>
      </c>
      <c r="M32" s="7" t="s">
        <v>407</v>
      </c>
      <c r="N32" s="7"/>
      <c r="O32" s="6" t="s">
        <v>401</v>
      </c>
      <c r="P32" s="6" t="s">
        <v>29</v>
      </c>
      <c r="Q32" s="6" t="s">
        <v>20</v>
      </c>
      <c r="R32" s="7"/>
      <c r="S32" s="34" t="str">
        <f>"325,0"</f>
        <v>325,0</v>
      </c>
      <c r="T32" s="37" t="str">
        <f>"269,3600"</f>
        <v>269,3600</v>
      </c>
      <c r="U32" s="5"/>
    </row>
    <row r="34" spans="1:21" ht="15" x14ac:dyDescent="0.2">
      <c r="A34" s="44" t="s">
        <v>23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1" x14ac:dyDescent="0.2">
      <c r="A35" s="34" t="s">
        <v>614</v>
      </c>
      <c r="B35" s="5" t="s">
        <v>615</v>
      </c>
      <c r="C35" s="5" t="s">
        <v>616</v>
      </c>
      <c r="D35" s="5" t="str">
        <f>"0,7766"</f>
        <v>0,7766</v>
      </c>
      <c r="E35" s="5" t="s">
        <v>17</v>
      </c>
      <c r="F35" s="5" t="s">
        <v>40</v>
      </c>
      <c r="G35" s="6" t="s">
        <v>54</v>
      </c>
      <c r="H35" s="7" t="s">
        <v>80</v>
      </c>
      <c r="I35" s="7"/>
      <c r="J35" s="7"/>
      <c r="K35" s="6" t="s">
        <v>28</v>
      </c>
      <c r="L35" s="6" t="s">
        <v>66</v>
      </c>
      <c r="M35" s="7" t="s">
        <v>558</v>
      </c>
      <c r="N35" s="7"/>
      <c r="O35" s="6" t="s">
        <v>64</v>
      </c>
      <c r="P35" s="6" t="s">
        <v>65</v>
      </c>
      <c r="Q35" s="7" t="s">
        <v>48</v>
      </c>
      <c r="R35" s="7"/>
      <c r="S35" s="34" t="str">
        <f>"475,0"</f>
        <v>475,0</v>
      </c>
      <c r="T35" s="37" t="str">
        <f>"368,8850"</f>
        <v>368,8850</v>
      </c>
      <c r="U35" s="5"/>
    </row>
    <row r="36" spans="1:21" x14ac:dyDescent="0.2">
      <c r="S36" s="24"/>
      <c r="T36" s="2"/>
    </row>
    <row r="37" spans="1:21" ht="15" x14ac:dyDescent="0.2">
      <c r="A37" s="44" t="s">
        <v>36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1" x14ac:dyDescent="0.2">
      <c r="A38" s="32" t="s">
        <v>617</v>
      </c>
      <c r="B38" s="8" t="s">
        <v>618</v>
      </c>
      <c r="C38" s="8" t="s">
        <v>619</v>
      </c>
      <c r="D38" s="8" t="str">
        <f>"0,7322"</f>
        <v>0,7322</v>
      </c>
      <c r="E38" s="8" t="s">
        <v>17</v>
      </c>
      <c r="F38" s="8" t="s">
        <v>40</v>
      </c>
      <c r="G38" s="9" t="s">
        <v>33</v>
      </c>
      <c r="H38" s="10" t="s">
        <v>34</v>
      </c>
      <c r="I38" s="10" t="s">
        <v>34</v>
      </c>
      <c r="J38" s="10"/>
      <c r="K38" s="9" t="s">
        <v>32</v>
      </c>
      <c r="L38" s="10" t="s">
        <v>81</v>
      </c>
      <c r="M38" s="10" t="s">
        <v>81</v>
      </c>
      <c r="N38" s="10"/>
      <c r="O38" s="9" t="s">
        <v>54</v>
      </c>
      <c r="P38" s="10" t="s">
        <v>82</v>
      </c>
      <c r="Q38" s="9" t="s">
        <v>57</v>
      </c>
      <c r="R38" s="10"/>
      <c r="S38" s="32" t="str">
        <f>"390,0"</f>
        <v>390,0</v>
      </c>
      <c r="T38" s="35" t="str">
        <f>"285,5580"</f>
        <v>285,5580</v>
      </c>
      <c r="U38" s="8" t="s">
        <v>620</v>
      </c>
    </row>
    <row r="39" spans="1:21" x14ac:dyDescent="0.2">
      <c r="A39" s="38" t="s">
        <v>622</v>
      </c>
      <c r="B39" s="14" t="s">
        <v>623</v>
      </c>
      <c r="C39" s="14" t="s">
        <v>624</v>
      </c>
      <c r="D39" s="14" t="str">
        <f>"0,7159"</f>
        <v>0,7159</v>
      </c>
      <c r="E39" s="14" t="s">
        <v>17</v>
      </c>
      <c r="F39" s="14" t="s">
        <v>40</v>
      </c>
      <c r="G39" s="15" t="s">
        <v>46</v>
      </c>
      <c r="H39" s="15" t="s">
        <v>470</v>
      </c>
      <c r="I39" s="16" t="s">
        <v>48</v>
      </c>
      <c r="J39" s="16"/>
      <c r="K39" s="15" t="s">
        <v>163</v>
      </c>
      <c r="L39" s="15" t="s">
        <v>107</v>
      </c>
      <c r="M39" s="16" t="s">
        <v>625</v>
      </c>
      <c r="N39" s="16"/>
      <c r="O39" s="15" t="s">
        <v>74</v>
      </c>
      <c r="P39" s="15" t="s">
        <v>626</v>
      </c>
      <c r="Q39" s="15" t="s">
        <v>126</v>
      </c>
      <c r="R39" s="16"/>
      <c r="S39" s="38" t="str">
        <f>"610,0"</f>
        <v>610,0</v>
      </c>
      <c r="T39" s="39" t="str">
        <f>"436,6990"</f>
        <v>436,6990</v>
      </c>
      <c r="U39" s="14"/>
    </row>
    <row r="40" spans="1:21" x14ac:dyDescent="0.2">
      <c r="A40" s="38" t="s">
        <v>628</v>
      </c>
      <c r="B40" s="14" t="s">
        <v>629</v>
      </c>
      <c r="C40" s="14" t="s">
        <v>630</v>
      </c>
      <c r="D40" s="14" t="str">
        <f>"0,7390"</f>
        <v>0,7390</v>
      </c>
      <c r="E40" s="14" t="s">
        <v>17</v>
      </c>
      <c r="F40" s="14" t="s">
        <v>489</v>
      </c>
      <c r="G40" s="15" t="s">
        <v>80</v>
      </c>
      <c r="H40" s="15" t="s">
        <v>56</v>
      </c>
      <c r="I40" s="15" t="s">
        <v>296</v>
      </c>
      <c r="J40" s="16"/>
      <c r="K40" s="15" t="s">
        <v>81</v>
      </c>
      <c r="L40" s="16" t="s">
        <v>44</v>
      </c>
      <c r="M40" s="15" t="s">
        <v>44</v>
      </c>
      <c r="N40" s="16"/>
      <c r="O40" s="15" t="s">
        <v>58</v>
      </c>
      <c r="P40" s="15" t="s">
        <v>41</v>
      </c>
      <c r="Q40" s="16" t="s">
        <v>63</v>
      </c>
      <c r="R40" s="16"/>
      <c r="S40" s="38" t="str">
        <f>"465,0"</f>
        <v>465,0</v>
      </c>
      <c r="T40" s="39" t="str">
        <f>"343,6350"</f>
        <v>343,6350</v>
      </c>
      <c r="U40" s="14" t="s">
        <v>631</v>
      </c>
    </row>
    <row r="41" spans="1:21" x14ac:dyDescent="0.2">
      <c r="A41" s="38" t="s">
        <v>633</v>
      </c>
      <c r="B41" s="14" t="s">
        <v>634</v>
      </c>
      <c r="C41" s="14" t="s">
        <v>635</v>
      </c>
      <c r="D41" s="14" t="str">
        <f>"0,7228"</f>
        <v>0,7228</v>
      </c>
      <c r="E41" s="14" t="s">
        <v>17</v>
      </c>
      <c r="F41" s="14" t="s">
        <v>324</v>
      </c>
      <c r="G41" s="15" t="s">
        <v>29</v>
      </c>
      <c r="H41" s="15" t="s">
        <v>93</v>
      </c>
      <c r="I41" s="16" t="s">
        <v>34</v>
      </c>
      <c r="J41" s="16"/>
      <c r="K41" s="15" t="s">
        <v>31</v>
      </c>
      <c r="L41" s="15" t="s">
        <v>269</v>
      </c>
      <c r="M41" s="15" t="s">
        <v>32</v>
      </c>
      <c r="N41" s="16"/>
      <c r="O41" s="15" t="s">
        <v>33</v>
      </c>
      <c r="P41" s="15" t="s">
        <v>94</v>
      </c>
      <c r="Q41" s="15" t="s">
        <v>515</v>
      </c>
      <c r="R41" s="16"/>
      <c r="S41" s="38" t="str">
        <f>"365,0"</f>
        <v>365,0</v>
      </c>
      <c r="T41" s="39" t="str">
        <f>"263,8220"</f>
        <v>263,8220</v>
      </c>
      <c r="U41" s="14" t="s">
        <v>636</v>
      </c>
    </row>
    <row r="42" spans="1:21" x14ac:dyDescent="0.2">
      <c r="A42" s="38" t="s">
        <v>638</v>
      </c>
      <c r="B42" s="14" t="s">
        <v>639</v>
      </c>
      <c r="C42" s="14" t="s">
        <v>624</v>
      </c>
      <c r="D42" s="14" t="str">
        <f>"0,7159"</f>
        <v>0,7159</v>
      </c>
      <c r="E42" s="14" t="s">
        <v>17</v>
      </c>
      <c r="F42" s="14" t="s">
        <v>277</v>
      </c>
      <c r="G42" s="15" t="s">
        <v>58</v>
      </c>
      <c r="H42" s="15" t="s">
        <v>41</v>
      </c>
      <c r="I42" s="16" t="s">
        <v>63</v>
      </c>
      <c r="J42" s="16"/>
      <c r="K42" s="15" t="s">
        <v>558</v>
      </c>
      <c r="L42" s="15" t="s">
        <v>408</v>
      </c>
      <c r="M42" s="16"/>
      <c r="N42" s="16"/>
      <c r="O42" s="15" t="s">
        <v>64</v>
      </c>
      <c r="P42" s="15" t="s">
        <v>65</v>
      </c>
      <c r="Q42" s="16" t="s">
        <v>48</v>
      </c>
      <c r="R42" s="16"/>
      <c r="S42" s="38" t="str">
        <f>"517,5"</f>
        <v>517,5</v>
      </c>
      <c r="T42" s="39" t="str">
        <f>"390,8546"</f>
        <v>390,8546</v>
      </c>
      <c r="U42" s="14"/>
    </row>
    <row r="43" spans="1:21" x14ac:dyDescent="0.2">
      <c r="A43" s="33" t="s">
        <v>2221</v>
      </c>
      <c r="B43" s="11" t="s">
        <v>641</v>
      </c>
      <c r="C43" s="11" t="s">
        <v>642</v>
      </c>
      <c r="D43" s="11" t="str">
        <f>"0,7166"</f>
        <v>0,7166</v>
      </c>
      <c r="E43" s="11" t="s">
        <v>17</v>
      </c>
      <c r="F43" s="11" t="s">
        <v>40</v>
      </c>
      <c r="G43" s="12" t="s">
        <v>29</v>
      </c>
      <c r="H43" s="12" t="s">
        <v>33</v>
      </c>
      <c r="I43" s="12" t="s">
        <v>93</v>
      </c>
      <c r="J43" s="13"/>
      <c r="K43" s="12" t="s">
        <v>32</v>
      </c>
      <c r="L43" s="12" t="s">
        <v>270</v>
      </c>
      <c r="M43" s="13" t="s">
        <v>416</v>
      </c>
      <c r="N43" s="13"/>
      <c r="O43" s="12" t="s">
        <v>34</v>
      </c>
      <c r="P43" s="13" t="s">
        <v>53</v>
      </c>
      <c r="Q43" s="13" t="s">
        <v>53</v>
      </c>
      <c r="R43" s="13"/>
      <c r="S43" s="33" t="str">
        <f>"367,5"</f>
        <v>367,5</v>
      </c>
      <c r="T43" s="36" t="str">
        <f>"397,9226"</f>
        <v>397,9226</v>
      </c>
      <c r="U43" s="11" t="s">
        <v>643</v>
      </c>
    </row>
    <row r="45" spans="1:21" ht="15" x14ac:dyDescent="0.2">
      <c r="A45" s="44" t="s">
        <v>59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1:21" x14ac:dyDescent="0.2">
      <c r="A46" s="32" t="s">
        <v>644</v>
      </c>
      <c r="B46" s="8" t="s">
        <v>645</v>
      </c>
      <c r="C46" s="8" t="s">
        <v>646</v>
      </c>
      <c r="D46" s="8" t="str">
        <f>"0,6969"</f>
        <v>0,6969</v>
      </c>
      <c r="E46" s="8" t="s">
        <v>17</v>
      </c>
      <c r="F46" s="8" t="s">
        <v>40</v>
      </c>
      <c r="G46" s="9" t="s">
        <v>57</v>
      </c>
      <c r="H46" s="9" t="s">
        <v>67</v>
      </c>
      <c r="I46" s="9" t="s">
        <v>63</v>
      </c>
      <c r="J46" s="10"/>
      <c r="K46" s="9" t="s">
        <v>80</v>
      </c>
      <c r="L46" s="9" t="s">
        <v>169</v>
      </c>
      <c r="M46" s="10" t="s">
        <v>302</v>
      </c>
      <c r="N46" s="10"/>
      <c r="O46" s="10" t="s">
        <v>73</v>
      </c>
      <c r="P46" s="9" t="s">
        <v>108</v>
      </c>
      <c r="Q46" s="9" t="s">
        <v>126</v>
      </c>
      <c r="R46" s="10"/>
      <c r="S46" s="32" t="str">
        <f>"602,5"</f>
        <v>602,5</v>
      </c>
      <c r="T46" s="35" t="str">
        <f>"419,8823"</f>
        <v>419,8823</v>
      </c>
      <c r="U46" s="8"/>
    </row>
    <row r="47" spans="1:21" x14ac:dyDescent="0.2">
      <c r="A47" s="38" t="s">
        <v>647</v>
      </c>
      <c r="B47" s="14" t="s">
        <v>648</v>
      </c>
      <c r="C47" s="14" t="s">
        <v>649</v>
      </c>
      <c r="D47" s="14" t="str">
        <f>"0,6843"</f>
        <v>0,6843</v>
      </c>
      <c r="E47" s="14" t="s">
        <v>17</v>
      </c>
      <c r="F47" s="14" t="s">
        <v>486</v>
      </c>
      <c r="G47" s="15" t="s">
        <v>34</v>
      </c>
      <c r="H47" s="15" t="s">
        <v>54</v>
      </c>
      <c r="I47" s="16" t="s">
        <v>82</v>
      </c>
      <c r="J47" s="16"/>
      <c r="K47" s="15" t="s">
        <v>81</v>
      </c>
      <c r="L47" s="15" t="s">
        <v>401</v>
      </c>
      <c r="M47" s="15" t="s">
        <v>44</v>
      </c>
      <c r="N47" s="16"/>
      <c r="O47" s="15" t="s">
        <v>57</v>
      </c>
      <c r="P47" s="16" t="s">
        <v>67</v>
      </c>
      <c r="Q47" s="16" t="s">
        <v>67</v>
      </c>
      <c r="R47" s="16"/>
      <c r="S47" s="38" t="str">
        <f>"427,5"</f>
        <v>427,5</v>
      </c>
      <c r="T47" s="39" t="str">
        <f>"292,5383"</f>
        <v>292,5383</v>
      </c>
      <c r="U47" s="14" t="s">
        <v>650</v>
      </c>
    </row>
    <row r="48" spans="1:21" x14ac:dyDescent="0.2">
      <c r="A48" s="38" t="s">
        <v>651</v>
      </c>
      <c r="B48" s="14" t="s">
        <v>652</v>
      </c>
      <c r="C48" s="14" t="s">
        <v>653</v>
      </c>
      <c r="D48" s="14" t="str">
        <f>"0,6734"</f>
        <v>0,6734</v>
      </c>
      <c r="E48" s="14" t="s">
        <v>17</v>
      </c>
      <c r="F48" s="14" t="s">
        <v>498</v>
      </c>
      <c r="G48" s="15" t="s">
        <v>63</v>
      </c>
      <c r="H48" s="16" t="s">
        <v>64</v>
      </c>
      <c r="I48" s="16" t="s">
        <v>64</v>
      </c>
      <c r="J48" s="16"/>
      <c r="K48" s="15" t="s">
        <v>401</v>
      </c>
      <c r="L48" s="15" t="s">
        <v>45</v>
      </c>
      <c r="M48" s="16" t="s">
        <v>66</v>
      </c>
      <c r="N48" s="16"/>
      <c r="O48" s="15" t="s">
        <v>64</v>
      </c>
      <c r="P48" s="15" t="s">
        <v>47</v>
      </c>
      <c r="Q48" s="15" t="s">
        <v>65</v>
      </c>
      <c r="R48" s="16"/>
      <c r="S48" s="38" t="str">
        <f>"512,5"</f>
        <v>512,5</v>
      </c>
      <c r="T48" s="39" t="str">
        <f>"345,1175"</f>
        <v>345,1175</v>
      </c>
      <c r="U48" s="14"/>
    </row>
    <row r="49" spans="1:21" x14ac:dyDescent="0.2">
      <c r="A49" s="38" t="s">
        <v>654</v>
      </c>
      <c r="B49" s="14" t="s">
        <v>655</v>
      </c>
      <c r="C49" s="14" t="s">
        <v>656</v>
      </c>
      <c r="D49" s="14" t="str">
        <f>"0,6729"</f>
        <v>0,6729</v>
      </c>
      <c r="E49" s="14" t="s">
        <v>17</v>
      </c>
      <c r="F49" s="14" t="s">
        <v>498</v>
      </c>
      <c r="G49" s="15" t="s">
        <v>58</v>
      </c>
      <c r="H49" s="15" t="s">
        <v>385</v>
      </c>
      <c r="I49" s="16" t="s">
        <v>41</v>
      </c>
      <c r="J49" s="16"/>
      <c r="K49" s="15" t="s">
        <v>28</v>
      </c>
      <c r="L49" s="16" t="s">
        <v>66</v>
      </c>
      <c r="M49" s="16" t="s">
        <v>558</v>
      </c>
      <c r="N49" s="16"/>
      <c r="O49" s="15" t="s">
        <v>67</v>
      </c>
      <c r="P49" s="15" t="s">
        <v>63</v>
      </c>
      <c r="Q49" s="16" t="s">
        <v>42</v>
      </c>
      <c r="R49" s="16"/>
      <c r="S49" s="38" t="str">
        <f>"482,5"</f>
        <v>482,5</v>
      </c>
      <c r="T49" s="39" t="str">
        <f>"324,6743"</f>
        <v>324,6743</v>
      </c>
      <c r="U49" s="14"/>
    </row>
    <row r="50" spans="1:21" x14ac:dyDescent="0.2">
      <c r="A50" s="38" t="s">
        <v>658</v>
      </c>
      <c r="B50" s="14" t="s">
        <v>659</v>
      </c>
      <c r="C50" s="14" t="s">
        <v>660</v>
      </c>
      <c r="D50" s="14" t="str">
        <f>"0,6724"</f>
        <v>0,6724</v>
      </c>
      <c r="E50" s="14" t="s">
        <v>17</v>
      </c>
      <c r="F50" s="14" t="s">
        <v>40</v>
      </c>
      <c r="G50" s="16" t="s">
        <v>47</v>
      </c>
      <c r="H50" s="16" t="s">
        <v>47</v>
      </c>
      <c r="I50" s="15" t="s">
        <v>65</v>
      </c>
      <c r="J50" s="16"/>
      <c r="K50" s="15" t="s">
        <v>80</v>
      </c>
      <c r="L50" s="15" t="s">
        <v>169</v>
      </c>
      <c r="M50" s="16" t="s">
        <v>302</v>
      </c>
      <c r="N50" s="16"/>
      <c r="O50" s="16" t="s">
        <v>126</v>
      </c>
      <c r="P50" s="15" t="s">
        <v>126</v>
      </c>
      <c r="Q50" s="16" t="s">
        <v>661</v>
      </c>
      <c r="R50" s="16"/>
      <c r="S50" s="38" t="str">
        <f>"622,5"</f>
        <v>622,5</v>
      </c>
      <c r="T50" s="39" t="str">
        <f>"418,5690"</f>
        <v>418,5690</v>
      </c>
      <c r="U50" s="14"/>
    </row>
    <row r="51" spans="1:21" x14ac:dyDescent="0.2">
      <c r="A51" s="38" t="s">
        <v>663</v>
      </c>
      <c r="B51" s="14" t="s">
        <v>664</v>
      </c>
      <c r="C51" s="14" t="s">
        <v>653</v>
      </c>
      <c r="D51" s="14" t="str">
        <f>"0,6734"</f>
        <v>0,6734</v>
      </c>
      <c r="E51" s="14" t="s">
        <v>17</v>
      </c>
      <c r="F51" s="14" t="s">
        <v>40</v>
      </c>
      <c r="G51" s="16" t="s">
        <v>57</v>
      </c>
      <c r="H51" s="16" t="s">
        <v>57</v>
      </c>
      <c r="I51" s="16" t="s">
        <v>57</v>
      </c>
      <c r="J51" s="16"/>
      <c r="K51" s="16"/>
      <c r="L51" s="16"/>
      <c r="M51" s="16"/>
      <c r="N51" s="16"/>
      <c r="O51" s="16"/>
      <c r="P51" s="16"/>
      <c r="Q51" s="16"/>
      <c r="R51" s="16"/>
      <c r="S51" s="38" t="str">
        <f>"0.00"</f>
        <v>0.00</v>
      </c>
      <c r="T51" s="39" t="str">
        <f>"0,0000"</f>
        <v>0,0000</v>
      </c>
      <c r="U51" s="14" t="s">
        <v>565</v>
      </c>
    </row>
    <row r="52" spans="1:21" x14ac:dyDescent="0.2">
      <c r="A52" s="33" t="s">
        <v>666</v>
      </c>
      <c r="B52" s="11" t="s">
        <v>667</v>
      </c>
      <c r="C52" s="11" t="s">
        <v>286</v>
      </c>
      <c r="D52" s="11" t="str">
        <f>"0,6749"</f>
        <v>0,6749</v>
      </c>
      <c r="E52" s="11" t="s">
        <v>17</v>
      </c>
      <c r="F52" s="11" t="s">
        <v>40</v>
      </c>
      <c r="G52" s="12" t="s">
        <v>385</v>
      </c>
      <c r="H52" s="13" t="s">
        <v>186</v>
      </c>
      <c r="I52" s="13" t="s">
        <v>186</v>
      </c>
      <c r="J52" s="13"/>
      <c r="K52" s="12" t="s">
        <v>44</v>
      </c>
      <c r="L52" s="13" t="s">
        <v>45</v>
      </c>
      <c r="M52" s="13" t="s">
        <v>45</v>
      </c>
      <c r="N52" s="13"/>
      <c r="O52" s="12" t="s">
        <v>470</v>
      </c>
      <c r="P52" s="12" t="s">
        <v>453</v>
      </c>
      <c r="Q52" s="12" t="s">
        <v>170</v>
      </c>
      <c r="R52" s="13"/>
      <c r="S52" s="33" t="str">
        <f>"512,5"</f>
        <v>512,5</v>
      </c>
      <c r="T52" s="36" t="str">
        <f>"374,2489"</f>
        <v>374,2489</v>
      </c>
      <c r="U52" s="11"/>
    </row>
    <row r="54" spans="1:21" ht="15" x14ac:dyDescent="0.2">
      <c r="A54" s="44" t="s">
        <v>96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</row>
    <row r="55" spans="1:21" x14ac:dyDescent="0.2">
      <c r="A55" s="32" t="s">
        <v>668</v>
      </c>
      <c r="B55" s="8" t="s">
        <v>669</v>
      </c>
      <c r="C55" s="8" t="s">
        <v>670</v>
      </c>
      <c r="D55" s="8" t="str">
        <f>"0,6459"</f>
        <v>0,6459</v>
      </c>
      <c r="E55" s="8" t="s">
        <v>17</v>
      </c>
      <c r="F55" s="8" t="s">
        <v>671</v>
      </c>
      <c r="G55" s="9" t="s">
        <v>58</v>
      </c>
      <c r="H55" s="9" t="s">
        <v>385</v>
      </c>
      <c r="I55" s="9" t="s">
        <v>186</v>
      </c>
      <c r="J55" s="10"/>
      <c r="K55" s="9" t="s">
        <v>163</v>
      </c>
      <c r="L55" s="10" t="s">
        <v>107</v>
      </c>
      <c r="M55" s="9" t="s">
        <v>107</v>
      </c>
      <c r="N55" s="10"/>
      <c r="O55" s="9" t="s">
        <v>318</v>
      </c>
      <c r="P55" s="10" t="s">
        <v>109</v>
      </c>
      <c r="Q55" s="10" t="s">
        <v>109</v>
      </c>
      <c r="R55" s="10"/>
      <c r="S55" s="32" t="str">
        <f>"585,0"</f>
        <v>585,0</v>
      </c>
      <c r="T55" s="35" t="str">
        <f>"377,8515"</f>
        <v>377,8515</v>
      </c>
      <c r="U55" s="8" t="s">
        <v>672</v>
      </c>
    </row>
    <row r="56" spans="1:21" x14ac:dyDescent="0.2">
      <c r="A56" s="38" t="s">
        <v>674</v>
      </c>
      <c r="B56" s="14" t="s">
        <v>675</v>
      </c>
      <c r="C56" s="14" t="s">
        <v>676</v>
      </c>
      <c r="D56" s="14" t="str">
        <f>"0,6413"</f>
        <v>0,6413</v>
      </c>
      <c r="E56" s="14" t="s">
        <v>17</v>
      </c>
      <c r="F56" s="14" t="s">
        <v>349</v>
      </c>
      <c r="G56" s="15" t="s">
        <v>116</v>
      </c>
      <c r="H56" s="15" t="s">
        <v>126</v>
      </c>
      <c r="I56" s="15" t="s">
        <v>118</v>
      </c>
      <c r="J56" s="16"/>
      <c r="K56" s="15" t="s">
        <v>82</v>
      </c>
      <c r="L56" s="15" t="s">
        <v>57</v>
      </c>
      <c r="M56" s="16" t="s">
        <v>58</v>
      </c>
      <c r="N56" s="16"/>
      <c r="O56" s="15" t="s">
        <v>118</v>
      </c>
      <c r="P56" s="15" t="s">
        <v>105</v>
      </c>
      <c r="Q56" s="15" t="s">
        <v>661</v>
      </c>
      <c r="R56" s="16"/>
      <c r="S56" s="38" t="str">
        <f>"707,5"</f>
        <v>707,5</v>
      </c>
      <c r="T56" s="39" t="str">
        <f>"453,7198"</f>
        <v>453,7198</v>
      </c>
      <c r="U56" s="14" t="s">
        <v>677</v>
      </c>
    </row>
    <row r="57" spans="1:21" x14ac:dyDescent="0.2">
      <c r="A57" s="38" t="s">
        <v>678</v>
      </c>
      <c r="B57" s="14" t="s">
        <v>679</v>
      </c>
      <c r="C57" s="14" t="s">
        <v>680</v>
      </c>
      <c r="D57" s="14" t="str">
        <f>"0,6523"</f>
        <v>0,6523</v>
      </c>
      <c r="E57" s="14" t="s">
        <v>17</v>
      </c>
      <c r="F57" s="14" t="s">
        <v>324</v>
      </c>
      <c r="G57" s="15" t="s">
        <v>57</v>
      </c>
      <c r="H57" s="15" t="s">
        <v>67</v>
      </c>
      <c r="I57" s="16" t="s">
        <v>63</v>
      </c>
      <c r="J57" s="16"/>
      <c r="K57" s="16" t="s">
        <v>20</v>
      </c>
      <c r="L57" s="16" t="s">
        <v>20</v>
      </c>
      <c r="M57" s="16" t="s">
        <v>20</v>
      </c>
      <c r="N57" s="16"/>
      <c r="O57" s="16" t="s">
        <v>63</v>
      </c>
      <c r="P57" s="16"/>
      <c r="Q57" s="16"/>
      <c r="R57" s="16"/>
      <c r="S57" s="38" t="str">
        <f>"0.00"</f>
        <v>0.00</v>
      </c>
      <c r="T57" s="39" t="str">
        <f>"0,0000"</f>
        <v>0,0000</v>
      </c>
      <c r="U57" s="14" t="s">
        <v>325</v>
      </c>
    </row>
    <row r="58" spans="1:21" x14ac:dyDescent="0.2">
      <c r="A58" s="33" t="s">
        <v>2220</v>
      </c>
      <c r="B58" s="11" t="s">
        <v>681</v>
      </c>
      <c r="C58" s="11" t="s">
        <v>682</v>
      </c>
      <c r="D58" s="11" t="str">
        <f>"0,6402"</f>
        <v>0,6402</v>
      </c>
      <c r="E58" s="11" t="s">
        <v>17</v>
      </c>
      <c r="F58" s="11" t="s">
        <v>40</v>
      </c>
      <c r="G58" s="12" t="s">
        <v>64</v>
      </c>
      <c r="H58" s="13" t="s">
        <v>48</v>
      </c>
      <c r="I58" s="13" t="s">
        <v>48</v>
      </c>
      <c r="J58" s="13"/>
      <c r="K58" s="13" t="s">
        <v>20</v>
      </c>
      <c r="L58" s="13" t="s">
        <v>20</v>
      </c>
      <c r="M58" s="13" t="s">
        <v>20</v>
      </c>
      <c r="N58" s="13"/>
      <c r="O58" s="13" t="s">
        <v>116</v>
      </c>
      <c r="P58" s="13"/>
      <c r="Q58" s="13"/>
      <c r="R58" s="13"/>
      <c r="S58" s="33" t="str">
        <f>"0.00"</f>
        <v>0.00</v>
      </c>
      <c r="T58" s="36" t="str">
        <f>"0,0000"</f>
        <v>0,0000</v>
      </c>
      <c r="U58" s="11"/>
    </row>
    <row r="60" spans="1:21" ht="15" x14ac:dyDescent="0.2">
      <c r="A60" s="44" t="s">
        <v>139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</row>
    <row r="61" spans="1:21" x14ac:dyDescent="0.2">
      <c r="A61" s="32" t="s">
        <v>684</v>
      </c>
      <c r="B61" s="8" t="s">
        <v>685</v>
      </c>
      <c r="C61" s="8" t="s">
        <v>317</v>
      </c>
      <c r="D61" s="8" t="str">
        <f>"0,6086"</f>
        <v>0,6086</v>
      </c>
      <c r="E61" s="8" t="s">
        <v>17</v>
      </c>
      <c r="F61" s="8" t="s">
        <v>686</v>
      </c>
      <c r="G61" s="9" t="s">
        <v>64</v>
      </c>
      <c r="H61" s="9" t="s">
        <v>73</v>
      </c>
      <c r="I61" s="9" t="s">
        <v>134</v>
      </c>
      <c r="J61" s="10"/>
      <c r="K61" s="9" t="s">
        <v>53</v>
      </c>
      <c r="L61" s="9" t="s">
        <v>80</v>
      </c>
      <c r="M61" s="10" t="s">
        <v>169</v>
      </c>
      <c r="N61" s="10"/>
      <c r="O61" s="9" t="s">
        <v>118</v>
      </c>
      <c r="P61" s="9" t="s">
        <v>153</v>
      </c>
      <c r="Q61" s="9" t="s">
        <v>106</v>
      </c>
      <c r="R61" s="10"/>
      <c r="S61" s="32" t="str">
        <f>"675,0"</f>
        <v>675,0</v>
      </c>
      <c r="T61" s="35" t="str">
        <f>"410,8050"</f>
        <v>410,8050</v>
      </c>
      <c r="U61" s="8" t="s">
        <v>687</v>
      </c>
    </row>
    <row r="62" spans="1:21" x14ac:dyDescent="0.2">
      <c r="A62" s="38" t="s">
        <v>689</v>
      </c>
      <c r="B62" s="14" t="s">
        <v>690</v>
      </c>
      <c r="C62" s="14" t="s">
        <v>691</v>
      </c>
      <c r="D62" s="14" t="str">
        <f>"0,6163"</f>
        <v>0,6163</v>
      </c>
      <c r="E62" s="14" t="s">
        <v>17</v>
      </c>
      <c r="F62" s="14" t="s">
        <v>87</v>
      </c>
      <c r="G62" s="15" t="s">
        <v>57</v>
      </c>
      <c r="H62" s="15" t="s">
        <v>67</v>
      </c>
      <c r="I62" s="16" t="s">
        <v>63</v>
      </c>
      <c r="J62" s="16"/>
      <c r="K62" s="15" t="s">
        <v>19</v>
      </c>
      <c r="L62" s="15" t="s">
        <v>408</v>
      </c>
      <c r="M62" s="16"/>
      <c r="N62" s="16"/>
      <c r="O62" s="15" t="s">
        <v>58</v>
      </c>
      <c r="P62" s="15" t="s">
        <v>41</v>
      </c>
      <c r="Q62" s="15" t="s">
        <v>63</v>
      </c>
      <c r="R62" s="16"/>
      <c r="S62" s="38" t="str">
        <f>"492,5"</f>
        <v>492,5</v>
      </c>
      <c r="T62" s="39" t="str">
        <f>"312,9371"</f>
        <v>312,9371</v>
      </c>
      <c r="U62" s="14"/>
    </row>
    <row r="63" spans="1:21" x14ac:dyDescent="0.2">
      <c r="A63" s="33" t="s">
        <v>693</v>
      </c>
      <c r="B63" s="11" t="s">
        <v>694</v>
      </c>
      <c r="C63" s="11" t="s">
        <v>157</v>
      </c>
      <c r="D63" s="11" t="str">
        <f>"0,6134"</f>
        <v>0,6134</v>
      </c>
      <c r="E63" s="11" t="s">
        <v>17</v>
      </c>
      <c r="F63" s="11" t="s">
        <v>349</v>
      </c>
      <c r="G63" s="12" t="s">
        <v>67</v>
      </c>
      <c r="H63" s="13" t="s">
        <v>63</v>
      </c>
      <c r="I63" s="13" t="s">
        <v>63</v>
      </c>
      <c r="J63" s="13"/>
      <c r="K63" s="13" t="s">
        <v>20</v>
      </c>
      <c r="L63" s="12" t="s">
        <v>20</v>
      </c>
      <c r="M63" s="12" t="s">
        <v>515</v>
      </c>
      <c r="N63" s="13"/>
      <c r="O63" s="12" t="s">
        <v>134</v>
      </c>
      <c r="P63" s="12" t="s">
        <v>126</v>
      </c>
      <c r="Q63" s="13"/>
      <c r="R63" s="13"/>
      <c r="S63" s="33" t="str">
        <f>"572,5"</f>
        <v>572,5</v>
      </c>
      <c r="T63" s="36" t="str">
        <f>"375,0512"</f>
        <v>375,0512</v>
      </c>
      <c r="U63" s="11"/>
    </row>
    <row r="65" spans="1:21" ht="15" x14ac:dyDescent="0.2">
      <c r="A65" s="44" t="s">
        <v>175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</row>
    <row r="66" spans="1:21" x14ac:dyDescent="0.2">
      <c r="A66" s="34" t="s">
        <v>695</v>
      </c>
      <c r="B66" s="5" t="s">
        <v>696</v>
      </c>
      <c r="C66" s="5" t="s">
        <v>697</v>
      </c>
      <c r="D66" s="5" t="str">
        <f>"0,6002"</f>
        <v>0,6002</v>
      </c>
      <c r="E66" s="5" t="s">
        <v>17</v>
      </c>
      <c r="F66" s="5" t="s">
        <v>489</v>
      </c>
      <c r="G66" s="7" t="s">
        <v>54</v>
      </c>
      <c r="H66" s="6" t="s">
        <v>82</v>
      </c>
      <c r="I66" s="6" t="s">
        <v>56</v>
      </c>
      <c r="J66" s="7"/>
      <c r="K66" s="6" t="s">
        <v>29</v>
      </c>
      <c r="L66" s="6" t="s">
        <v>20</v>
      </c>
      <c r="M66" s="6" t="s">
        <v>94</v>
      </c>
      <c r="N66" s="7"/>
      <c r="O66" s="6" t="s">
        <v>67</v>
      </c>
      <c r="P66" s="6" t="s">
        <v>63</v>
      </c>
      <c r="Q66" s="7"/>
      <c r="R66" s="7"/>
      <c r="S66" s="34" t="str">
        <f>"492,5"</f>
        <v>492,5</v>
      </c>
      <c r="T66" s="37" t="str">
        <f>"295,5985"</f>
        <v>295,5985</v>
      </c>
      <c r="U66" s="5"/>
    </row>
    <row r="68" spans="1:21" ht="15" x14ac:dyDescent="0.2">
      <c r="A68" s="44" t="s">
        <v>196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</row>
    <row r="69" spans="1:21" x14ac:dyDescent="0.2">
      <c r="A69" s="34" t="s">
        <v>698</v>
      </c>
      <c r="B69" s="5" t="s">
        <v>699</v>
      </c>
      <c r="C69" s="5" t="s">
        <v>700</v>
      </c>
      <c r="D69" s="5" t="str">
        <f>"0,5747"</f>
        <v>0,5747</v>
      </c>
      <c r="E69" s="5" t="s">
        <v>17</v>
      </c>
      <c r="F69" s="5" t="s">
        <v>40</v>
      </c>
      <c r="G69" s="7" t="s">
        <v>134</v>
      </c>
      <c r="H69" s="7" t="s">
        <v>134</v>
      </c>
      <c r="I69" s="7" t="s">
        <v>134</v>
      </c>
      <c r="J69" s="7"/>
      <c r="K69" s="7" t="s">
        <v>82</v>
      </c>
      <c r="L69" s="7"/>
      <c r="M69" s="7"/>
      <c r="N69" s="7"/>
      <c r="O69" s="7" t="s">
        <v>116</v>
      </c>
      <c r="P69" s="7"/>
      <c r="Q69" s="7"/>
      <c r="R69" s="7"/>
      <c r="S69" s="34" t="str">
        <f>"0.00"</f>
        <v>0.00</v>
      </c>
      <c r="T69" s="37" t="str">
        <f>"0,0000"</f>
        <v>0,0000</v>
      </c>
      <c r="U69" s="5" t="s">
        <v>701</v>
      </c>
    </row>
    <row r="71" spans="1:21" ht="15" x14ac:dyDescent="0.2">
      <c r="E71" s="17" t="s">
        <v>206</v>
      </c>
    </row>
    <row r="72" spans="1:21" ht="15" x14ac:dyDescent="0.2">
      <c r="E72" s="17" t="s">
        <v>207</v>
      </c>
    </row>
    <row r="73" spans="1:21" ht="15" x14ac:dyDescent="0.2">
      <c r="E73" s="17" t="s">
        <v>208</v>
      </c>
    </row>
    <row r="74" spans="1:21" ht="15" x14ac:dyDescent="0.2">
      <c r="E74" s="17" t="s">
        <v>209</v>
      </c>
    </row>
    <row r="75" spans="1:21" ht="15" x14ac:dyDescent="0.2">
      <c r="E75" s="17" t="s">
        <v>209</v>
      </c>
    </row>
    <row r="76" spans="1:21" ht="15" x14ac:dyDescent="0.2">
      <c r="E76" s="17" t="s">
        <v>210</v>
      </c>
    </row>
    <row r="77" spans="1:21" ht="15" x14ac:dyDescent="0.2">
      <c r="E77" s="17"/>
    </row>
    <row r="79" spans="1:21" ht="18" x14ac:dyDescent="0.25">
      <c r="A79" s="18" t="s">
        <v>211</v>
      </c>
      <c r="B79" s="18"/>
    </row>
    <row r="80" spans="1:21" ht="15" x14ac:dyDescent="0.2">
      <c r="A80" s="19" t="s">
        <v>212</v>
      </c>
      <c r="B80" s="19"/>
    </row>
    <row r="81" spans="1:5" ht="14.25" x14ac:dyDescent="0.2">
      <c r="A81" s="21"/>
      <c r="B81" s="22" t="s">
        <v>220</v>
      </c>
    </row>
    <row r="82" spans="1:5" ht="15" x14ac:dyDescent="0.2">
      <c r="A82" s="23" t="s">
        <v>213</v>
      </c>
      <c r="B82" s="23" t="s">
        <v>214</v>
      </c>
      <c r="C82" s="23" t="s">
        <v>215</v>
      </c>
      <c r="D82" s="23" t="s">
        <v>216</v>
      </c>
      <c r="E82" s="23" t="s">
        <v>217</v>
      </c>
    </row>
    <row r="83" spans="1:5" x14ac:dyDescent="0.2">
      <c r="A83" s="20" t="s">
        <v>555</v>
      </c>
      <c r="B83" s="4" t="s">
        <v>220</v>
      </c>
      <c r="C83" s="4" t="s">
        <v>516</v>
      </c>
      <c r="D83" s="4" t="s">
        <v>180</v>
      </c>
      <c r="E83" s="24" t="s">
        <v>702</v>
      </c>
    </row>
    <row r="84" spans="1:5" x14ac:dyDescent="0.2">
      <c r="A84" s="20" t="s">
        <v>560</v>
      </c>
      <c r="B84" s="4" t="s">
        <v>220</v>
      </c>
      <c r="C84" s="4" t="s">
        <v>516</v>
      </c>
      <c r="D84" s="4" t="s">
        <v>120</v>
      </c>
      <c r="E84" s="24" t="s">
        <v>703</v>
      </c>
    </row>
    <row r="85" spans="1:5" x14ac:dyDescent="0.2">
      <c r="A85" s="20" t="s">
        <v>566</v>
      </c>
      <c r="B85" s="4" t="s">
        <v>220</v>
      </c>
      <c r="C85" s="4" t="s">
        <v>516</v>
      </c>
      <c r="D85" s="4" t="s">
        <v>661</v>
      </c>
      <c r="E85" s="24" t="s">
        <v>704</v>
      </c>
    </row>
    <row r="86" spans="1:5" x14ac:dyDescent="0.2">
      <c r="A86" s="20" t="s">
        <v>576</v>
      </c>
      <c r="B86" s="4" t="s">
        <v>220</v>
      </c>
      <c r="C86" s="4" t="s">
        <v>224</v>
      </c>
      <c r="D86" s="4" t="s">
        <v>153</v>
      </c>
      <c r="E86" s="24" t="s">
        <v>705</v>
      </c>
    </row>
    <row r="87" spans="1:5" x14ac:dyDescent="0.2">
      <c r="A87" s="20" t="s">
        <v>550</v>
      </c>
      <c r="B87" s="4" t="s">
        <v>220</v>
      </c>
      <c r="C87" s="4" t="s">
        <v>517</v>
      </c>
      <c r="D87" s="4" t="s">
        <v>108</v>
      </c>
      <c r="E87" s="24" t="s">
        <v>706</v>
      </c>
    </row>
    <row r="88" spans="1:5" x14ac:dyDescent="0.2">
      <c r="A88" s="20" t="s">
        <v>570</v>
      </c>
      <c r="B88" s="4" t="s">
        <v>220</v>
      </c>
      <c r="C88" s="4" t="s">
        <v>516</v>
      </c>
      <c r="D88" s="4" t="s">
        <v>318</v>
      </c>
      <c r="E88" s="24" t="s">
        <v>707</v>
      </c>
    </row>
    <row r="89" spans="1:5" x14ac:dyDescent="0.2">
      <c r="A89" s="20" t="s">
        <v>609</v>
      </c>
      <c r="B89" s="4" t="s">
        <v>220</v>
      </c>
      <c r="C89" s="4" t="s">
        <v>708</v>
      </c>
      <c r="D89" s="4" t="s">
        <v>709</v>
      </c>
      <c r="E89" s="24" t="s">
        <v>710</v>
      </c>
    </row>
    <row r="90" spans="1:5" x14ac:dyDescent="0.2">
      <c r="A90" s="20" t="s">
        <v>599</v>
      </c>
      <c r="B90" s="4" t="s">
        <v>220</v>
      </c>
      <c r="C90" s="4" t="s">
        <v>221</v>
      </c>
      <c r="D90" s="4" t="s">
        <v>128</v>
      </c>
      <c r="E90" s="24" t="s">
        <v>711</v>
      </c>
    </row>
    <row r="91" spans="1:5" x14ac:dyDescent="0.2">
      <c r="A91" s="20" t="s">
        <v>581</v>
      </c>
      <c r="B91" s="4" t="s">
        <v>220</v>
      </c>
      <c r="C91" s="4" t="s">
        <v>224</v>
      </c>
      <c r="D91" s="4" t="s">
        <v>712</v>
      </c>
      <c r="E91" s="24" t="s">
        <v>713</v>
      </c>
    </row>
    <row r="93" spans="1:5" ht="15" x14ac:dyDescent="0.2">
      <c r="A93" s="19" t="s">
        <v>226</v>
      </c>
      <c r="B93" s="19"/>
    </row>
    <row r="95" spans="1:5" ht="14.25" x14ac:dyDescent="0.2">
      <c r="A95" s="21"/>
      <c r="B95" s="22" t="s">
        <v>220</v>
      </c>
    </row>
    <row r="96" spans="1:5" ht="15" x14ac:dyDescent="0.2">
      <c r="A96" s="23" t="s">
        <v>213</v>
      </c>
      <c r="B96" s="23" t="s">
        <v>214</v>
      </c>
      <c r="C96" s="23" t="s">
        <v>215</v>
      </c>
      <c r="D96" s="23" t="s">
        <v>216</v>
      </c>
      <c r="E96" s="23" t="s">
        <v>217</v>
      </c>
    </row>
    <row r="97" spans="1:5" x14ac:dyDescent="0.2">
      <c r="A97" s="20" t="s">
        <v>673</v>
      </c>
      <c r="B97" s="4" t="s">
        <v>220</v>
      </c>
      <c r="C97" s="4" t="s">
        <v>229</v>
      </c>
      <c r="D97" s="4" t="s">
        <v>717</v>
      </c>
      <c r="E97" s="24" t="s">
        <v>718</v>
      </c>
    </row>
    <row r="98" spans="1:5" x14ac:dyDescent="0.2">
      <c r="A98" s="20" t="s">
        <v>621</v>
      </c>
      <c r="B98" s="4" t="s">
        <v>220</v>
      </c>
      <c r="C98" s="4" t="s">
        <v>221</v>
      </c>
      <c r="D98" s="4" t="s">
        <v>719</v>
      </c>
      <c r="E98" s="24" t="s">
        <v>720</v>
      </c>
    </row>
    <row r="99" spans="1:5" x14ac:dyDescent="0.2">
      <c r="A99" s="20" t="s">
        <v>657</v>
      </c>
      <c r="B99" s="4" t="s">
        <v>220</v>
      </c>
      <c r="C99" s="4" t="s">
        <v>219</v>
      </c>
      <c r="D99" s="4" t="s">
        <v>721</v>
      </c>
      <c r="E99" s="24" t="s">
        <v>722</v>
      </c>
    </row>
    <row r="100" spans="1:5" x14ac:dyDescent="0.2">
      <c r="A100" s="20" t="s">
        <v>683</v>
      </c>
      <c r="B100" s="4" t="s">
        <v>220</v>
      </c>
      <c r="C100" s="4" t="s">
        <v>231</v>
      </c>
      <c r="D100" s="4" t="s">
        <v>247</v>
      </c>
      <c r="E100" s="24" t="s">
        <v>723</v>
      </c>
    </row>
    <row r="101" spans="1:5" x14ac:dyDescent="0.2">
      <c r="A101" s="20" t="s">
        <v>613</v>
      </c>
      <c r="B101" s="4" t="s">
        <v>220</v>
      </c>
      <c r="C101" s="4" t="s">
        <v>224</v>
      </c>
      <c r="D101" s="4" t="s">
        <v>724</v>
      </c>
      <c r="E101" s="24" t="s">
        <v>725</v>
      </c>
    </row>
    <row r="102" spans="1:5" x14ac:dyDescent="0.2">
      <c r="A102" s="20" t="s">
        <v>627</v>
      </c>
      <c r="B102" s="4" t="s">
        <v>220</v>
      </c>
      <c r="C102" s="4" t="s">
        <v>221</v>
      </c>
      <c r="D102" s="4" t="s">
        <v>726</v>
      </c>
      <c r="E102" s="24" t="s">
        <v>727</v>
      </c>
    </row>
    <row r="103" spans="1:5" x14ac:dyDescent="0.2">
      <c r="A103" s="20" t="s">
        <v>632</v>
      </c>
      <c r="B103" s="4" t="s">
        <v>220</v>
      </c>
      <c r="C103" s="4" t="s">
        <v>221</v>
      </c>
      <c r="D103" s="4" t="s">
        <v>192</v>
      </c>
      <c r="E103" s="24" t="s">
        <v>728</v>
      </c>
    </row>
    <row r="105" spans="1:5" ht="14.25" x14ac:dyDescent="0.2">
      <c r="A105" s="21"/>
      <c r="B105" s="22" t="s">
        <v>222</v>
      </c>
    </row>
    <row r="106" spans="1:5" ht="15" x14ac:dyDescent="0.2">
      <c r="A106" s="23" t="s">
        <v>213</v>
      </c>
      <c r="B106" s="23" t="s">
        <v>214</v>
      </c>
      <c r="C106" s="23" t="s">
        <v>215</v>
      </c>
      <c r="D106" s="23" t="s">
        <v>216</v>
      </c>
      <c r="E106" s="23" t="s">
        <v>217</v>
      </c>
    </row>
    <row r="107" spans="1:5" x14ac:dyDescent="0.2">
      <c r="A107" s="20" t="s">
        <v>640</v>
      </c>
      <c r="B107" s="4" t="s">
        <v>729</v>
      </c>
      <c r="C107" s="4" t="s">
        <v>221</v>
      </c>
      <c r="D107" s="4" t="s">
        <v>730</v>
      </c>
      <c r="E107" s="24" t="s">
        <v>731</v>
      </c>
    </row>
    <row r="108" spans="1:5" x14ac:dyDescent="0.2">
      <c r="A108" s="20" t="s">
        <v>637</v>
      </c>
      <c r="B108" s="4" t="s">
        <v>261</v>
      </c>
      <c r="C108" s="4" t="s">
        <v>221</v>
      </c>
      <c r="D108" s="4" t="s">
        <v>732</v>
      </c>
      <c r="E108" s="24" t="s">
        <v>733</v>
      </c>
    </row>
    <row r="109" spans="1:5" x14ac:dyDescent="0.2">
      <c r="A109" s="20" t="s">
        <v>692</v>
      </c>
      <c r="B109" s="4" t="s">
        <v>261</v>
      </c>
      <c r="C109" s="4" t="s">
        <v>231</v>
      </c>
      <c r="D109" s="4" t="s">
        <v>734</v>
      </c>
      <c r="E109" s="24" t="s">
        <v>735</v>
      </c>
    </row>
    <row r="110" spans="1:5" x14ac:dyDescent="0.2">
      <c r="A110" s="20" t="s">
        <v>665</v>
      </c>
      <c r="B110" s="4" t="s">
        <v>261</v>
      </c>
      <c r="C110" s="4" t="s">
        <v>219</v>
      </c>
      <c r="D110" s="4" t="s">
        <v>716</v>
      </c>
      <c r="E110" s="24" t="s">
        <v>736</v>
      </c>
    </row>
    <row r="111" spans="1:5" x14ac:dyDescent="0.2">
      <c r="A111" s="20" t="s">
        <v>688</v>
      </c>
      <c r="B111" s="4" t="s">
        <v>370</v>
      </c>
      <c r="C111" s="4" t="s">
        <v>231</v>
      </c>
      <c r="D111" s="4" t="s">
        <v>715</v>
      </c>
      <c r="E111" s="24" t="s">
        <v>737</v>
      </c>
    </row>
  </sheetData>
  <mergeCells count="2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37:T37"/>
    <mergeCell ref="S3:S4"/>
    <mergeCell ref="T3:T4"/>
    <mergeCell ref="U3:U4"/>
    <mergeCell ref="A5:T5"/>
    <mergeCell ref="A8:T8"/>
    <mergeCell ref="A11:T11"/>
    <mergeCell ref="A17:T17"/>
    <mergeCell ref="A25:T25"/>
    <mergeCell ref="A28:T28"/>
    <mergeCell ref="A31:T31"/>
    <mergeCell ref="A34:T34"/>
    <mergeCell ref="A45:T45"/>
    <mergeCell ref="A54:T54"/>
    <mergeCell ref="A60:T60"/>
    <mergeCell ref="A65:T65"/>
    <mergeCell ref="A68:T6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opLeftCell="A10" workbookViewId="0">
      <selection activeCell="F52" sqref="F52"/>
    </sheetView>
  </sheetViews>
  <sheetFormatPr defaultRowHeight="12.75" x14ac:dyDescent="0.2"/>
  <cols>
    <col min="1" max="1" width="26.140625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710937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31.140625" style="4" bestFit="1" customWidth="1"/>
    <col min="22" max="16384" width="9.140625" style="3"/>
  </cols>
  <sheetData>
    <row r="1" spans="1:21" s="2" customFormat="1" ht="29.1" customHeight="1" x14ac:dyDescent="0.2">
      <c r="A1" s="50" t="s">
        <v>2242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7" t="s">
        <v>2</v>
      </c>
    </row>
    <row r="4" spans="1:21" s="1" customFormat="1" ht="33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30">
        <v>1</v>
      </c>
      <c r="L4" s="30">
        <v>2</v>
      </c>
      <c r="M4" s="30">
        <v>3</v>
      </c>
      <c r="N4" s="30" t="s">
        <v>5</v>
      </c>
      <c r="O4" s="30">
        <v>1</v>
      </c>
      <c r="P4" s="30">
        <v>2</v>
      </c>
      <c r="Q4" s="30">
        <v>3</v>
      </c>
      <c r="R4" s="30" t="s">
        <v>5</v>
      </c>
      <c r="S4" s="46"/>
      <c r="T4" s="46"/>
      <c r="U4" s="48"/>
    </row>
    <row r="5" spans="1:21" ht="15" x14ac:dyDescent="0.2">
      <c r="A5" s="49" t="s">
        <v>392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 x14ac:dyDescent="0.2">
      <c r="A6" s="34" t="s">
        <v>394</v>
      </c>
      <c r="B6" s="5" t="s">
        <v>395</v>
      </c>
      <c r="C6" s="5" t="s">
        <v>396</v>
      </c>
      <c r="D6" s="5" t="str">
        <f>"1,3326"</f>
        <v>1,3326</v>
      </c>
      <c r="E6" s="5" t="s">
        <v>17</v>
      </c>
      <c r="F6" s="5" t="s">
        <v>40</v>
      </c>
      <c r="G6" s="6" t="s">
        <v>397</v>
      </c>
      <c r="H6" s="7" t="s">
        <v>264</v>
      </c>
      <c r="I6" s="6" t="s">
        <v>264</v>
      </c>
      <c r="J6" s="7"/>
      <c r="K6" s="6" t="s">
        <v>398</v>
      </c>
      <c r="L6" s="7" t="s">
        <v>399</v>
      </c>
      <c r="M6" s="7" t="s">
        <v>400</v>
      </c>
      <c r="N6" s="7"/>
      <c r="O6" s="6" t="s">
        <v>32</v>
      </c>
      <c r="P6" s="6" t="s">
        <v>81</v>
      </c>
      <c r="Q6" s="6" t="s">
        <v>401</v>
      </c>
      <c r="R6" s="7"/>
      <c r="S6" s="34" t="str">
        <f>"222,5"</f>
        <v>222,5</v>
      </c>
      <c r="T6" s="37" t="str">
        <f>"296,5035"</f>
        <v>296,5035</v>
      </c>
      <c r="U6" s="5"/>
    </row>
    <row r="8" spans="1:21" ht="15" x14ac:dyDescent="0.2">
      <c r="A8" s="44" t="s">
        <v>402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x14ac:dyDescent="0.2">
      <c r="A9" s="32" t="s">
        <v>404</v>
      </c>
      <c r="B9" s="8" t="s">
        <v>405</v>
      </c>
      <c r="C9" s="8" t="s">
        <v>406</v>
      </c>
      <c r="D9" s="8" t="str">
        <f>"1,2808"</f>
        <v>1,2808</v>
      </c>
      <c r="E9" s="8" t="s">
        <v>17</v>
      </c>
      <c r="F9" s="8" t="s">
        <v>133</v>
      </c>
      <c r="G9" s="9" t="s">
        <v>401</v>
      </c>
      <c r="H9" s="10" t="s">
        <v>28</v>
      </c>
      <c r="I9" s="9" t="s">
        <v>28</v>
      </c>
      <c r="J9" s="10"/>
      <c r="K9" s="9" t="s">
        <v>272</v>
      </c>
      <c r="L9" s="10" t="s">
        <v>407</v>
      </c>
      <c r="M9" s="10" t="s">
        <v>407</v>
      </c>
      <c r="N9" s="10"/>
      <c r="O9" s="9" t="s">
        <v>408</v>
      </c>
      <c r="P9" s="9" t="s">
        <v>409</v>
      </c>
      <c r="Q9" s="10" t="s">
        <v>93</v>
      </c>
      <c r="R9" s="10"/>
      <c r="S9" s="32" t="str">
        <f>"300,0"</f>
        <v>300,0</v>
      </c>
      <c r="T9" s="35" t="str">
        <f>"384,2400"</f>
        <v>384,2400</v>
      </c>
      <c r="U9" s="8" t="s">
        <v>410</v>
      </c>
    </row>
    <row r="10" spans="1:21" x14ac:dyDescent="0.2">
      <c r="A10" s="38" t="s">
        <v>412</v>
      </c>
      <c r="B10" s="14" t="s">
        <v>413</v>
      </c>
      <c r="C10" s="14" t="s">
        <v>414</v>
      </c>
      <c r="D10" s="14" t="str">
        <f>"1,2711"</f>
        <v>1,2711</v>
      </c>
      <c r="E10" s="14" t="s">
        <v>17</v>
      </c>
      <c r="F10" s="14" t="s">
        <v>40</v>
      </c>
      <c r="G10" s="15" t="s">
        <v>415</v>
      </c>
      <c r="H10" s="15" t="s">
        <v>416</v>
      </c>
      <c r="I10" s="15" t="s">
        <v>81</v>
      </c>
      <c r="J10" s="16"/>
      <c r="K10" s="15" t="s">
        <v>399</v>
      </c>
      <c r="L10" s="15" t="s">
        <v>400</v>
      </c>
      <c r="M10" s="16" t="s">
        <v>417</v>
      </c>
      <c r="N10" s="16"/>
      <c r="O10" s="15" t="s">
        <v>270</v>
      </c>
      <c r="P10" s="15" t="s">
        <v>81</v>
      </c>
      <c r="Q10" s="15" t="s">
        <v>401</v>
      </c>
      <c r="R10" s="16"/>
      <c r="S10" s="38" t="str">
        <f>"252,5"</f>
        <v>252,5</v>
      </c>
      <c r="T10" s="39" t="str">
        <f>"320,9528"</f>
        <v>320,9528</v>
      </c>
      <c r="U10" s="14" t="s">
        <v>418</v>
      </c>
    </row>
    <row r="11" spans="1:21" x14ac:dyDescent="0.2">
      <c r="A11" s="33" t="s">
        <v>420</v>
      </c>
      <c r="B11" s="11" t="s">
        <v>421</v>
      </c>
      <c r="C11" s="11" t="s">
        <v>422</v>
      </c>
      <c r="D11" s="11" t="str">
        <f>"1,2466"</f>
        <v>1,2466</v>
      </c>
      <c r="E11" s="11" t="s">
        <v>17</v>
      </c>
      <c r="F11" s="11" t="s">
        <v>423</v>
      </c>
      <c r="G11" s="12" t="s">
        <v>31</v>
      </c>
      <c r="H11" s="13" t="s">
        <v>32</v>
      </c>
      <c r="I11" s="12" t="s">
        <v>32</v>
      </c>
      <c r="J11" s="13"/>
      <c r="K11" s="13" t="s">
        <v>399</v>
      </c>
      <c r="L11" s="12" t="s">
        <v>399</v>
      </c>
      <c r="M11" s="13" t="s">
        <v>417</v>
      </c>
      <c r="N11" s="13"/>
      <c r="O11" s="12" t="s">
        <v>269</v>
      </c>
      <c r="P11" s="12" t="s">
        <v>270</v>
      </c>
      <c r="Q11" s="12" t="s">
        <v>416</v>
      </c>
      <c r="R11" s="13"/>
      <c r="S11" s="33" t="str">
        <f>"232,5"</f>
        <v>232,5</v>
      </c>
      <c r="T11" s="36" t="str">
        <f>"289,8345"</f>
        <v>289,8345</v>
      </c>
      <c r="U11" s="11" t="s">
        <v>424</v>
      </c>
    </row>
    <row r="13" spans="1:21" ht="15" x14ac:dyDescent="0.2">
      <c r="A13" s="44" t="s">
        <v>425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1" x14ac:dyDescent="0.2">
      <c r="A14" s="32" t="s">
        <v>427</v>
      </c>
      <c r="B14" s="8" t="s">
        <v>428</v>
      </c>
      <c r="C14" s="8" t="s">
        <v>429</v>
      </c>
      <c r="D14" s="8" t="str">
        <f>"1,2088"</f>
        <v>1,2088</v>
      </c>
      <c r="E14" s="8" t="s">
        <v>17</v>
      </c>
      <c r="F14" s="8" t="s">
        <v>430</v>
      </c>
      <c r="G14" s="10" t="s">
        <v>33</v>
      </c>
      <c r="H14" s="9" t="s">
        <v>33</v>
      </c>
      <c r="I14" s="10" t="s">
        <v>94</v>
      </c>
      <c r="J14" s="10"/>
      <c r="K14" s="10" t="s">
        <v>431</v>
      </c>
      <c r="L14" s="9" t="s">
        <v>431</v>
      </c>
      <c r="M14" s="10" t="s">
        <v>432</v>
      </c>
      <c r="N14" s="10"/>
      <c r="O14" s="9" t="s">
        <v>34</v>
      </c>
      <c r="P14" s="10" t="s">
        <v>163</v>
      </c>
      <c r="Q14" s="10" t="s">
        <v>107</v>
      </c>
      <c r="R14" s="10"/>
      <c r="S14" s="32" t="str">
        <f>"322,5"</f>
        <v>322,5</v>
      </c>
      <c r="T14" s="35" t="str">
        <f>"389,8380"</f>
        <v>389,8380</v>
      </c>
      <c r="U14" s="8" t="s">
        <v>433</v>
      </c>
    </row>
    <row r="15" spans="1:21" x14ac:dyDescent="0.2">
      <c r="A15" s="33" t="s">
        <v>435</v>
      </c>
      <c r="B15" s="11" t="s">
        <v>436</v>
      </c>
      <c r="C15" s="11" t="s">
        <v>437</v>
      </c>
      <c r="D15" s="11" t="str">
        <f>"1,1883"</f>
        <v>1,1883</v>
      </c>
      <c r="E15" s="11" t="s">
        <v>17</v>
      </c>
      <c r="F15" s="11" t="s">
        <v>40</v>
      </c>
      <c r="G15" s="12" t="s">
        <v>270</v>
      </c>
      <c r="H15" s="12" t="s">
        <v>43</v>
      </c>
      <c r="I15" s="12" t="s">
        <v>44</v>
      </c>
      <c r="J15" s="13"/>
      <c r="K15" s="12" t="s">
        <v>400</v>
      </c>
      <c r="L15" s="12" t="s">
        <v>431</v>
      </c>
      <c r="M15" s="13" t="s">
        <v>432</v>
      </c>
      <c r="N15" s="13"/>
      <c r="O15" s="12" t="s">
        <v>416</v>
      </c>
      <c r="P15" s="12" t="s">
        <v>43</v>
      </c>
      <c r="Q15" s="12" t="s">
        <v>44</v>
      </c>
      <c r="R15" s="13"/>
      <c r="S15" s="33" t="str">
        <f>"267,5"</f>
        <v>267,5</v>
      </c>
      <c r="T15" s="36" t="str">
        <f>"317,8703"</f>
        <v>317,8703</v>
      </c>
      <c r="U15" s="11" t="s">
        <v>438</v>
      </c>
    </row>
    <row r="17" spans="1:21" ht="15" x14ac:dyDescent="0.2">
      <c r="A17" s="44" t="s">
        <v>13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1" x14ac:dyDescent="0.2">
      <c r="A18" s="34" t="s">
        <v>439</v>
      </c>
      <c r="B18" s="5" t="s">
        <v>440</v>
      </c>
      <c r="C18" s="5" t="s">
        <v>16</v>
      </c>
      <c r="D18" s="5" t="str">
        <f>"1,1251"</f>
        <v>1,1251</v>
      </c>
      <c r="E18" s="5" t="s">
        <v>17</v>
      </c>
      <c r="F18" s="5" t="s">
        <v>40</v>
      </c>
      <c r="G18" s="6" t="s">
        <v>28</v>
      </c>
      <c r="H18" s="6" t="s">
        <v>66</v>
      </c>
      <c r="I18" s="6" t="s">
        <v>19</v>
      </c>
      <c r="J18" s="7"/>
      <c r="K18" s="6" t="s">
        <v>100</v>
      </c>
      <c r="L18" s="7" t="s">
        <v>30</v>
      </c>
      <c r="M18" s="6" t="s">
        <v>30</v>
      </c>
      <c r="N18" s="7"/>
      <c r="O18" s="6" t="s">
        <v>28</v>
      </c>
      <c r="P18" s="6" t="s">
        <v>19</v>
      </c>
      <c r="Q18" s="6" t="s">
        <v>29</v>
      </c>
      <c r="R18" s="7"/>
      <c r="S18" s="34" t="str">
        <f>"315,0"</f>
        <v>315,0</v>
      </c>
      <c r="T18" s="37" t="str">
        <f>"354,4065"</f>
        <v>354,4065</v>
      </c>
      <c r="U18" s="5" t="s">
        <v>441</v>
      </c>
    </row>
    <row r="20" spans="1:21" ht="15" x14ac:dyDescent="0.2">
      <c r="A20" s="44" t="s">
        <v>23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1:21" x14ac:dyDescent="0.2">
      <c r="A21" s="34" t="s">
        <v>442</v>
      </c>
      <c r="B21" s="5" t="s">
        <v>443</v>
      </c>
      <c r="C21" s="5" t="s">
        <v>444</v>
      </c>
      <c r="D21" s="5" t="str">
        <f>"1,0539"</f>
        <v>1,0539</v>
      </c>
      <c r="E21" s="5" t="s">
        <v>17</v>
      </c>
      <c r="F21" s="5" t="s">
        <v>40</v>
      </c>
      <c r="G21" s="6" t="s">
        <v>270</v>
      </c>
      <c r="H21" s="6" t="s">
        <v>401</v>
      </c>
      <c r="I21" s="6" t="s">
        <v>28</v>
      </c>
      <c r="J21" s="7"/>
      <c r="K21" s="6" t="s">
        <v>271</v>
      </c>
      <c r="L21" s="6" t="s">
        <v>100</v>
      </c>
      <c r="M21" s="6" t="s">
        <v>30</v>
      </c>
      <c r="N21" s="7"/>
      <c r="O21" s="6" t="s">
        <v>81</v>
      </c>
      <c r="P21" s="6" t="s">
        <v>28</v>
      </c>
      <c r="Q21" s="6" t="s">
        <v>19</v>
      </c>
      <c r="R21" s="7"/>
      <c r="S21" s="34" t="str">
        <f>"300,0"</f>
        <v>300,0</v>
      </c>
      <c r="T21" s="37" t="str">
        <f>"329,7653"</f>
        <v>329,7653</v>
      </c>
      <c r="U21" s="5" t="s">
        <v>445</v>
      </c>
    </row>
    <row r="23" spans="1:21" ht="15" x14ac:dyDescent="0.2">
      <c r="A23" s="44" t="s">
        <v>36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1" x14ac:dyDescent="0.2">
      <c r="A24" s="34" t="s">
        <v>447</v>
      </c>
      <c r="B24" s="5" t="s">
        <v>448</v>
      </c>
      <c r="C24" s="5" t="s">
        <v>449</v>
      </c>
      <c r="D24" s="5" t="str">
        <f>"0,9563"</f>
        <v>0,9563</v>
      </c>
      <c r="E24" s="5" t="s">
        <v>17</v>
      </c>
      <c r="F24" s="5" t="s">
        <v>40</v>
      </c>
      <c r="G24" s="6" t="s">
        <v>33</v>
      </c>
      <c r="H24" s="6" t="s">
        <v>34</v>
      </c>
      <c r="I24" s="7" t="s">
        <v>54</v>
      </c>
      <c r="J24" s="7"/>
      <c r="K24" s="6" t="s">
        <v>21</v>
      </c>
      <c r="L24" s="7" t="s">
        <v>31</v>
      </c>
      <c r="M24" s="7" t="s">
        <v>31</v>
      </c>
      <c r="N24" s="7"/>
      <c r="O24" s="6" t="s">
        <v>20</v>
      </c>
      <c r="P24" s="7" t="s">
        <v>53</v>
      </c>
      <c r="Q24" s="7" t="s">
        <v>53</v>
      </c>
      <c r="R24" s="7"/>
      <c r="S24" s="34" t="str">
        <f>"350,0"</f>
        <v>350,0</v>
      </c>
      <c r="T24" s="37" t="str">
        <f>"334,7050"</f>
        <v>334,7050</v>
      </c>
      <c r="U24" s="5" t="s">
        <v>450</v>
      </c>
    </row>
    <row r="26" spans="1:21" ht="15" x14ac:dyDescent="0.2">
      <c r="A26" s="44" t="s">
        <v>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1:21" x14ac:dyDescent="0.2">
      <c r="A27" s="32" t="s">
        <v>451</v>
      </c>
      <c r="B27" s="8" t="s">
        <v>452</v>
      </c>
      <c r="C27" s="8" t="s">
        <v>449</v>
      </c>
      <c r="D27" s="8" t="str">
        <f>"0,7173"</f>
        <v>0,7173</v>
      </c>
      <c r="E27" s="8" t="s">
        <v>17</v>
      </c>
      <c r="F27" s="8" t="s">
        <v>40</v>
      </c>
      <c r="G27" s="9" t="s">
        <v>57</v>
      </c>
      <c r="H27" s="9" t="s">
        <v>67</v>
      </c>
      <c r="I27" s="9" t="s">
        <v>41</v>
      </c>
      <c r="J27" s="10"/>
      <c r="K27" s="9" t="s">
        <v>29</v>
      </c>
      <c r="L27" s="9" t="s">
        <v>33</v>
      </c>
      <c r="M27" s="10" t="s">
        <v>93</v>
      </c>
      <c r="N27" s="10"/>
      <c r="O27" s="9" t="s">
        <v>453</v>
      </c>
      <c r="P27" s="9" t="s">
        <v>74</v>
      </c>
      <c r="Q27" s="10" t="s">
        <v>134</v>
      </c>
      <c r="R27" s="10"/>
      <c r="S27" s="32" t="str">
        <f>"540,0"</f>
        <v>540,0</v>
      </c>
      <c r="T27" s="35" t="str">
        <f>"387,3420"</f>
        <v>387,3420</v>
      </c>
      <c r="U27" s="8" t="s">
        <v>454</v>
      </c>
    </row>
    <row r="28" spans="1:21" x14ac:dyDescent="0.2">
      <c r="A28" s="33" t="s">
        <v>456</v>
      </c>
      <c r="B28" s="11" t="s">
        <v>457</v>
      </c>
      <c r="C28" s="11" t="s">
        <v>458</v>
      </c>
      <c r="D28" s="11" t="str">
        <f>"0,7293"</f>
        <v>0,7293</v>
      </c>
      <c r="E28" s="11" t="s">
        <v>17</v>
      </c>
      <c r="F28" s="11" t="s">
        <v>459</v>
      </c>
      <c r="G28" s="12" t="s">
        <v>53</v>
      </c>
      <c r="H28" s="12" t="s">
        <v>80</v>
      </c>
      <c r="I28" s="13" t="s">
        <v>82</v>
      </c>
      <c r="J28" s="13"/>
      <c r="K28" s="12" t="s">
        <v>32</v>
      </c>
      <c r="L28" s="12" t="s">
        <v>270</v>
      </c>
      <c r="M28" s="13" t="s">
        <v>81</v>
      </c>
      <c r="N28" s="13"/>
      <c r="O28" s="12" t="s">
        <v>80</v>
      </c>
      <c r="P28" s="12" t="s">
        <v>56</v>
      </c>
      <c r="Q28" s="12" t="s">
        <v>58</v>
      </c>
      <c r="R28" s="13"/>
      <c r="S28" s="33" t="str">
        <f>"425,0"</f>
        <v>425,0</v>
      </c>
      <c r="T28" s="36" t="str">
        <f>"309,9525"</f>
        <v>309,9525</v>
      </c>
      <c r="U28" s="11"/>
    </row>
    <row r="29" spans="1:21" x14ac:dyDescent="0.2">
      <c r="A29" s="24"/>
    </row>
    <row r="30" spans="1:21" ht="15" x14ac:dyDescent="0.2">
      <c r="A30" s="44" t="s">
        <v>59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1" x14ac:dyDescent="0.2">
      <c r="A31" s="32" t="s">
        <v>461</v>
      </c>
      <c r="B31" s="8" t="s">
        <v>462</v>
      </c>
      <c r="C31" s="8" t="s">
        <v>463</v>
      </c>
      <c r="D31" s="8" t="str">
        <f>"0,6769"</f>
        <v>0,6769</v>
      </c>
      <c r="E31" s="8" t="s">
        <v>17</v>
      </c>
      <c r="F31" s="8" t="s">
        <v>152</v>
      </c>
      <c r="G31" s="9" t="s">
        <v>57</v>
      </c>
      <c r="H31" s="9" t="s">
        <v>63</v>
      </c>
      <c r="I31" s="9" t="s">
        <v>64</v>
      </c>
      <c r="J31" s="10"/>
      <c r="K31" s="9" t="s">
        <v>33</v>
      </c>
      <c r="L31" s="10" t="s">
        <v>94</v>
      </c>
      <c r="M31" s="10"/>
      <c r="N31" s="10"/>
      <c r="O31" s="9" t="s">
        <v>67</v>
      </c>
      <c r="P31" s="9" t="s">
        <v>64</v>
      </c>
      <c r="Q31" s="9" t="s">
        <v>170</v>
      </c>
      <c r="R31" s="10"/>
      <c r="S31" s="32" t="str">
        <f>"552,5"</f>
        <v>552,5</v>
      </c>
      <c r="T31" s="35" t="str">
        <f>"373,9873"</f>
        <v>373,9873</v>
      </c>
      <c r="U31" s="8" t="s">
        <v>464</v>
      </c>
    </row>
    <row r="32" spans="1:21" x14ac:dyDescent="0.2">
      <c r="A32" s="33" t="s">
        <v>466</v>
      </c>
      <c r="B32" s="11" t="s">
        <v>467</v>
      </c>
      <c r="C32" s="11" t="s">
        <v>468</v>
      </c>
      <c r="D32" s="11" t="str">
        <f>"0,6719"</f>
        <v>0,6719</v>
      </c>
      <c r="E32" s="11" t="s">
        <v>17</v>
      </c>
      <c r="F32" s="11" t="s">
        <v>469</v>
      </c>
      <c r="G32" s="12" t="s">
        <v>67</v>
      </c>
      <c r="H32" s="12" t="s">
        <v>63</v>
      </c>
      <c r="I32" s="13"/>
      <c r="J32" s="13"/>
      <c r="K32" s="12" t="s">
        <v>29</v>
      </c>
      <c r="L32" s="12" t="s">
        <v>33</v>
      </c>
      <c r="M32" s="12" t="s">
        <v>20</v>
      </c>
      <c r="N32" s="13"/>
      <c r="O32" s="12" t="s">
        <v>42</v>
      </c>
      <c r="P32" s="12" t="s">
        <v>47</v>
      </c>
      <c r="Q32" s="12" t="s">
        <v>470</v>
      </c>
      <c r="R32" s="13"/>
      <c r="S32" s="33" t="str">
        <f>"532,5"</f>
        <v>532,5</v>
      </c>
      <c r="T32" s="36" t="str">
        <f>"357,7867"</f>
        <v>357,7867</v>
      </c>
      <c r="U32" s="11" t="s">
        <v>471</v>
      </c>
    </row>
    <row r="34" spans="1:21" ht="15" x14ac:dyDescent="0.2">
      <c r="A34" s="44" t="s">
        <v>96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1" x14ac:dyDescent="0.2">
      <c r="A35" s="32" t="s">
        <v>472</v>
      </c>
      <c r="B35" s="8" t="s">
        <v>473</v>
      </c>
      <c r="C35" s="8" t="s">
        <v>138</v>
      </c>
      <c r="D35" s="8" t="str">
        <f>"0,6503"</f>
        <v>0,6503</v>
      </c>
      <c r="E35" s="8" t="s">
        <v>17</v>
      </c>
      <c r="F35" s="8" t="s">
        <v>474</v>
      </c>
      <c r="G35" s="10" t="s">
        <v>58</v>
      </c>
      <c r="H35" s="10" t="s">
        <v>46</v>
      </c>
      <c r="I35" s="9" t="s">
        <v>46</v>
      </c>
      <c r="J35" s="10"/>
      <c r="K35" s="10" t="s">
        <v>66</v>
      </c>
      <c r="L35" s="9" t="s">
        <v>66</v>
      </c>
      <c r="M35" s="9" t="s">
        <v>29</v>
      </c>
      <c r="N35" s="10"/>
      <c r="O35" s="9" t="s">
        <v>41</v>
      </c>
      <c r="P35" s="9" t="s">
        <v>46</v>
      </c>
      <c r="Q35" s="10" t="s">
        <v>47</v>
      </c>
      <c r="R35" s="10"/>
      <c r="S35" s="32" t="str">
        <f>"515,0"</f>
        <v>515,0</v>
      </c>
      <c r="T35" s="35" t="str">
        <f>"334,9045"</f>
        <v>334,9045</v>
      </c>
      <c r="U35" s="8"/>
    </row>
    <row r="36" spans="1:21" x14ac:dyDescent="0.2">
      <c r="A36" s="38" t="s">
        <v>476</v>
      </c>
      <c r="B36" s="14" t="s">
        <v>477</v>
      </c>
      <c r="C36" s="14" t="s">
        <v>478</v>
      </c>
      <c r="D36" s="14" t="str">
        <f>"0,6421"</f>
        <v>0,6421</v>
      </c>
      <c r="E36" s="14" t="s">
        <v>17</v>
      </c>
      <c r="F36" s="14" t="s">
        <v>2256</v>
      </c>
      <c r="G36" s="15" t="s">
        <v>57</v>
      </c>
      <c r="H36" s="15" t="s">
        <v>67</v>
      </c>
      <c r="I36" s="15" t="s">
        <v>46</v>
      </c>
      <c r="J36" s="16"/>
      <c r="K36" s="15" t="s">
        <v>29</v>
      </c>
      <c r="L36" s="15" t="s">
        <v>34</v>
      </c>
      <c r="M36" s="16" t="s">
        <v>54</v>
      </c>
      <c r="N36" s="16"/>
      <c r="O36" s="15" t="s">
        <v>74</v>
      </c>
      <c r="P36" s="15" t="s">
        <v>108</v>
      </c>
      <c r="Q36" s="15" t="s">
        <v>126</v>
      </c>
      <c r="R36" s="16"/>
      <c r="S36" s="38" t="str">
        <f>"585,0"</f>
        <v>585,0</v>
      </c>
      <c r="T36" s="39" t="str">
        <f>"375,6285"</f>
        <v>375,6285</v>
      </c>
      <c r="U36" s="14" t="s">
        <v>2222</v>
      </c>
    </row>
    <row r="37" spans="1:21" x14ac:dyDescent="0.2">
      <c r="A37" s="38" t="s">
        <v>480</v>
      </c>
      <c r="B37" s="14" t="s">
        <v>481</v>
      </c>
      <c r="C37" s="14" t="s">
        <v>482</v>
      </c>
      <c r="D37" s="14" t="str">
        <f>"0,6440"</f>
        <v>0,6440</v>
      </c>
      <c r="E37" s="14" t="s">
        <v>17</v>
      </c>
      <c r="F37" s="14" t="s">
        <v>40</v>
      </c>
      <c r="G37" s="16" t="s">
        <v>63</v>
      </c>
      <c r="H37" s="15" t="s">
        <v>64</v>
      </c>
      <c r="I37" s="16"/>
      <c r="J37" s="16"/>
      <c r="K37" s="15" t="s">
        <v>33</v>
      </c>
      <c r="L37" s="15" t="s">
        <v>34</v>
      </c>
      <c r="M37" s="15" t="s">
        <v>53</v>
      </c>
      <c r="N37" s="16"/>
      <c r="O37" s="15" t="s">
        <v>63</v>
      </c>
      <c r="P37" s="16" t="s">
        <v>64</v>
      </c>
      <c r="Q37" s="16" t="s">
        <v>64</v>
      </c>
      <c r="R37" s="16"/>
      <c r="S37" s="38" t="str">
        <f>"535,0"</f>
        <v>535,0</v>
      </c>
      <c r="T37" s="39" t="str">
        <f>"344,5400"</f>
        <v>344,5400</v>
      </c>
      <c r="U37" s="14" t="s">
        <v>2223</v>
      </c>
    </row>
    <row r="38" spans="1:21" x14ac:dyDescent="0.2">
      <c r="A38" s="38" t="s">
        <v>483</v>
      </c>
      <c r="B38" s="14" t="s">
        <v>484</v>
      </c>
      <c r="C38" s="14" t="s">
        <v>485</v>
      </c>
      <c r="D38" s="14" t="str">
        <f>"0,6436"</f>
        <v>0,6436</v>
      </c>
      <c r="E38" s="14" t="s">
        <v>17</v>
      </c>
      <c r="F38" s="14" t="s">
        <v>486</v>
      </c>
      <c r="G38" s="16" t="s">
        <v>34</v>
      </c>
      <c r="H38" s="16" t="s">
        <v>34</v>
      </c>
      <c r="I38" s="16" t="s">
        <v>34</v>
      </c>
      <c r="J38" s="16"/>
      <c r="K38" s="16"/>
      <c r="L38" s="16"/>
      <c r="M38" s="16"/>
      <c r="N38" s="16"/>
      <c r="O38" s="16"/>
      <c r="P38" s="16"/>
      <c r="Q38" s="16"/>
      <c r="R38" s="16"/>
      <c r="S38" s="38" t="str">
        <f>"0.00"</f>
        <v>0.00</v>
      </c>
      <c r="T38" s="39" t="str">
        <f>"0,0000"</f>
        <v>0,0000</v>
      </c>
      <c r="U38" s="14"/>
    </row>
    <row r="39" spans="1:21" x14ac:dyDescent="0.2">
      <c r="A39" s="33" t="s">
        <v>487</v>
      </c>
      <c r="B39" s="11" t="s">
        <v>488</v>
      </c>
      <c r="C39" s="11" t="s">
        <v>132</v>
      </c>
      <c r="D39" s="11" t="str">
        <f>"0,6507"</f>
        <v>0,6507</v>
      </c>
      <c r="E39" s="11" t="s">
        <v>17</v>
      </c>
      <c r="F39" s="11" t="s">
        <v>489</v>
      </c>
      <c r="G39" s="13" t="s">
        <v>64</v>
      </c>
      <c r="H39" s="13" t="s">
        <v>64</v>
      </c>
      <c r="I39" s="12" t="s">
        <v>64</v>
      </c>
      <c r="J39" s="13"/>
      <c r="K39" s="12" t="s">
        <v>21</v>
      </c>
      <c r="L39" s="12" t="s">
        <v>31</v>
      </c>
      <c r="M39" s="13" t="s">
        <v>269</v>
      </c>
      <c r="N39" s="13"/>
      <c r="O39" s="12" t="s">
        <v>63</v>
      </c>
      <c r="P39" s="12" t="s">
        <v>64</v>
      </c>
      <c r="Q39" s="13" t="s">
        <v>470</v>
      </c>
      <c r="R39" s="13"/>
      <c r="S39" s="33" t="str">
        <f>"480,0"</f>
        <v>480,0</v>
      </c>
      <c r="T39" s="36" t="str">
        <f>"525,0368"</f>
        <v>525,0368</v>
      </c>
      <c r="U39" s="11" t="s">
        <v>2227</v>
      </c>
    </row>
    <row r="41" spans="1:21" ht="15" x14ac:dyDescent="0.2">
      <c r="A41" s="44" t="s">
        <v>139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1:21" x14ac:dyDescent="0.2">
      <c r="A42" s="32" t="s">
        <v>491</v>
      </c>
      <c r="B42" s="8" t="s">
        <v>492</v>
      </c>
      <c r="C42" s="8" t="s">
        <v>493</v>
      </c>
      <c r="D42" s="8" t="str">
        <f>"0,6183"</f>
        <v>0,6183</v>
      </c>
      <c r="E42" s="8" t="s">
        <v>17</v>
      </c>
      <c r="F42" s="8" t="s">
        <v>590</v>
      </c>
      <c r="G42" s="9" t="s">
        <v>116</v>
      </c>
      <c r="H42" s="10" t="s">
        <v>126</v>
      </c>
      <c r="I42" s="9" t="s">
        <v>126</v>
      </c>
      <c r="J42" s="10"/>
      <c r="K42" s="9" t="s">
        <v>33</v>
      </c>
      <c r="L42" s="9" t="s">
        <v>34</v>
      </c>
      <c r="M42" s="10" t="s">
        <v>54</v>
      </c>
      <c r="N42" s="10"/>
      <c r="O42" s="9" t="s">
        <v>153</v>
      </c>
      <c r="P42" s="10" t="s">
        <v>106</v>
      </c>
      <c r="Q42" s="10" t="s">
        <v>106</v>
      </c>
      <c r="R42" s="10"/>
      <c r="S42" s="32" t="str">
        <f>"670,0"</f>
        <v>670,0</v>
      </c>
      <c r="T42" s="35" t="str">
        <f>"414,2610"</f>
        <v>414,2610</v>
      </c>
      <c r="U42" s="8" t="s">
        <v>2224</v>
      </c>
    </row>
    <row r="43" spans="1:21" x14ac:dyDescent="0.2">
      <c r="A43" s="33" t="s">
        <v>495</v>
      </c>
      <c r="B43" s="11" t="s">
        <v>496</v>
      </c>
      <c r="C43" s="11" t="s">
        <v>497</v>
      </c>
      <c r="D43" s="11" t="str">
        <f>"0,6172"</f>
        <v>0,6172</v>
      </c>
      <c r="E43" s="11" t="s">
        <v>17</v>
      </c>
      <c r="F43" s="11" t="s">
        <v>498</v>
      </c>
      <c r="G43" s="12" t="s">
        <v>116</v>
      </c>
      <c r="H43" s="13" t="s">
        <v>126</v>
      </c>
      <c r="I43" s="12" t="s">
        <v>126</v>
      </c>
      <c r="J43" s="13"/>
      <c r="K43" s="12" t="s">
        <v>67</v>
      </c>
      <c r="L43" s="12" t="s">
        <v>63</v>
      </c>
      <c r="M43" s="13" t="s">
        <v>46</v>
      </c>
      <c r="N43" s="13"/>
      <c r="O43" s="13" t="s">
        <v>134</v>
      </c>
      <c r="P43" s="13" t="s">
        <v>134</v>
      </c>
      <c r="Q43" s="12" t="s">
        <v>134</v>
      </c>
      <c r="R43" s="13"/>
      <c r="S43" s="33" t="str">
        <f>"670,0"</f>
        <v>670,0</v>
      </c>
      <c r="T43" s="36" t="str">
        <f>"413,5240"</f>
        <v>413,5240</v>
      </c>
      <c r="U43" s="11" t="s">
        <v>2225</v>
      </c>
    </row>
    <row r="45" spans="1:21" ht="15" x14ac:dyDescent="0.2">
      <c r="A45" s="44" t="s">
        <v>175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1:21" x14ac:dyDescent="0.2">
      <c r="A46" s="32" t="s">
        <v>500</v>
      </c>
      <c r="B46" s="8" t="s">
        <v>501</v>
      </c>
      <c r="C46" s="8" t="s">
        <v>333</v>
      </c>
      <c r="D46" s="8" t="str">
        <f>"0,5909"</f>
        <v>0,5909</v>
      </c>
      <c r="E46" s="8" t="s">
        <v>17</v>
      </c>
      <c r="F46" s="8" t="s">
        <v>502</v>
      </c>
      <c r="G46" s="9" t="s">
        <v>118</v>
      </c>
      <c r="H46" s="9" t="s">
        <v>153</v>
      </c>
      <c r="I46" s="10" t="s">
        <v>288</v>
      </c>
      <c r="J46" s="10"/>
      <c r="K46" s="9" t="s">
        <v>57</v>
      </c>
      <c r="L46" s="10" t="s">
        <v>67</v>
      </c>
      <c r="M46" s="9" t="s">
        <v>67</v>
      </c>
      <c r="N46" s="10"/>
      <c r="O46" s="9" t="s">
        <v>118</v>
      </c>
      <c r="P46" s="9" t="s">
        <v>105</v>
      </c>
      <c r="Q46" s="10" t="s">
        <v>120</v>
      </c>
      <c r="R46" s="10"/>
      <c r="S46" s="32" t="str">
        <f>"730,0"</f>
        <v>730,0</v>
      </c>
      <c r="T46" s="35" t="str">
        <f>"431,3570"</f>
        <v>431,3570</v>
      </c>
      <c r="U46" s="8" t="s">
        <v>503</v>
      </c>
    </row>
    <row r="47" spans="1:21" x14ac:dyDescent="0.2">
      <c r="A47" s="38" t="s">
        <v>500</v>
      </c>
      <c r="B47" s="14" t="s">
        <v>504</v>
      </c>
      <c r="C47" s="14" t="s">
        <v>333</v>
      </c>
      <c r="D47" s="14" t="str">
        <f>"0,5909"</f>
        <v>0,5909</v>
      </c>
      <c r="E47" s="14" t="s">
        <v>17</v>
      </c>
      <c r="F47" s="14" t="s">
        <v>502</v>
      </c>
      <c r="G47" s="15" t="s">
        <v>118</v>
      </c>
      <c r="H47" s="15" t="s">
        <v>153</v>
      </c>
      <c r="I47" s="16" t="s">
        <v>288</v>
      </c>
      <c r="J47" s="16"/>
      <c r="K47" s="15" t="s">
        <v>57</v>
      </c>
      <c r="L47" s="16" t="s">
        <v>67</v>
      </c>
      <c r="M47" s="15" t="s">
        <v>67</v>
      </c>
      <c r="N47" s="16"/>
      <c r="O47" s="15" t="s">
        <v>118</v>
      </c>
      <c r="P47" s="15" t="s">
        <v>105</v>
      </c>
      <c r="Q47" s="16" t="s">
        <v>120</v>
      </c>
      <c r="R47" s="16"/>
      <c r="S47" s="38" t="str">
        <f>"730,0"</f>
        <v>730,0</v>
      </c>
      <c r="T47" s="39" t="str">
        <f>"435,6706"</f>
        <v>435,6706</v>
      </c>
      <c r="U47" s="14" t="s">
        <v>503</v>
      </c>
    </row>
    <row r="48" spans="1:21" x14ac:dyDescent="0.2">
      <c r="A48" s="38" t="s">
        <v>505</v>
      </c>
      <c r="B48" s="14" t="s">
        <v>506</v>
      </c>
      <c r="C48" s="14" t="s">
        <v>507</v>
      </c>
      <c r="D48" s="14" t="str">
        <f>"0,5910"</f>
        <v>0,5910</v>
      </c>
      <c r="E48" s="14" t="s">
        <v>17</v>
      </c>
      <c r="F48" s="14" t="s">
        <v>474</v>
      </c>
      <c r="G48" s="15" t="s">
        <v>134</v>
      </c>
      <c r="H48" s="15" t="s">
        <v>318</v>
      </c>
      <c r="I48" s="15" t="s">
        <v>109</v>
      </c>
      <c r="J48" s="16"/>
      <c r="K48" s="15" t="s">
        <v>53</v>
      </c>
      <c r="L48" s="15" t="s">
        <v>80</v>
      </c>
      <c r="M48" s="16" t="s">
        <v>82</v>
      </c>
      <c r="N48" s="16"/>
      <c r="O48" s="15" t="s">
        <v>73</v>
      </c>
      <c r="P48" s="15" t="s">
        <v>116</v>
      </c>
      <c r="Q48" s="16" t="s">
        <v>508</v>
      </c>
      <c r="R48" s="16"/>
      <c r="S48" s="38" t="str">
        <f>"650,0"</f>
        <v>650,0</v>
      </c>
      <c r="T48" s="39" t="str">
        <f>"400,6685"</f>
        <v>400,6685</v>
      </c>
      <c r="U48" s="14" t="s">
        <v>509</v>
      </c>
    </row>
    <row r="49" spans="1:21" x14ac:dyDescent="0.2">
      <c r="A49" s="33" t="s">
        <v>511</v>
      </c>
      <c r="B49" s="11" t="s">
        <v>512</v>
      </c>
      <c r="C49" s="11" t="s">
        <v>513</v>
      </c>
      <c r="D49" s="11" t="str">
        <f>"0,5960"</f>
        <v>0,5960</v>
      </c>
      <c r="E49" s="11" t="s">
        <v>17</v>
      </c>
      <c r="F49" s="11" t="s">
        <v>514</v>
      </c>
      <c r="G49" s="12" t="s">
        <v>65</v>
      </c>
      <c r="H49" s="12" t="s">
        <v>73</v>
      </c>
      <c r="I49" s="12" t="s">
        <v>170</v>
      </c>
      <c r="J49" s="13"/>
      <c r="K49" s="12" t="s">
        <v>20</v>
      </c>
      <c r="L49" s="12" t="s">
        <v>515</v>
      </c>
      <c r="M49" s="12" t="s">
        <v>53</v>
      </c>
      <c r="N49" s="13"/>
      <c r="O49" s="12" t="s">
        <v>64</v>
      </c>
      <c r="P49" s="12" t="s">
        <v>65</v>
      </c>
      <c r="Q49" s="12" t="s">
        <v>48</v>
      </c>
      <c r="R49" s="13"/>
      <c r="S49" s="33" t="str">
        <f>"582,5"</f>
        <v>582,5</v>
      </c>
      <c r="T49" s="36" t="str">
        <f>"440,2116"</f>
        <v>440,2116</v>
      </c>
      <c r="U49" s="11"/>
    </row>
    <row r="50" spans="1:21" x14ac:dyDescent="0.2">
      <c r="A50" s="24"/>
    </row>
    <row r="51" spans="1:21" ht="15" x14ac:dyDescent="0.2">
      <c r="E51" s="17" t="s">
        <v>206</v>
      </c>
    </row>
    <row r="52" spans="1:21" ht="15" x14ac:dyDescent="0.2">
      <c r="E52" s="17" t="s">
        <v>207</v>
      </c>
    </row>
    <row r="53" spans="1:21" ht="15" x14ac:dyDescent="0.2">
      <c r="E53" s="17" t="s">
        <v>208</v>
      </c>
    </row>
    <row r="54" spans="1:21" ht="15" x14ac:dyDescent="0.2">
      <c r="E54" s="17" t="s">
        <v>209</v>
      </c>
    </row>
    <row r="55" spans="1:21" ht="15" x14ac:dyDescent="0.2">
      <c r="E55" s="17" t="s">
        <v>209</v>
      </c>
    </row>
    <row r="56" spans="1:21" ht="15" x14ac:dyDescent="0.2">
      <c r="E56" s="17" t="s">
        <v>210</v>
      </c>
    </row>
    <row r="57" spans="1:21" ht="15" x14ac:dyDescent="0.2">
      <c r="E57" s="17"/>
    </row>
    <row r="59" spans="1:21" ht="18" x14ac:dyDescent="0.25">
      <c r="A59" s="18" t="s">
        <v>211</v>
      </c>
      <c r="B59" s="18"/>
    </row>
    <row r="60" spans="1:21" ht="15" x14ac:dyDescent="0.2">
      <c r="A60" s="19" t="s">
        <v>212</v>
      </c>
      <c r="B60" s="19"/>
    </row>
    <row r="61" spans="1:21" ht="14.25" x14ac:dyDescent="0.2">
      <c r="A61" s="21"/>
      <c r="B61" s="22" t="s">
        <v>220</v>
      </c>
    </row>
    <row r="62" spans="1:21" ht="15" x14ac:dyDescent="0.2">
      <c r="A62" s="23" t="s">
        <v>213</v>
      </c>
      <c r="B62" s="23" t="s">
        <v>214</v>
      </c>
      <c r="C62" s="23" t="s">
        <v>215</v>
      </c>
      <c r="D62" s="23" t="s">
        <v>216</v>
      </c>
      <c r="E62" s="23" t="s">
        <v>217</v>
      </c>
    </row>
    <row r="63" spans="1:21" x14ac:dyDescent="0.2">
      <c r="A63" s="20" t="s">
        <v>426</v>
      </c>
      <c r="B63" s="4" t="s">
        <v>220</v>
      </c>
      <c r="C63" s="4" t="s">
        <v>517</v>
      </c>
      <c r="D63" s="4" t="s">
        <v>518</v>
      </c>
      <c r="E63" s="24" t="s">
        <v>519</v>
      </c>
    </row>
    <row r="64" spans="1:21" x14ac:dyDescent="0.2">
      <c r="A64" s="20" t="s">
        <v>403</v>
      </c>
      <c r="B64" s="4" t="s">
        <v>220</v>
      </c>
      <c r="C64" s="4" t="s">
        <v>520</v>
      </c>
      <c r="D64" s="4" t="s">
        <v>145</v>
      </c>
      <c r="E64" s="24" t="s">
        <v>521</v>
      </c>
    </row>
    <row r="65" spans="1:5" x14ac:dyDescent="0.2">
      <c r="A65" s="20" t="s">
        <v>446</v>
      </c>
      <c r="B65" s="4" t="s">
        <v>220</v>
      </c>
      <c r="C65" s="4" t="s">
        <v>221</v>
      </c>
      <c r="D65" s="4" t="s">
        <v>191</v>
      </c>
      <c r="E65" s="24" t="s">
        <v>522</v>
      </c>
    </row>
    <row r="66" spans="1:5" x14ac:dyDescent="0.2">
      <c r="A66" s="20" t="s">
        <v>411</v>
      </c>
      <c r="B66" s="4" t="s">
        <v>220</v>
      </c>
      <c r="C66" s="4" t="s">
        <v>520</v>
      </c>
      <c r="D66" s="4" t="s">
        <v>508</v>
      </c>
      <c r="E66" s="24" t="s">
        <v>523</v>
      </c>
    </row>
    <row r="67" spans="1:5" x14ac:dyDescent="0.2">
      <c r="A67" s="20" t="s">
        <v>434</v>
      </c>
      <c r="B67" s="4" t="s">
        <v>220</v>
      </c>
      <c r="C67" s="4" t="s">
        <v>517</v>
      </c>
      <c r="D67" s="4" t="s">
        <v>524</v>
      </c>
      <c r="E67" s="24" t="s">
        <v>525</v>
      </c>
    </row>
    <row r="68" spans="1:5" x14ac:dyDescent="0.2">
      <c r="A68" s="20" t="s">
        <v>393</v>
      </c>
      <c r="B68" s="4" t="s">
        <v>220</v>
      </c>
      <c r="C68" s="4" t="s">
        <v>526</v>
      </c>
      <c r="D68" s="4" t="s">
        <v>170</v>
      </c>
      <c r="E68" s="24" t="s">
        <v>527</v>
      </c>
    </row>
    <row r="69" spans="1:5" x14ac:dyDescent="0.2">
      <c r="A69" s="20" t="s">
        <v>419</v>
      </c>
      <c r="B69" s="4" t="s">
        <v>220</v>
      </c>
      <c r="C69" s="4" t="s">
        <v>520</v>
      </c>
      <c r="D69" s="4" t="s">
        <v>528</v>
      </c>
      <c r="E69" s="24" t="s">
        <v>529</v>
      </c>
    </row>
    <row r="72" spans="1:5" ht="15" x14ac:dyDescent="0.2">
      <c r="A72" s="19" t="s">
        <v>226</v>
      </c>
      <c r="B72" s="19"/>
    </row>
    <row r="73" spans="1:5" ht="14.25" x14ac:dyDescent="0.2">
      <c r="A73" s="21"/>
      <c r="B73" s="22" t="s">
        <v>220</v>
      </c>
    </row>
    <row r="74" spans="1:5" ht="15" x14ac:dyDescent="0.2">
      <c r="A74" s="23" t="s">
        <v>213</v>
      </c>
      <c r="B74" s="23" t="s">
        <v>214</v>
      </c>
      <c r="C74" s="23" t="s">
        <v>215</v>
      </c>
      <c r="D74" s="23" t="s">
        <v>216</v>
      </c>
      <c r="E74" s="23" t="s">
        <v>217</v>
      </c>
    </row>
    <row r="75" spans="1:5" x14ac:dyDescent="0.2">
      <c r="A75" s="20" t="s">
        <v>499</v>
      </c>
      <c r="B75" s="4" t="s">
        <v>220</v>
      </c>
      <c r="C75" s="4" t="s">
        <v>235</v>
      </c>
      <c r="D75" s="4" t="s">
        <v>240</v>
      </c>
      <c r="E75" s="24" t="s">
        <v>530</v>
      </c>
    </row>
    <row r="76" spans="1:5" x14ac:dyDescent="0.2">
      <c r="A76" s="20" t="s">
        <v>490</v>
      </c>
      <c r="B76" s="4" t="s">
        <v>220</v>
      </c>
      <c r="C76" s="4" t="s">
        <v>231</v>
      </c>
      <c r="D76" s="4" t="s">
        <v>249</v>
      </c>
      <c r="E76" s="24" t="s">
        <v>531</v>
      </c>
    </row>
    <row r="77" spans="1:5" x14ac:dyDescent="0.2">
      <c r="A77" s="20" t="s">
        <v>494</v>
      </c>
      <c r="B77" s="4" t="s">
        <v>220</v>
      </c>
      <c r="C77" s="4" t="s">
        <v>231</v>
      </c>
      <c r="D77" s="4" t="s">
        <v>249</v>
      </c>
      <c r="E77" s="24" t="s">
        <v>532</v>
      </c>
    </row>
    <row r="78" spans="1:5" x14ac:dyDescent="0.2">
      <c r="A78" s="20" t="s">
        <v>475</v>
      </c>
      <c r="B78" s="4" t="s">
        <v>220</v>
      </c>
      <c r="C78" s="4" t="s">
        <v>229</v>
      </c>
      <c r="D78" s="4" t="s">
        <v>533</v>
      </c>
      <c r="E78" s="24" t="s">
        <v>534</v>
      </c>
    </row>
    <row r="79" spans="1:5" x14ac:dyDescent="0.2">
      <c r="A79" s="20" t="s">
        <v>460</v>
      </c>
      <c r="B79" s="4" t="s">
        <v>220</v>
      </c>
      <c r="C79" s="4" t="s">
        <v>219</v>
      </c>
      <c r="D79" s="4" t="s">
        <v>535</v>
      </c>
      <c r="E79" s="24" t="s">
        <v>536</v>
      </c>
    </row>
    <row r="80" spans="1:5" x14ac:dyDescent="0.2">
      <c r="A80" s="20" t="s">
        <v>465</v>
      </c>
      <c r="B80" s="4" t="s">
        <v>220</v>
      </c>
      <c r="C80" s="4" t="s">
        <v>219</v>
      </c>
      <c r="D80" s="4" t="s">
        <v>537</v>
      </c>
      <c r="E80" s="24" t="s">
        <v>538</v>
      </c>
    </row>
    <row r="81" spans="1:5" x14ac:dyDescent="0.2">
      <c r="A81" s="20" t="s">
        <v>479</v>
      </c>
      <c r="B81" s="4" t="s">
        <v>220</v>
      </c>
      <c r="C81" s="4" t="s">
        <v>229</v>
      </c>
      <c r="D81" s="4" t="s">
        <v>539</v>
      </c>
      <c r="E81" s="24" t="s">
        <v>540</v>
      </c>
    </row>
    <row r="82" spans="1:5" x14ac:dyDescent="0.2">
      <c r="A82" s="20" t="s">
        <v>455</v>
      </c>
      <c r="B82" s="4" t="s">
        <v>220</v>
      </c>
      <c r="C82" s="4" t="s">
        <v>221</v>
      </c>
      <c r="D82" s="4" t="s">
        <v>541</v>
      </c>
      <c r="E82" s="24" t="s">
        <v>542</v>
      </c>
    </row>
  </sheetData>
  <mergeCells count="24">
    <mergeCell ref="A13:T13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  <mergeCell ref="A41:T41"/>
    <mergeCell ref="A45:T45"/>
    <mergeCell ref="A17:T17"/>
    <mergeCell ref="A20:T20"/>
    <mergeCell ref="A23:T23"/>
    <mergeCell ref="A26:T26"/>
    <mergeCell ref="A30:T30"/>
    <mergeCell ref="A34:T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4" style="4" bestFit="1" customWidth="1"/>
    <col min="22" max="16384" width="9.140625" style="3"/>
  </cols>
  <sheetData>
    <row r="1" spans="1:21" s="2" customFormat="1" ht="29.1" customHeight="1" x14ac:dyDescent="0.2">
      <c r="A1" s="50" t="s">
        <v>2243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7" t="s">
        <v>2</v>
      </c>
    </row>
    <row r="4" spans="1:21" s="1" customFormat="1" ht="30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30">
        <v>1</v>
      </c>
      <c r="L4" s="30">
        <v>2</v>
      </c>
      <c r="M4" s="30">
        <v>3</v>
      </c>
      <c r="N4" s="30" t="s">
        <v>5</v>
      </c>
      <c r="O4" s="30">
        <v>1</v>
      </c>
      <c r="P4" s="30">
        <v>2</v>
      </c>
      <c r="Q4" s="30">
        <v>3</v>
      </c>
      <c r="R4" s="30" t="s">
        <v>5</v>
      </c>
      <c r="S4" s="46"/>
      <c r="T4" s="46"/>
      <c r="U4" s="48"/>
    </row>
    <row r="5" spans="1:21" ht="15" x14ac:dyDescent="0.2">
      <c r="A5" s="49" t="s">
        <v>59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 x14ac:dyDescent="0.2">
      <c r="A6" s="34" t="s">
        <v>738</v>
      </c>
      <c r="B6" s="5" t="s">
        <v>739</v>
      </c>
      <c r="C6" s="5" t="s">
        <v>740</v>
      </c>
      <c r="D6" s="5" t="str">
        <f>"0,6714"</f>
        <v>0,6714</v>
      </c>
      <c r="E6" s="5" t="s">
        <v>17</v>
      </c>
      <c r="F6" s="5" t="s">
        <v>40</v>
      </c>
      <c r="G6" s="6" t="s">
        <v>134</v>
      </c>
      <c r="H6" s="6" t="s">
        <v>303</v>
      </c>
      <c r="I6" s="7" t="s">
        <v>714</v>
      </c>
      <c r="J6" s="7"/>
      <c r="K6" s="7" t="s">
        <v>53</v>
      </c>
      <c r="L6" s="7" t="s">
        <v>53</v>
      </c>
      <c r="M6" s="7" t="s">
        <v>53</v>
      </c>
      <c r="N6" s="7"/>
      <c r="O6" s="7" t="s">
        <v>64</v>
      </c>
      <c r="P6" s="7"/>
      <c r="Q6" s="7"/>
      <c r="R6" s="7"/>
      <c r="S6" s="34" t="str">
        <f>"0.00"</f>
        <v>0.00</v>
      </c>
      <c r="T6" s="37" t="str">
        <f>"0,0000"</f>
        <v>0,0000</v>
      </c>
      <c r="U6" s="5" t="s">
        <v>741</v>
      </c>
    </row>
    <row r="8" spans="1:21" ht="15" x14ac:dyDescent="0.2">
      <c r="A8" s="44" t="s">
        <v>96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x14ac:dyDescent="0.2">
      <c r="A9" s="34" t="s">
        <v>742</v>
      </c>
      <c r="B9" s="5" t="s">
        <v>743</v>
      </c>
      <c r="C9" s="5" t="s">
        <v>744</v>
      </c>
      <c r="D9" s="5" t="str">
        <f>"0,6647"</f>
        <v>0,6647</v>
      </c>
      <c r="E9" s="5" t="s">
        <v>17</v>
      </c>
      <c r="F9" s="5" t="s">
        <v>40</v>
      </c>
      <c r="G9" s="6" t="s">
        <v>57</v>
      </c>
      <c r="H9" s="6" t="s">
        <v>67</v>
      </c>
      <c r="I9" s="7" t="s">
        <v>63</v>
      </c>
      <c r="J9" s="7"/>
      <c r="K9" s="7" t="s">
        <v>34</v>
      </c>
      <c r="L9" s="6" t="s">
        <v>34</v>
      </c>
      <c r="M9" s="7" t="s">
        <v>54</v>
      </c>
      <c r="N9" s="7"/>
      <c r="O9" s="6" t="s">
        <v>67</v>
      </c>
      <c r="P9" s="6" t="s">
        <v>64</v>
      </c>
      <c r="Q9" s="7" t="s">
        <v>65</v>
      </c>
      <c r="R9" s="7"/>
      <c r="S9" s="34" t="str">
        <f>"520,0"</f>
        <v>520,0</v>
      </c>
      <c r="T9" s="37" t="str">
        <f>"373,9868"</f>
        <v>373,9868</v>
      </c>
      <c r="U9" s="5" t="s">
        <v>386</v>
      </c>
    </row>
    <row r="11" spans="1:21" ht="15" x14ac:dyDescent="0.2">
      <c r="E11" s="17" t="s">
        <v>206</v>
      </c>
    </row>
    <row r="12" spans="1:21" ht="15" x14ac:dyDescent="0.2">
      <c r="E12" s="17" t="s">
        <v>207</v>
      </c>
    </row>
    <row r="13" spans="1:21" ht="15" x14ac:dyDescent="0.2">
      <c r="E13" s="17" t="s">
        <v>208</v>
      </c>
    </row>
    <row r="14" spans="1:21" ht="15" x14ac:dyDescent="0.2">
      <c r="E14" s="17" t="s">
        <v>209</v>
      </c>
    </row>
    <row r="15" spans="1:21" ht="15" x14ac:dyDescent="0.2">
      <c r="E15" s="17" t="s">
        <v>209</v>
      </c>
    </row>
    <row r="16" spans="1:21" ht="15" x14ac:dyDescent="0.2">
      <c r="E16" s="17" t="s">
        <v>210</v>
      </c>
    </row>
    <row r="17" spans="5:5" ht="15" x14ac:dyDescent="0.2">
      <c r="E17" s="17"/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710937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4" style="4" bestFit="1" customWidth="1"/>
    <col min="22" max="16384" width="9.140625" style="3"/>
  </cols>
  <sheetData>
    <row r="1" spans="1:21" s="2" customFormat="1" ht="29.1" customHeight="1" x14ac:dyDescent="0.2">
      <c r="A1" s="50" t="s">
        <v>2244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7" t="s">
        <v>2</v>
      </c>
    </row>
    <row r="4" spans="1:21" s="1" customFormat="1" ht="30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30">
        <v>1</v>
      </c>
      <c r="L4" s="30">
        <v>2</v>
      </c>
      <c r="M4" s="30">
        <v>3</v>
      </c>
      <c r="N4" s="30" t="s">
        <v>5</v>
      </c>
      <c r="O4" s="30">
        <v>1</v>
      </c>
      <c r="P4" s="30">
        <v>2</v>
      </c>
      <c r="Q4" s="30">
        <v>3</v>
      </c>
      <c r="R4" s="30" t="s">
        <v>5</v>
      </c>
      <c r="S4" s="46"/>
      <c r="T4" s="46"/>
      <c r="U4" s="48"/>
    </row>
    <row r="5" spans="1:21" ht="15" x14ac:dyDescent="0.2">
      <c r="A5" s="49" t="s">
        <v>96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 x14ac:dyDescent="0.2">
      <c r="A6" s="34" t="s">
        <v>382</v>
      </c>
      <c r="B6" s="5" t="s">
        <v>383</v>
      </c>
      <c r="C6" s="5" t="s">
        <v>384</v>
      </c>
      <c r="D6" s="5" t="str">
        <f>"0,6487"</f>
        <v>0,6487</v>
      </c>
      <c r="E6" s="5" t="s">
        <v>17</v>
      </c>
      <c r="F6" s="5" t="s">
        <v>40</v>
      </c>
      <c r="G6" s="7" t="s">
        <v>67</v>
      </c>
      <c r="H6" s="7" t="s">
        <v>67</v>
      </c>
      <c r="I6" s="6" t="s">
        <v>67</v>
      </c>
      <c r="J6" s="7"/>
      <c r="K6" s="6" t="s">
        <v>57</v>
      </c>
      <c r="L6" s="6" t="s">
        <v>385</v>
      </c>
      <c r="M6" s="6" t="s">
        <v>46</v>
      </c>
      <c r="N6" s="7"/>
      <c r="O6" s="6" t="s">
        <v>64</v>
      </c>
      <c r="P6" s="7" t="s">
        <v>65</v>
      </c>
      <c r="Q6" s="7" t="s">
        <v>65</v>
      </c>
      <c r="R6" s="7"/>
      <c r="S6" s="34" t="str">
        <f>"575,0"</f>
        <v>575,0</v>
      </c>
      <c r="T6" s="37" t="str">
        <f>"373,0025"</f>
        <v>373,0025</v>
      </c>
      <c r="U6" s="5" t="s">
        <v>386</v>
      </c>
    </row>
    <row r="8" spans="1:21" ht="15" x14ac:dyDescent="0.2">
      <c r="A8" s="44" t="s">
        <v>139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x14ac:dyDescent="0.2">
      <c r="A9" s="34" t="s">
        <v>387</v>
      </c>
      <c r="B9" s="5" t="s">
        <v>388</v>
      </c>
      <c r="C9" s="5" t="s">
        <v>389</v>
      </c>
      <c r="D9" s="5" t="str">
        <f>"0,6301"</f>
        <v>0,6301</v>
      </c>
      <c r="E9" s="5" t="s">
        <v>17</v>
      </c>
      <c r="F9" s="5" t="s">
        <v>390</v>
      </c>
      <c r="G9" s="6" t="s">
        <v>57</v>
      </c>
      <c r="H9" s="6" t="s">
        <v>67</v>
      </c>
      <c r="I9" s="7" t="s">
        <v>41</v>
      </c>
      <c r="J9" s="7"/>
      <c r="K9" s="6" t="s">
        <v>34</v>
      </c>
      <c r="L9" s="7" t="s">
        <v>54</v>
      </c>
      <c r="M9" s="7" t="s">
        <v>54</v>
      </c>
      <c r="N9" s="7"/>
      <c r="O9" s="6" t="s">
        <v>67</v>
      </c>
      <c r="P9" s="6" t="s">
        <v>73</v>
      </c>
      <c r="Q9" s="7" t="s">
        <v>126</v>
      </c>
      <c r="R9" s="7"/>
      <c r="S9" s="34" t="str">
        <f>"540,0"</f>
        <v>540,0</v>
      </c>
      <c r="T9" s="37" t="str">
        <f>"431,4421"</f>
        <v>431,4421</v>
      </c>
      <c r="U9" s="5" t="s">
        <v>158</v>
      </c>
    </row>
    <row r="11" spans="1:21" ht="15" x14ac:dyDescent="0.2">
      <c r="E11" s="17" t="s">
        <v>206</v>
      </c>
    </row>
    <row r="12" spans="1:21" ht="15" x14ac:dyDescent="0.2">
      <c r="E12" s="17" t="s">
        <v>207</v>
      </c>
    </row>
    <row r="13" spans="1:21" ht="15" x14ac:dyDescent="0.2">
      <c r="E13" s="17" t="s">
        <v>208</v>
      </c>
    </row>
    <row r="14" spans="1:21" ht="15" x14ac:dyDescent="0.2">
      <c r="E14" s="17" t="s">
        <v>209</v>
      </c>
    </row>
    <row r="15" spans="1:21" ht="15" x14ac:dyDescent="0.2">
      <c r="E15" s="17" t="s">
        <v>209</v>
      </c>
    </row>
    <row r="16" spans="1:21" ht="15" x14ac:dyDescent="0.2">
      <c r="E16" s="17" t="s">
        <v>210</v>
      </c>
    </row>
    <row r="17" spans="5:5" ht="15" x14ac:dyDescent="0.2">
      <c r="E17" s="17"/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2"/>
  <sheetViews>
    <sheetView topLeftCell="A130" workbookViewId="0">
      <selection activeCell="F145" sqref="F145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7.285156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28" style="4" bestFit="1" customWidth="1"/>
    <col min="14" max="16384" width="9.140625" style="3"/>
  </cols>
  <sheetData>
    <row r="1" spans="1:13" s="2" customFormat="1" ht="29.1" customHeight="1" x14ac:dyDescent="0.2">
      <c r="A1" s="50" t="s">
        <v>2245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11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30.7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392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2" t="s">
        <v>1014</v>
      </c>
      <c r="B6" s="8" t="s">
        <v>1015</v>
      </c>
      <c r="C6" s="8" t="s">
        <v>1016</v>
      </c>
      <c r="D6" s="8" t="str">
        <f>"1,3511"</f>
        <v>1,3511</v>
      </c>
      <c r="E6" s="8" t="s">
        <v>17</v>
      </c>
      <c r="F6" s="8" t="s">
        <v>40</v>
      </c>
      <c r="G6" s="10" t="s">
        <v>431</v>
      </c>
      <c r="H6" s="9" t="s">
        <v>431</v>
      </c>
      <c r="I6" s="9" t="s">
        <v>432</v>
      </c>
      <c r="J6" s="10"/>
      <c r="K6" s="32" t="str">
        <f>"55,0"</f>
        <v>55,0</v>
      </c>
      <c r="L6" s="35" t="str">
        <f>"74,3105"</f>
        <v>74,3105</v>
      </c>
      <c r="M6" s="8" t="s">
        <v>2213</v>
      </c>
    </row>
    <row r="7" spans="1:13" x14ac:dyDescent="0.2">
      <c r="A7" s="38" t="s">
        <v>1018</v>
      </c>
      <c r="B7" s="14" t="s">
        <v>1019</v>
      </c>
      <c r="C7" s="14" t="s">
        <v>1020</v>
      </c>
      <c r="D7" s="14" t="str">
        <f>"1,3244"</f>
        <v>1,3244</v>
      </c>
      <c r="E7" s="14" t="s">
        <v>17</v>
      </c>
      <c r="F7" s="14" t="s">
        <v>40</v>
      </c>
      <c r="G7" s="15" t="s">
        <v>417</v>
      </c>
      <c r="H7" s="15" t="s">
        <v>431</v>
      </c>
      <c r="I7" s="16" t="s">
        <v>432</v>
      </c>
      <c r="J7" s="16"/>
      <c r="K7" s="38" t="str">
        <f>"52,5"</f>
        <v>52,5</v>
      </c>
      <c r="L7" s="39" t="str">
        <f>"69,5310"</f>
        <v>69,5310</v>
      </c>
      <c r="M7" s="14"/>
    </row>
    <row r="8" spans="1:13" x14ac:dyDescent="0.2">
      <c r="A8" s="38" t="s">
        <v>1022</v>
      </c>
      <c r="B8" s="14" t="s">
        <v>1023</v>
      </c>
      <c r="C8" s="14" t="s">
        <v>1024</v>
      </c>
      <c r="D8" s="14" t="str">
        <f>"1,3305"</f>
        <v>1,3305</v>
      </c>
      <c r="E8" s="14" t="s">
        <v>17</v>
      </c>
      <c r="F8" s="14" t="s">
        <v>40</v>
      </c>
      <c r="G8" s="15" t="s">
        <v>399</v>
      </c>
      <c r="H8" s="15" t="s">
        <v>400</v>
      </c>
      <c r="I8" s="16" t="s">
        <v>431</v>
      </c>
      <c r="J8" s="16"/>
      <c r="K8" s="38" t="str">
        <f>"47,5"</f>
        <v>47,5</v>
      </c>
      <c r="L8" s="39" t="str">
        <f>"63,1988"</f>
        <v>63,1988</v>
      </c>
      <c r="M8" s="14" t="s">
        <v>701</v>
      </c>
    </row>
    <row r="9" spans="1:13" x14ac:dyDescent="0.2">
      <c r="A9" s="33" t="s">
        <v>1026</v>
      </c>
      <c r="B9" s="11" t="s">
        <v>1027</v>
      </c>
      <c r="C9" s="11" t="s">
        <v>1028</v>
      </c>
      <c r="D9" s="11" t="str">
        <f>"1,3408"</f>
        <v>1,3408</v>
      </c>
      <c r="E9" s="11" t="s">
        <v>17</v>
      </c>
      <c r="F9" s="11" t="s">
        <v>40</v>
      </c>
      <c r="G9" s="13" t="s">
        <v>398</v>
      </c>
      <c r="H9" s="12" t="s">
        <v>398</v>
      </c>
      <c r="I9" s="13" t="s">
        <v>399</v>
      </c>
      <c r="J9" s="13"/>
      <c r="K9" s="33" t="str">
        <f>"40,0"</f>
        <v>40,0</v>
      </c>
      <c r="L9" s="36" t="str">
        <f>"53,6320"</f>
        <v>53,6320</v>
      </c>
      <c r="M9" s="11" t="s">
        <v>603</v>
      </c>
    </row>
    <row r="11" spans="1:13" ht="15" x14ac:dyDescent="0.2">
      <c r="A11" s="44" t="s">
        <v>402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3" x14ac:dyDescent="0.2">
      <c r="A12" s="32" t="s">
        <v>1030</v>
      </c>
      <c r="B12" s="8" t="s">
        <v>1031</v>
      </c>
      <c r="C12" s="8" t="s">
        <v>1032</v>
      </c>
      <c r="D12" s="8" t="str">
        <f>"1,2522"</f>
        <v>1,2522</v>
      </c>
      <c r="E12" s="8" t="s">
        <v>17</v>
      </c>
      <c r="F12" s="8" t="s">
        <v>133</v>
      </c>
      <c r="G12" s="9" t="s">
        <v>100</v>
      </c>
      <c r="H12" s="10" t="s">
        <v>407</v>
      </c>
      <c r="I12" s="10" t="s">
        <v>407</v>
      </c>
      <c r="J12" s="10"/>
      <c r="K12" s="32" t="str">
        <f>"65,0"</f>
        <v>65,0</v>
      </c>
      <c r="L12" s="35" t="str">
        <f>"81,3930"</f>
        <v>81,3930</v>
      </c>
      <c r="M12" s="8" t="s">
        <v>1033</v>
      </c>
    </row>
    <row r="13" spans="1:13" x14ac:dyDescent="0.2">
      <c r="A13" s="38" t="s">
        <v>1035</v>
      </c>
      <c r="B13" s="14" t="s">
        <v>1036</v>
      </c>
      <c r="C13" s="14" t="s">
        <v>406</v>
      </c>
      <c r="D13" s="14" t="str">
        <f>"1,2808"</f>
        <v>1,2808</v>
      </c>
      <c r="E13" s="14" t="s">
        <v>17</v>
      </c>
      <c r="F13" s="14" t="s">
        <v>40</v>
      </c>
      <c r="G13" s="16" t="s">
        <v>574</v>
      </c>
      <c r="H13" s="15" t="s">
        <v>574</v>
      </c>
      <c r="I13" s="16" t="s">
        <v>400</v>
      </c>
      <c r="J13" s="16"/>
      <c r="K13" s="38" t="str">
        <f>"42,5"</f>
        <v>42,5</v>
      </c>
      <c r="L13" s="39" t="str">
        <f>"54,4340"</f>
        <v>54,4340</v>
      </c>
      <c r="M13" s="14" t="s">
        <v>1037</v>
      </c>
    </row>
    <row r="14" spans="1:13" x14ac:dyDescent="0.2">
      <c r="A14" s="33" t="s">
        <v>1039</v>
      </c>
      <c r="B14" s="11" t="s">
        <v>1040</v>
      </c>
      <c r="C14" s="11" t="s">
        <v>1041</v>
      </c>
      <c r="D14" s="11" t="str">
        <f>"1,2905"</f>
        <v>1,2905</v>
      </c>
      <c r="E14" s="11" t="s">
        <v>17</v>
      </c>
      <c r="F14" s="11" t="s">
        <v>40</v>
      </c>
      <c r="G14" s="13" t="s">
        <v>549</v>
      </c>
      <c r="H14" s="12" t="s">
        <v>549</v>
      </c>
      <c r="I14" s="13" t="s">
        <v>574</v>
      </c>
      <c r="J14" s="13"/>
      <c r="K14" s="33" t="str">
        <f>"35,0"</f>
        <v>35,0</v>
      </c>
      <c r="L14" s="36" t="str">
        <f>"45,1675"</f>
        <v>45,1675</v>
      </c>
      <c r="M14" s="11" t="s">
        <v>1042</v>
      </c>
    </row>
    <row r="16" spans="1:13" ht="15" x14ac:dyDescent="0.2">
      <c r="A16" s="44" t="s">
        <v>425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3" x14ac:dyDescent="0.2">
      <c r="A17" s="32" t="s">
        <v>1043</v>
      </c>
      <c r="B17" s="8" t="s">
        <v>1044</v>
      </c>
      <c r="C17" s="8" t="s">
        <v>1045</v>
      </c>
      <c r="D17" s="8" t="str">
        <f>"1,1783"</f>
        <v>1,1783</v>
      </c>
      <c r="E17" s="8" t="s">
        <v>17</v>
      </c>
      <c r="F17" s="8" t="s">
        <v>40</v>
      </c>
      <c r="G17" s="10" t="s">
        <v>564</v>
      </c>
      <c r="H17" s="10" t="s">
        <v>272</v>
      </c>
      <c r="I17" s="9" t="s">
        <v>272</v>
      </c>
      <c r="J17" s="10"/>
      <c r="K17" s="32" t="str">
        <f>"62,5"</f>
        <v>62,5</v>
      </c>
      <c r="L17" s="35" t="str">
        <f>"73,6438"</f>
        <v>73,6438</v>
      </c>
      <c r="M17" s="8" t="s">
        <v>1046</v>
      </c>
    </row>
    <row r="18" spans="1:13" x14ac:dyDescent="0.2">
      <c r="A18" s="38" t="s">
        <v>1048</v>
      </c>
      <c r="B18" s="14" t="s">
        <v>1049</v>
      </c>
      <c r="C18" s="14" t="s">
        <v>1050</v>
      </c>
      <c r="D18" s="14" t="str">
        <f>"1,2019"</f>
        <v>1,2019</v>
      </c>
      <c r="E18" s="14" t="s">
        <v>17</v>
      </c>
      <c r="F18" s="14" t="s">
        <v>40</v>
      </c>
      <c r="G18" s="15" t="s">
        <v>271</v>
      </c>
      <c r="H18" s="15" t="s">
        <v>100</v>
      </c>
      <c r="I18" s="16" t="s">
        <v>407</v>
      </c>
      <c r="J18" s="16"/>
      <c r="K18" s="38" t="str">
        <f>"65,0"</f>
        <v>65,0</v>
      </c>
      <c r="L18" s="39" t="str">
        <f>"78,1235"</f>
        <v>78,1235</v>
      </c>
      <c r="M18" s="14"/>
    </row>
    <row r="19" spans="1:13" x14ac:dyDescent="0.2">
      <c r="A19" s="38" t="s">
        <v>1052</v>
      </c>
      <c r="B19" s="14" t="s">
        <v>1053</v>
      </c>
      <c r="C19" s="14" t="s">
        <v>1054</v>
      </c>
      <c r="D19" s="14" t="str">
        <f>"1,1799"</f>
        <v>1,1799</v>
      </c>
      <c r="E19" s="14" t="s">
        <v>17</v>
      </c>
      <c r="F19" s="14" t="s">
        <v>40</v>
      </c>
      <c r="G19" s="15" t="s">
        <v>432</v>
      </c>
      <c r="H19" s="15" t="s">
        <v>271</v>
      </c>
      <c r="I19" s="16" t="s">
        <v>272</v>
      </c>
      <c r="J19" s="16"/>
      <c r="K19" s="38" t="str">
        <f>"60,0"</f>
        <v>60,0</v>
      </c>
      <c r="L19" s="39" t="str">
        <f>"70,7940"</f>
        <v>70,7940</v>
      </c>
      <c r="M19" s="14" t="s">
        <v>643</v>
      </c>
    </row>
    <row r="20" spans="1:13" x14ac:dyDescent="0.2">
      <c r="A20" s="33" t="s">
        <v>1056</v>
      </c>
      <c r="B20" s="11" t="s">
        <v>1057</v>
      </c>
      <c r="C20" s="11" t="s">
        <v>1058</v>
      </c>
      <c r="D20" s="11" t="str">
        <f>"1,1832"</f>
        <v>1,1832</v>
      </c>
      <c r="E20" s="11" t="s">
        <v>17</v>
      </c>
      <c r="F20" s="11" t="s">
        <v>40</v>
      </c>
      <c r="G20" s="12" t="s">
        <v>399</v>
      </c>
      <c r="H20" s="12" t="s">
        <v>417</v>
      </c>
      <c r="I20" s="13" t="s">
        <v>432</v>
      </c>
      <c r="J20" s="13"/>
      <c r="K20" s="33" t="str">
        <f>"50,0"</f>
        <v>50,0</v>
      </c>
      <c r="L20" s="36" t="str">
        <f>"65,8451"</f>
        <v>65,8451</v>
      </c>
      <c r="M20" s="11" t="s">
        <v>1059</v>
      </c>
    </row>
    <row r="22" spans="1:13" ht="15" x14ac:dyDescent="0.2">
      <c r="A22" s="44" t="s">
        <v>13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3" x14ac:dyDescent="0.2">
      <c r="A23" s="32" t="s">
        <v>1061</v>
      </c>
      <c r="B23" s="8" t="s">
        <v>1062</v>
      </c>
      <c r="C23" s="8" t="s">
        <v>1063</v>
      </c>
      <c r="D23" s="8" t="str">
        <f>"1,1295"</f>
        <v>1,1295</v>
      </c>
      <c r="E23" s="8" t="s">
        <v>17</v>
      </c>
      <c r="F23" s="8" t="s">
        <v>40</v>
      </c>
      <c r="G23" s="9" t="s">
        <v>31</v>
      </c>
      <c r="H23" s="9" t="s">
        <v>269</v>
      </c>
      <c r="I23" s="9" t="s">
        <v>32</v>
      </c>
      <c r="J23" s="9" t="s">
        <v>415</v>
      </c>
      <c r="K23" s="32" t="str">
        <f>"90,0"</f>
        <v>90,0</v>
      </c>
      <c r="L23" s="35" t="str">
        <f>"101,6550"</f>
        <v>101,6550</v>
      </c>
      <c r="M23" s="8"/>
    </row>
    <row r="24" spans="1:13" x14ac:dyDescent="0.2">
      <c r="A24" s="38" t="s">
        <v>1065</v>
      </c>
      <c r="B24" s="14" t="s">
        <v>1066</v>
      </c>
      <c r="C24" s="14" t="s">
        <v>563</v>
      </c>
      <c r="D24" s="14" t="str">
        <f>"1,1149"</f>
        <v>1,1149</v>
      </c>
      <c r="E24" s="14" t="s">
        <v>17</v>
      </c>
      <c r="F24" s="14" t="s">
        <v>40</v>
      </c>
      <c r="G24" s="15" t="s">
        <v>432</v>
      </c>
      <c r="H24" s="16" t="s">
        <v>271</v>
      </c>
      <c r="I24" s="16" t="s">
        <v>271</v>
      </c>
      <c r="J24" s="16"/>
      <c r="K24" s="38" t="str">
        <f>"55,0"</f>
        <v>55,0</v>
      </c>
      <c r="L24" s="39" t="str">
        <f>"61,3195"</f>
        <v>61,3195</v>
      </c>
      <c r="M24" s="14" t="s">
        <v>1067</v>
      </c>
    </row>
    <row r="25" spans="1:13" x14ac:dyDescent="0.2">
      <c r="A25" s="38" t="s">
        <v>1069</v>
      </c>
      <c r="B25" s="14" t="s">
        <v>1070</v>
      </c>
      <c r="C25" s="14" t="s">
        <v>1063</v>
      </c>
      <c r="D25" s="14" t="str">
        <f>"1,1295"</f>
        <v>1,1295</v>
      </c>
      <c r="E25" s="14" t="s">
        <v>17</v>
      </c>
      <c r="F25" s="14" t="s">
        <v>1071</v>
      </c>
      <c r="G25" s="15" t="s">
        <v>564</v>
      </c>
      <c r="H25" s="16" t="s">
        <v>272</v>
      </c>
      <c r="I25" s="15" t="s">
        <v>272</v>
      </c>
      <c r="J25" s="16"/>
      <c r="K25" s="38" t="str">
        <f>"62,5"</f>
        <v>62,5</v>
      </c>
      <c r="L25" s="39" t="str">
        <f>"72,7822"</f>
        <v>72,7822</v>
      </c>
      <c r="M25" s="14"/>
    </row>
    <row r="26" spans="1:13" x14ac:dyDescent="0.2">
      <c r="A26" s="38" t="s">
        <v>1073</v>
      </c>
      <c r="B26" s="14" t="s">
        <v>1074</v>
      </c>
      <c r="C26" s="14" t="s">
        <v>1075</v>
      </c>
      <c r="D26" s="14" t="str">
        <f>"1,1432"</f>
        <v>1,1432</v>
      </c>
      <c r="E26" s="14" t="s">
        <v>17</v>
      </c>
      <c r="F26" s="14" t="s">
        <v>40</v>
      </c>
      <c r="G26" s="15" t="s">
        <v>400</v>
      </c>
      <c r="H26" s="15" t="s">
        <v>431</v>
      </c>
      <c r="I26" s="16" t="s">
        <v>432</v>
      </c>
      <c r="J26" s="16"/>
      <c r="K26" s="38" t="str">
        <f>"52,5"</f>
        <v>52,5</v>
      </c>
      <c r="L26" s="39" t="str">
        <f>"62,5988"</f>
        <v>62,5988</v>
      </c>
      <c r="M26" s="14" t="s">
        <v>1076</v>
      </c>
    </row>
    <row r="27" spans="1:13" x14ac:dyDescent="0.2">
      <c r="A27" s="33" t="s">
        <v>1078</v>
      </c>
      <c r="B27" s="11" t="s">
        <v>1079</v>
      </c>
      <c r="C27" s="11" t="s">
        <v>1080</v>
      </c>
      <c r="D27" s="11" t="str">
        <f>"1,1572"</f>
        <v>1,1572</v>
      </c>
      <c r="E27" s="11" t="s">
        <v>17</v>
      </c>
      <c r="F27" s="11" t="s">
        <v>40</v>
      </c>
      <c r="G27" s="12" t="s">
        <v>574</v>
      </c>
      <c r="H27" s="12" t="s">
        <v>400</v>
      </c>
      <c r="I27" s="12" t="s">
        <v>431</v>
      </c>
      <c r="J27" s="13" t="s">
        <v>1081</v>
      </c>
      <c r="K27" s="33" t="str">
        <f>"52,5"</f>
        <v>52,5</v>
      </c>
      <c r="L27" s="36" t="str">
        <f>"65,7347"</f>
        <v>65,7347</v>
      </c>
      <c r="M27" s="11" t="s">
        <v>575</v>
      </c>
    </row>
    <row r="28" spans="1:13" x14ac:dyDescent="0.2">
      <c r="A28" s="24"/>
    </row>
    <row r="29" spans="1:13" ht="15" x14ac:dyDescent="0.2">
      <c r="A29" s="44" t="s">
        <v>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3" x14ac:dyDescent="0.2">
      <c r="A30" s="32" t="s">
        <v>1083</v>
      </c>
      <c r="B30" s="8" t="s">
        <v>1084</v>
      </c>
      <c r="C30" s="8" t="s">
        <v>1085</v>
      </c>
      <c r="D30" s="8" t="str">
        <f>"1,0374"</f>
        <v>1,0374</v>
      </c>
      <c r="E30" s="8" t="s">
        <v>17</v>
      </c>
      <c r="F30" s="8" t="s">
        <v>152</v>
      </c>
      <c r="G30" s="9" t="s">
        <v>32</v>
      </c>
      <c r="H30" s="9" t="s">
        <v>415</v>
      </c>
      <c r="I30" s="10" t="s">
        <v>270</v>
      </c>
      <c r="J30" s="10"/>
      <c r="K30" s="32" t="str">
        <f>"92,5"</f>
        <v>92,5</v>
      </c>
      <c r="L30" s="35" t="str">
        <f>"95,9595"</f>
        <v>95,9595</v>
      </c>
      <c r="M30" s="8" t="s">
        <v>464</v>
      </c>
    </row>
    <row r="31" spans="1:13" x14ac:dyDescent="0.2">
      <c r="A31" s="38" t="s">
        <v>1087</v>
      </c>
      <c r="B31" s="14" t="s">
        <v>1088</v>
      </c>
      <c r="C31" s="14" t="s">
        <v>1089</v>
      </c>
      <c r="D31" s="14" t="str">
        <f>"1,0432"</f>
        <v>1,0432</v>
      </c>
      <c r="E31" s="14" t="s">
        <v>17</v>
      </c>
      <c r="F31" s="14" t="s">
        <v>810</v>
      </c>
      <c r="G31" s="15" t="s">
        <v>100</v>
      </c>
      <c r="H31" s="16" t="s">
        <v>30</v>
      </c>
      <c r="I31" s="16" t="s">
        <v>30</v>
      </c>
      <c r="J31" s="16"/>
      <c r="K31" s="38" t="str">
        <f>"65,0"</f>
        <v>65,0</v>
      </c>
      <c r="L31" s="39" t="str">
        <f>"67,8080"</f>
        <v>67,8080</v>
      </c>
      <c r="M31" s="14" t="s">
        <v>1090</v>
      </c>
    </row>
    <row r="32" spans="1:13" x14ac:dyDescent="0.2">
      <c r="A32" s="38" t="s">
        <v>1092</v>
      </c>
      <c r="B32" s="14" t="s">
        <v>1093</v>
      </c>
      <c r="C32" s="14" t="s">
        <v>1094</v>
      </c>
      <c r="D32" s="14" t="str">
        <f>"1,0351"</f>
        <v>1,0351</v>
      </c>
      <c r="E32" s="14" t="s">
        <v>17</v>
      </c>
      <c r="F32" s="14" t="s">
        <v>133</v>
      </c>
      <c r="G32" s="15" t="s">
        <v>21</v>
      </c>
      <c r="H32" s="16" t="s">
        <v>31</v>
      </c>
      <c r="I32" s="16" t="s">
        <v>31</v>
      </c>
      <c r="J32" s="16"/>
      <c r="K32" s="38" t="str">
        <f>"75,0"</f>
        <v>75,0</v>
      </c>
      <c r="L32" s="39" t="str">
        <f>"80,0391"</f>
        <v>80,0391</v>
      </c>
      <c r="M32" s="14" t="s">
        <v>410</v>
      </c>
    </row>
    <row r="33" spans="1:13" x14ac:dyDescent="0.2">
      <c r="A33" s="38" t="s">
        <v>1096</v>
      </c>
      <c r="B33" s="14" t="s">
        <v>1097</v>
      </c>
      <c r="C33" s="14" t="s">
        <v>756</v>
      </c>
      <c r="D33" s="14" t="str">
        <f>"1,0306"</f>
        <v>1,0306</v>
      </c>
      <c r="E33" s="14" t="s">
        <v>17</v>
      </c>
      <c r="F33" s="14" t="s">
        <v>751</v>
      </c>
      <c r="G33" s="15" t="s">
        <v>30</v>
      </c>
      <c r="H33" s="15" t="s">
        <v>21</v>
      </c>
      <c r="I33" s="16" t="s">
        <v>31</v>
      </c>
      <c r="J33" s="16"/>
      <c r="K33" s="38" t="str">
        <f>"75,0"</f>
        <v>75,0</v>
      </c>
      <c r="L33" s="39" t="str">
        <f>"86,0293"</f>
        <v>86,0293</v>
      </c>
      <c r="M33" s="14" t="s">
        <v>1098</v>
      </c>
    </row>
    <row r="34" spans="1:13" x14ac:dyDescent="0.2">
      <c r="A34" s="33" t="s">
        <v>1100</v>
      </c>
      <c r="B34" s="11" t="s">
        <v>1101</v>
      </c>
      <c r="C34" s="11" t="s">
        <v>1102</v>
      </c>
      <c r="D34" s="11" t="str">
        <f>"1,0362"</f>
        <v>1,0362</v>
      </c>
      <c r="E34" s="11" t="s">
        <v>17</v>
      </c>
      <c r="F34" s="11" t="s">
        <v>40</v>
      </c>
      <c r="G34" s="12" t="s">
        <v>432</v>
      </c>
      <c r="H34" s="12" t="s">
        <v>564</v>
      </c>
      <c r="I34" s="13" t="s">
        <v>271</v>
      </c>
      <c r="J34" s="13"/>
      <c r="K34" s="33" t="str">
        <f>"57,5"</f>
        <v>57,5</v>
      </c>
      <c r="L34" s="36" t="str">
        <f>"62,8585"</f>
        <v>62,8585</v>
      </c>
      <c r="M34" s="11" t="s">
        <v>1103</v>
      </c>
    </row>
    <row r="36" spans="1:13" ht="15" x14ac:dyDescent="0.2">
      <c r="A36" s="44" t="s">
        <v>36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</row>
    <row r="37" spans="1:13" x14ac:dyDescent="0.2">
      <c r="A37" s="32" t="s">
        <v>1104</v>
      </c>
      <c r="B37" s="8" t="s">
        <v>1105</v>
      </c>
      <c r="C37" s="8" t="s">
        <v>458</v>
      </c>
      <c r="D37" s="8" t="str">
        <f>"0,9707"</f>
        <v>0,9707</v>
      </c>
      <c r="E37" s="8" t="s">
        <v>17</v>
      </c>
      <c r="F37" s="8" t="s">
        <v>40</v>
      </c>
      <c r="G37" s="9" t="s">
        <v>564</v>
      </c>
      <c r="H37" s="9" t="s">
        <v>271</v>
      </c>
      <c r="I37" s="9" t="s">
        <v>272</v>
      </c>
      <c r="J37" s="9" t="s">
        <v>1106</v>
      </c>
      <c r="K37" s="32" t="str">
        <f>"62,5"</f>
        <v>62,5</v>
      </c>
      <c r="L37" s="35" t="str">
        <f>"60,6688"</f>
        <v>60,6688</v>
      </c>
      <c r="M37" s="8" t="s">
        <v>1107</v>
      </c>
    </row>
    <row r="38" spans="1:13" x14ac:dyDescent="0.2">
      <c r="A38" s="38" t="s">
        <v>1109</v>
      </c>
      <c r="B38" s="14" t="s">
        <v>1110</v>
      </c>
      <c r="C38" s="14" t="s">
        <v>72</v>
      </c>
      <c r="D38" s="14" t="str">
        <f>"0,9604"</f>
        <v>0,9604</v>
      </c>
      <c r="E38" s="14" t="s">
        <v>17</v>
      </c>
      <c r="F38" s="14" t="s">
        <v>1111</v>
      </c>
      <c r="G38" s="15" t="s">
        <v>21</v>
      </c>
      <c r="H38" s="16" t="s">
        <v>55</v>
      </c>
      <c r="I38" s="16" t="s">
        <v>55</v>
      </c>
      <c r="J38" s="16"/>
      <c r="K38" s="38" t="str">
        <f>"75,0"</f>
        <v>75,0</v>
      </c>
      <c r="L38" s="39" t="str">
        <f>"72,0300"</f>
        <v>72,0300</v>
      </c>
      <c r="M38" s="14" t="s">
        <v>1112</v>
      </c>
    </row>
    <row r="39" spans="1:13" x14ac:dyDescent="0.2">
      <c r="A39" s="33" t="s">
        <v>1113</v>
      </c>
      <c r="B39" s="11" t="s">
        <v>1114</v>
      </c>
      <c r="C39" s="11" t="s">
        <v>79</v>
      </c>
      <c r="D39" s="11" t="str">
        <f>"0,9672"</f>
        <v>0,9672</v>
      </c>
      <c r="E39" s="11" t="s">
        <v>17</v>
      </c>
      <c r="F39" s="11" t="s">
        <v>2256</v>
      </c>
      <c r="G39" s="13" t="s">
        <v>564</v>
      </c>
      <c r="H39" s="13" t="s">
        <v>564</v>
      </c>
      <c r="I39" s="13" t="s">
        <v>564</v>
      </c>
      <c r="J39" s="13"/>
      <c r="K39" s="33" t="str">
        <f>"0.00"</f>
        <v>0.00</v>
      </c>
      <c r="L39" s="36" t="str">
        <f>"0,0000"</f>
        <v>0,0000</v>
      </c>
      <c r="M39" s="11"/>
    </row>
    <row r="41" spans="1:13" ht="15" x14ac:dyDescent="0.2">
      <c r="A41" s="44" t="s">
        <v>96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spans="1:13" x14ac:dyDescent="0.2">
      <c r="A42" s="34" t="s">
        <v>1116</v>
      </c>
      <c r="B42" s="5" t="s">
        <v>1117</v>
      </c>
      <c r="C42" s="5" t="s">
        <v>1118</v>
      </c>
      <c r="D42" s="5" t="str">
        <f>"0,8733"</f>
        <v>0,8733</v>
      </c>
      <c r="E42" s="5" t="s">
        <v>17</v>
      </c>
      <c r="F42" s="5" t="s">
        <v>40</v>
      </c>
      <c r="G42" s="6" t="s">
        <v>398</v>
      </c>
      <c r="H42" s="6" t="s">
        <v>417</v>
      </c>
      <c r="I42" s="6" t="s">
        <v>432</v>
      </c>
      <c r="J42" s="7"/>
      <c r="K42" s="34" t="str">
        <f>"55,0"</f>
        <v>55,0</v>
      </c>
      <c r="L42" s="37" t="str">
        <f>"48,0315"</f>
        <v>48,0315</v>
      </c>
      <c r="M42" s="5" t="s">
        <v>2212</v>
      </c>
    </row>
    <row r="44" spans="1:13" ht="15" x14ac:dyDescent="0.2">
      <c r="A44" s="44" t="s">
        <v>13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3" x14ac:dyDescent="0.2">
      <c r="A45" s="32" t="s">
        <v>1120</v>
      </c>
      <c r="B45" s="8" t="s">
        <v>1121</v>
      </c>
      <c r="C45" s="8" t="s">
        <v>1075</v>
      </c>
      <c r="D45" s="8" t="str">
        <f>"0,8787"</f>
        <v>0,8787</v>
      </c>
      <c r="E45" s="8" t="s">
        <v>17</v>
      </c>
      <c r="F45" s="8" t="s">
        <v>40</v>
      </c>
      <c r="G45" s="9" t="s">
        <v>32</v>
      </c>
      <c r="H45" s="10" t="s">
        <v>270</v>
      </c>
      <c r="I45" s="9" t="s">
        <v>270</v>
      </c>
      <c r="J45" s="10"/>
      <c r="K45" s="32" t="str">
        <f>"95,0"</f>
        <v>95,0</v>
      </c>
      <c r="L45" s="35" t="str">
        <f>"83,4765"</f>
        <v>83,4765</v>
      </c>
      <c r="M45" s="8" t="s">
        <v>1122</v>
      </c>
    </row>
    <row r="46" spans="1:13" x14ac:dyDescent="0.2">
      <c r="A46" s="38" t="s">
        <v>1124</v>
      </c>
      <c r="B46" s="14" t="s">
        <v>1125</v>
      </c>
      <c r="C46" s="14" t="s">
        <v>1126</v>
      </c>
      <c r="D46" s="14" t="str">
        <f>"0,8802"</f>
        <v>0,8802</v>
      </c>
      <c r="E46" s="14" t="s">
        <v>17</v>
      </c>
      <c r="F46" s="14" t="s">
        <v>40</v>
      </c>
      <c r="G46" s="16" t="s">
        <v>32</v>
      </c>
      <c r="H46" s="15" t="s">
        <v>32</v>
      </c>
      <c r="I46" s="16" t="s">
        <v>81</v>
      </c>
      <c r="J46" s="16"/>
      <c r="K46" s="38" t="str">
        <f>"90,0"</f>
        <v>90,0</v>
      </c>
      <c r="L46" s="39" t="str">
        <f>"79,2180"</f>
        <v>79,2180</v>
      </c>
      <c r="M46" s="14" t="s">
        <v>1127</v>
      </c>
    </row>
    <row r="47" spans="1:13" x14ac:dyDescent="0.2">
      <c r="A47" s="33" t="s">
        <v>1128</v>
      </c>
      <c r="B47" s="11" t="s">
        <v>1129</v>
      </c>
      <c r="C47" s="11" t="s">
        <v>1130</v>
      </c>
      <c r="D47" s="11" t="str">
        <f>"0,8889"</f>
        <v>0,8889</v>
      </c>
      <c r="E47" s="11" t="s">
        <v>17</v>
      </c>
      <c r="F47" s="11" t="s">
        <v>40</v>
      </c>
      <c r="G47" s="12" t="s">
        <v>269</v>
      </c>
      <c r="H47" s="12" t="s">
        <v>32</v>
      </c>
      <c r="I47" s="13" t="s">
        <v>415</v>
      </c>
      <c r="J47" s="13"/>
      <c r="K47" s="33" t="str">
        <f>"90,0"</f>
        <v>90,0</v>
      </c>
      <c r="L47" s="36" t="str">
        <f>"80,0010"</f>
        <v>80,0010</v>
      </c>
      <c r="M47" s="11" t="s">
        <v>1131</v>
      </c>
    </row>
    <row r="49" spans="1:13" ht="15" x14ac:dyDescent="0.2">
      <c r="A49" s="44" t="s">
        <v>23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1:13" x14ac:dyDescent="0.2">
      <c r="A50" s="32" t="s">
        <v>1133</v>
      </c>
      <c r="B50" s="8" t="s">
        <v>1134</v>
      </c>
      <c r="C50" s="8" t="s">
        <v>598</v>
      </c>
      <c r="D50" s="8" t="str">
        <f>"0,7872"</f>
        <v>0,7872</v>
      </c>
      <c r="E50" s="8" t="s">
        <v>1135</v>
      </c>
      <c r="F50" s="8" t="s">
        <v>1136</v>
      </c>
      <c r="G50" s="9" t="s">
        <v>19</v>
      </c>
      <c r="H50" s="9" t="s">
        <v>29</v>
      </c>
      <c r="I50" s="9" t="s">
        <v>33</v>
      </c>
      <c r="J50" s="10" t="s">
        <v>93</v>
      </c>
      <c r="K50" s="32" t="str">
        <f>"130,0"</f>
        <v>130,0</v>
      </c>
      <c r="L50" s="35" t="str">
        <f>"102,3360"</f>
        <v>102,3360</v>
      </c>
      <c r="M50" s="8" t="s">
        <v>1137</v>
      </c>
    </row>
    <row r="51" spans="1:13" x14ac:dyDescent="0.2">
      <c r="A51" s="38" t="s">
        <v>1139</v>
      </c>
      <c r="B51" s="14" t="s">
        <v>1140</v>
      </c>
      <c r="C51" s="14" t="s">
        <v>589</v>
      </c>
      <c r="D51" s="14" t="str">
        <f>"0,7738"</f>
        <v>0,7738</v>
      </c>
      <c r="E51" s="14" t="s">
        <v>17</v>
      </c>
      <c r="F51" s="14" t="s">
        <v>40</v>
      </c>
      <c r="G51" s="15" t="s">
        <v>45</v>
      </c>
      <c r="H51" s="15" t="s">
        <v>19</v>
      </c>
      <c r="I51" s="16" t="s">
        <v>409</v>
      </c>
      <c r="J51" s="16"/>
      <c r="K51" s="38" t="str">
        <f>"120,0"</f>
        <v>120,0</v>
      </c>
      <c r="L51" s="39" t="str">
        <f>"92,8560"</f>
        <v>92,8560</v>
      </c>
      <c r="M51" s="14" t="s">
        <v>1141</v>
      </c>
    </row>
    <row r="52" spans="1:13" x14ac:dyDescent="0.2">
      <c r="A52" s="38" t="s">
        <v>1143</v>
      </c>
      <c r="B52" s="14" t="s">
        <v>1144</v>
      </c>
      <c r="C52" s="14" t="s">
        <v>1145</v>
      </c>
      <c r="D52" s="14" t="str">
        <f>"0,8477"</f>
        <v>0,8477</v>
      </c>
      <c r="E52" s="14" t="s">
        <v>17</v>
      </c>
      <c r="F52" s="14" t="s">
        <v>40</v>
      </c>
      <c r="G52" s="15" t="s">
        <v>564</v>
      </c>
      <c r="H52" s="15" t="s">
        <v>272</v>
      </c>
      <c r="I52" s="16" t="s">
        <v>100</v>
      </c>
      <c r="J52" s="16"/>
      <c r="K52" s="38" t="str">
        <f>"62,5"</f>
        <v>62,5</v>
      </c>
      <c r="L52" s="39" t="str">
        <f>"52,9812"</f>
        <v>52,9812</v>
      </c>
      <c r="M52" s="14" t="s">
        <v>1146</v>
      </c>
    </row>
    <row r="53" spans="1:13" x14ac:dyDescent="0.2">
      <c r="A53" s="38" t="s">
        <v>1148</v>
      </c>
      <c r="B53" s="14" t="s">
        <v>1149</v>
      </c>
      <c r="C53" s="14" t="s">
        <v>1150</v>
      </c>
      <c r="D53" s="14" t="str">
        <f>"0,7891"</f>
        <v>0,7891</v>
      </c>
      <c r="E53" s="14" t="s">
        <v>17</v>
      </c>
      <c r="F53" s="14" t="s">
        <v>1151</v>
      </c>
      <c r="G53" s="15" t="s">
        <v>29</v>
      </c>
      <c r="H53" s="15" t="s">
        <v>33</v>
      </c>
      <c r="I53" s="15" t="s">
        <v>20</v>
      </c>
      <c r="J53" s="16"/>
      <c r="K53" s="38" t="str">
        <f>"135,0"</f>
        <v>135,0</v>
      </c>
      <c r="L53" s="39" t="str">
        <f>"106,5285"</f>
        <v>106,5285</v>
      </c>
      <c r="M53" s="14" t="s">
        <v>1152</v>
      </c>
    </row>
    <row r="54" spans="1:13" x14ac:dyDescent="0.2">
      <c r="A54" s="33" t="s">
        <v>1153</v>
      </c>
      <c r="B54" s="11" t="s">
        <v>1154</v>
      </c>
      <c r="C54" s="11" t="s">
        <v>598</v>
      </c>
      <c r="D54" s="11" t="str">
        <f>"0,7872"</f>
        <v>0,7872</v>
      </c>
      <c r="E54" s="11" t="s">
        <v>1135</v>
      </c>
      <c r="F54" s="11" t="s">
        <v>1136</v>
      </c>
      <c r="G54" s="12" t="s">
        <v>19</v>
      </c>
      <c r="H54" s="12" t="s">
        <v>29</v>
      </c>
      <c r="I54" s="12" t="s">
        <v>33</v>
      </c>
      <c r="J54" s="13" t="s">
        <v>93</v>
      </c>
      <c r="K54" s="33" t="str">
        <f>"130,0"</f>
        <v>130,0</v>
      </c>
      <c r="L54" s="36" t="str">
        <f>"102,3360"</f>
        <v>102,3360</v>
      </c>
      <c r="M54" s="11" t="s">
        <v>1137</v>
      </c>
    </row>
    <row r="56" spans="1:13" ht="15" x14ac:dyDescent="0.2">
      <c r="A56" s="44" t="s">
        <v>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3" x14ac:dyDescent="0.2">
      <c r="A57" s="32" t="s">
        <v>1156</v>
      </c>
      <c r="B57" s="8" t="s">
        <v>1157</v>
      </c>
      <c r="C57" s="8" t="s">
        <v>1158</v>
      </c>
      <c r="D57" s="8" t="str">
        <f>"0,7337"</f>
        <v>0,7337</v>
      </c>
      <c r="E57" s="8" t="s">
        <v>17</v>
      </c>
      <c r="F57" s="8" t="s">
        <v>40</v>
      </c>
      <c r="G57" s="9" t="s">
        <v>264</v>
      </c>
      <c r="H57" s="10" t="s">
        <v>1159</v>
      </c>
      <c r="I57" s="10" t="s">
        <v>1159</v>
      </c>
      <c r="J57" s="10"/>
      <c r="K57" s="32" t="str">
        <f>"77,5"</f>
        <v>77,5</v>
      </c>
      <c r="L57" s="35" t="str">
        <f>"56,8617"</f>
        <v>56,8617</v>
      </c>
      <c r="M57" s="8" t="s">
        <v>1160</v>
      </c>
    </row>
    <row r="58" spans="1:13" x14ac:dyDescent="0.2">
      <c r="A58" s="38" t="s">
        <v>1161</v>
      </c>
      <c r="B58" s="14" t="s">
        <v>1162</v>
      </c>
      <c r="C58" s="14" t="s">
        <v>1163</v>
      </c>
      <c r="D58" s="14" t="str">
        <f>"0,7235"</f>
        <v>0,7235</v>
      </c>
      <c r="E58" s="14" t="s">
        <v>17</v>
      </c>
      <c r="F58" s="14" t="s">
        <v>1164</v>
      </c>
      <c r="G58" s="16" t="s">
        <v>558</v>
      </c>
      <c r="H58" s="16" t="s">
        <v>409</v>
      </c>
      <c r="I58" s="16" t="s">
        <v>409</v>
      </c>
      <c r="J58" s="16"/>
      <c r="K58" s="38" t="str">
        <f>"0.00"</f>
        <v>0.00</v>
      </c>
      <c r="L58" s="39" t="str">
        <f>"0,0000"</f>
        <v>0,0000</v>
      </c>
      <c r="M58" s="14"/>
    </row>
    <row r="59" spans="1:13" x14ac:dyDescent="0.2">
      <c r="A59" s="38" t="s">
        <v>1166</v>
      </c>
      <c r="B59" s="14" t="s">
        <v>1167</v>
      </c>
      <c r="C59" s="14" t="s">
        <v>1168</v>
      </c>
      <c r="D59" s="14" t="str">
        <f>"0,7193"</f>
        <v>0,7193</v>
      </c>
      <c r="E59" s="14" t="s">
        <v>17</v>
      </c>
      <c r="F59" s="14" t="s">
        <v>474</v>
      </c>
      <c r="G59" s="15" t="s">
        <v>29</v>
      </c>
      <c r="H59" s="15" t="s">
        <v>409</v>
      </c>
      <c r="I59" s="15" t="s">
        <v>33</v>
      </c>
      <c r="J59" s="16"/>
      <c r="K59" s="38" t="str">
        <f>"130,0"</f>
        <v>130,0</v>
      </c>
      <c r="L59" s="39" t="str">
        <f>"93,5090"</f>
        <v>93,5090</v>
      </c>
      <c r="M59" s="14" t="s">
        <v>1169</v>
      </c>
    </row>
    <row r="60" spans="1:13" x14ac:dyDescent="0.2">
      <c r="A60" s="38" t="s">
        <v>1171</v>
      </c>
      <c r="B60" s="14" t="s">
        <v>1172</v>
      </c>
      <c r="C60" s="14" t="s">
        <v>449</v>
      </c>
      <c r="D60" s="14" t="str">
        <f>"0,7173"</f>
        <v>0,7173</v>
      </c>
      <c r="E60" s="14" t="s">
        <v>17</v>
      </c>
      <c r="F60" s="14" t="s">
        <v>133</v>
      </c>
      <c r="G60" s="15" t="s">
        <v>28</v>
      </c>
      <c r="H60" s="15" t="s">
        <v>66</v>
      </c>
      <c r="I60" s="16" t="s">
        <v>19</v>
      </c>
      <c r="J60" s="16"/>
      <c r="K60" s="38" t="str">
        <f>"115,0"</f>
        <v>115,0</v>
      </c>
      <c r="L60" s="39" t="str">
        <f>"82,4895"</f>
        <v>82,4895</v>
      </c>
      <c r="M60" s="14" t="s">
        <v>1173</v>
      </c>
    </row>
    <row r="61" spans="1:13" x14ac:dyDescent="0.2">
      <c r="A61" s="38" t="s">
        <v>622</v>
      </c>
      <c r="B61" s="14" t="s">
        <v>623</v>
      </c>
      <c r="C61" s="14" t="s">
        <v>624</v>
      </c>
      <c r="D61" s="14" t="str">
        <f>"0,7159"</f>
        <v>0,7159</v>
      </c>
      <c r="E61" s="14" t="s">
        <v>17</v>
      </c>
      <c r="F61" s="14" t="s">
        <v>40</v>
      </c>
      <c r="G61" s="15" t="s">
        <v>163</v>
      </c>
      <c r="H61" s="15" t="s">
        <v>107</v>
      </c>
      <c r="I61" s="16" t="s">
        <v>625</v>
      </c>
      <c r="J61" s="16"/>
      <c r="K61" s="38" t="str">
        <f>"152,5"</f>
        <v>152,5</v>
      </c>
      <c r="L61" s="39" t="str">
        <f>"109,1748"</f>
        <v>109,1748</v>
      </c>
      <c r="M61" s="14"/>
    </row>
    <row r="62" spans="1:13" x14ac:dyDescent="0.2">
      <c r="A62" s="38" t="s">
        <v>1174</v>
      </c>
      <c r="B62" s="14" t="s">
        <v>1175</v>
      </c>
      <c r="C62" s="14" t="s">
        <v>1168</v>
      </c>
      <c r="D62" s="14" t="str">
        <f>"0,7193"</f>
        <v>0,7193</v>
      </c>
      <c r="E62" s="14" t="s">
        <v>17</v>
      </c>
      <c r="F62" s="14" t="s">
        <v>474</v>
      </c>
      <c r="G62" s="15" t="s">
        <v>29</v>
      </c>
      <c r="H62" s="15" t="s">
        <v>409</v>
      </c>
      <c r="I62" s="15" t="s">
        <v>33</v>
      </c>
      <c r="J62" s="16"/>
      <c r="K62" s="38" t="str">
        <f>"130,0"</f>
        <v>130,0</v>
      </c>
      <c r="L62" s="39" t="str">
        <f>"93,5090"</f>
        <v>93,5090</v>
      </c>
      <c r="M62" s="14" t="s">
        <v>1169</v>
      </c>
    </row>
    <row r="63" spans="1:13" x14ac:dyDescent="0.2">
      <c r="A63" s="38" t="s">
        <v>1176</v>
      </c>
      <c r="B63" s="14" t="s">
        <v>1177</v>
      </c>
      <c r="C63" s="14" t="s">
        <v>1178</v>
      </c>
      <c r="D63" s="14" t="str">
        <f>"0,7152"</f>
        <v>0,7152</v>
      </c>
      <c r="E63" s="14" t="s">
        <v>17</v>
      </c>
      <c r="F63" s="14" t="s">
        <v>1179</v>
      </c>
      <c r="G63" s="15" t="s">
        <v>29</v>
      </c>
      <c r="H63" s="15" t="s">
        <v>33</v>
      </c>
      <c r="I63" s="16" t="s">
        <v>20</v>
      </c>
      <c r="J63" s="16"/>
      <c r="K63" s="38" t="str">
        <f>"130,0"</f>
        <v>130,0</v>
      </c>
      <c r="L63" s="39" t="str">
        <f>"92,9760"</f>
        <v>92,9760</v>
      </c>
      <c r="M63" s="14"/>
    </row>
    <row r="64" spans="1:13" x14ac:dyDescent="0.2">
      <c r="A64" s="38" t="s">
        <v>1180</v>
      </c>
      <c r="B64" s="14" t="s">
        <v>1181</v>
      </c>
      <c r="C64" s="14" t="s">
        <v>1182</v>
      </c>
      <c r="D64" s="14" t="str">
        <f>"0,7300"</f>
        <v>0,7300</v>
      </c>
      <c r="E64" s="14" t="s">
        <v>17</v>
      </c>
      <c r="F64" s="14" t="s">
        <v>133</v>
      </c>
      <c r="G64" s="16" t="s">
        <v>45</v>
      </c>
      <c r="H64" s="15" t="s">
        <v>66</v>
      </c>
      <c r="I64" s="16" t="s">
        <v>19</v>
      </c>
      <c r="J64" s="16"/>
      <c r="K64" s="38" t="str">
        <f>"115,0"</f>
        <v>115,0</v>
      </c>
      <c r="L64" s="39" t="str">
        <f>"83,9500"</f>
        <v>83,9500</v>
      </c>
      <c r="M64" s="14" t="s">
        <v>1183</v>
      </c>
    </row>
    <row r="65" spans="1:13" x14ac:dyDescent="0.2">
      <c r="A65" s="38" t="s">
        <v>1184</v>
      </c>
      <c r="B65" s="14" t="s">
        <v>1185</v>
      </c>
      <c r="C65" s="14" t="s">
        <v>1168</v>
      </c>
      <c r="D65" s="14" t="str">
        <f>"0,7193"</f>
        <v>0,7193</v>
      </c>
      <c r="E65" s="14" t="s">
        <v>17</v>
      </c>
      <c r="F65" s="14" t="s">
        <v>40</v>
      </c>
      <c r="G65" s="15" t="s">
        <v>28</v>
      </c>
      <c r="H65" s="16" t="s">
        <v>66</v>
      </c>
      <c r="I65" s="16" t="s">
        <v>66</v>
      </c>
      <c r="J65" s="16"/>
      <c r="K65" s="38" t="str">
        <f>"110,0"</f>
        <v>110,0</v>
      </c>
      <c r="L65" s="39" t="str">
        <f>"79,1230"</f>
        <v>79,1230</v>
      </c>
      <c r="M65" s="14" t="s">
        <v>386</v>
      </c>
    </row>
    <row r="66" spans="1:13" x14ac:dyDescent="0.2">
      <c r="A66" s="38" t="s">
        <v>1186</v>
      </c>
      <c r="B66" s="14" t="s">
        <v>1187</v>
      </c>
      <c r="C66" s="14" t="s">
        <v>1188</v>
      </c>
      <c r="D66" s="14" t="str">
        <f>"0,7132"</f>
        <v>0,7132</v>
      </c>
      <c r="E66" s="14" t="s">
        <v>17</v>
      </c>
      <c r="F66" s="14" t="s">
        <v>1179</v>
      </c>
      <c r="G66" s="15" t="s">
        <v>401</v>
      </c>
      <c r="H66" s="15" t="s">
        <v>28</v>
      </c>
      <c r="I66" s="16" t="s">
        <v>66</v>
      </c>
      <c r="J66" s="16"/>
      <c r="K66" s="38" t="str">
        <f>"110,0"</f>
        <v>110,0</v>
      </c>
      <c r="L66" s="39" t="str">
        <f>"78,4520"</f>
        <v>78,4520</v>
      </c>
      <c r="M66" s="14" t="s">
        <v>325</v>
      </c>
    </row>
    <row r="67" spans="1:13" x14ac:dyDescent="0.2">
      <c r="A67" s="38" t="s">
        <v>1189</v>
      </c>
      <c r="B67" s="14" t="s">
        <v>1190</v>
      </c>
      <c r="C67" s="14" t="s">
        <v>86</v>
      </c>
      <c r="D67" s="14" t="str">
        <f>"0,7242"</f>
        <v>0,7242</v>
      </c>
      <c r="E67" s="14" t="s">
        <v>17</v>
      </c>
      <c r="F67" s="14" t="s">
        <v>40</v>
      </c>
      <c r="G67" s="16" t="s">
        <v>44</v>
      </c>
      <c r="H67" s="15" t="s">
        <v>44</v>
      </c>
      <c r="I67" s="16" t="s">
        <v>28</v>
      </c>
      <c r="J67" s="16"/>
      <c r="K67" s="38" t="str">
        <f>"107,5"</f>
        <v>107,5</v>
      </c>
      <c r="L67" s="39" t="str">
        <f>"77,8515"</f>
        <v>77,8515</v>
      </c>
      <c r="M67" s="14"/>
    </row>
    <row r="68" spans="1:13" x14ac:dyDescent="0.2">
      <c r="A68" s="38" t="s">
        <v>1191</v>
      </c>
      <c r="B68" s="14" t="s">
        <v>1192</v>
      </c>
      <c r="C68" s="14" t="s">
        <v>624</v>
      </c>
      <c r="D68" s="14" t="str">
        <f>"0,7159"</f>
        <v>0,7159</v>
      </c>
      <c r="E68" s="14" t="s">
        <v>17</v>
      </c>
      <c r="F68" s="14" t="s">
        <v>40</v>
      </c>
      <c r="G68" s="16" t="s">
        <v>28</v>
      </c>
      <c r="H68" s="16" t="s">
        <v>28</v>
      </c>
      <c r="I68" s="16" t="s">
        <v>28</v>
      </c>
      <c r="J68" s="16"/>
      <c r="K68" s="38" t="str">
        <f>"0.00"</f>
        <v>0.00</v>
      </c>
      <c r="L68" s="39" t="str">
        <f>"0,0000"</f>
        <v>0,0000</v>
      </c>
      <c r="M68" s="14" t="s">
        <v>1193</v>
      </c>
    </row>
    <row r="69" spans="1:13" x14ac:dyDescent="0.2">
      <c r="A69" s="38" t="s">
        <v>1195</v>
      </c>
      <c r="B69" s="14" t="s">
        <v>1196</v>
      </c>
      <c r="C69" s="14" t="s">
        <v>747</v>
      </c>
      <c r="D69" s="14" t="str">
        <f>"0,7179"</f>
        <v>0,7179</v>
      </c>
      <c r="E69" s="14" t="s">
        <v>17</v>
      </c>
      <c r="F69" s="14" t="s">
        <v>40</v>
      </c>
      <c r="G69" s="15" t="s">
        <v>20</v>
      </c>
      <c r="H69" s="15" t="s">
        <v>94</v>
      </c>
      <c r="I69" s="15" t="s">
        <v>34</v>
      </c>
      <c r="J69" s="16"/>
      <c r="K69" s="38" t="str">
        <f>"140,0"</f>
        <v>140,0</v>
      </c>
      <c r="L69" s="39" t="str">
        <f>"103,6217"</f>
        <v>103,6217</v>
      </c>
      <c r="M69" s="14" t="s">
        <v>2211</v>
      </c>
    </row>
    <row r="70" spans="1:13" x14ac:dyDescent="0.2">
      <c r="A70" s="38" t="s">
        <v>1197</v>
      </c>
      <c r="B70" s="14" t="s">
        <v>1198</v>
      </c>
      <c r="C70" s="14" t="s">
        <v>86</v>
      </c>
      <c r="D70" s="14" t="str">
        <f>"0,7242"</f>
        <v>0,7242</v>
      </c>
      <c r="E70" s="14" t="s">
        <v>17</v>
      </c>
      <c r="F70" s="14" t="s">
        <v>40</v>
      </c>
      <c r="G70" s="15" t="s">
        <v>29</v>
      </c>
      <c r="H70" s="15" t="s">
        <v>20</v>
      </c>
      <c r="I70" s="15" t="s">
        <v>34</v>
      </c>
      <c r="J70" s="15" t="s">
        <v>53</v>
      </c>
      <c r="K70" s="38" t="str">
        <f>"140,0"</f>
        <v>140,0</v>
      </c>
      <c r="L70" s="39" t="str">
        <f>"106,9643"</f>
        <v>106,9643</v>
      </c>
      <c r="M70" s="14"/>
    </row>
    <row r="71" spans="1:13" x14ac:dyDescent="0.2">
      <c r="A71" s="38" t="s">
        <v>1200</v>
      </c>
      <c r="B71" s="14" t="s">
        <v>1201</v>
      </c>
      <c r="C71" s="14" t="s">
        <v>1158</v>
      </c>
      <c r="D71" s="14" t="str">
        <f>"0,7337"</f>
        <v>0,7337</v>
      </c>
      <c r="E71" s="14" t="s">
        <v>17</v>
      </c>
      <c r="F71" s="14" t="s">
        <v>40</v>
      </c>
      <c r="G71" s="15" t="s">
        <v>33</v>
      </c>
      <c r="H71" s="15" t="s">
        <v>20</v>
      </c>
      <c r="I71" s="15" t="s">
        <v>94</v>
      </c>
      <c r="J71" s="16" t="s">
        <v>515</v>
      </c>
      <c r="K71" s="38" t="str">
        <f>"137,5"</f>
        <v>137,5</v>
      </c>
      <c r="L71" s="39" t="str">
        <f>"109,1562"</f>
        <v>109,1562</v>
      </c>
      <c r="M71" s="14"/>
    </row>
    <row r="72" spans="1:13" x14ac:dyDescent="0.2">
      <c r="A72" s="38" t="s">
        <v>1202</v>
      </c>
      <c r="B72" s="14" t="s">
        <v>1203</v>
      </c>
      <c r="C72" s="14" t="s">
        <v>642</v>
      </c>
      <c r="D72" s="14" t="str">
        <f>"0,7166"</f>
        <v>0,7166</v>
      </c>
      <c r="E72" s="14" t="s">
        <v>17</v>
      </c>
      <c r="F72" s="14" t="s">
        <v>40</v>
      </c>
      <c r="G72" s="16" t="s">
        <v>20</v>
      </c>
      <c r="H72" s="16" t="s">
        <v>20</v>
      </c>
      <c r="I72" s="16" t="s">
        <v>20</v>
      </c>
      <c r="J72" s="16"/>
      <c r="K72" s="38" t="str">
        <f>"0.00"</f>
        <v>0.00</v>
      </c>
      <c r="L72" s="39" t="str">
        <f>"0,0000"</f>
        <v>0,0000</v>
      </c>
      <c r="M72" s="14" t="s">
        <v>1204</v>
      </c>
    </row>
    <row r="73" spans="1:13" x14ac:dyDescent="0.2">
      <c r="A73" s="38" t="s">
        <v>1205</v>
      </c>
      <c r="B73" s="14" t="s">
        <v>1206</v>
      </c>
      <c r="C73" s="14" t="s">
        <v>747</v>
      </c>
      <c r="D73" s="14" t="str">
        <f>"0,7179"</f>
        <v>0,7179</v>
      </c>
      <c r="E73" s="14" t="s">
        <v>17</v>
      </c>
      <c r="F73" s="14" t="s">
        <v>1207</v>
      </c>
      <c r="G73" s="15" t="s">
        <v>66</v>
      </c>
      <c r="H73" s="15" t="s">
        <v>558</v>
      </c>
      <c r="I73" s="16" t="s">
        <v>19</v>
      </c>
      <c r="J73" s="16"/>
      <c r="K73" s="38" t="str">
        <f>"117,5"</f>
        <v>117,5</v>
      </c>
      <c r="L73" s="39" t="str">
        <f>"99,8742"</f>
        <v>99,8742</v>
      </c>
      <c r="M73" s="14" t="s">
        <v>1208</v>
      </c>
    </row>
    <row r="74" spans="1:13" x14ac:dyDescent="0.2">
      <c r="A74" s="33" t="s">
        <v>1210</v>
      </c>
      <c r="B74" s="11" t="s">
        <v>1211</v>
      </c>
      <c r="C74" s="11" t="s">
        <v>79</v>
      </c>
      <c r="D74" s="11" t="str">
        <f>"0,7264"</f>
        <v>0,7264</v>
      </c>
      <c r="E74" s="11" t="s">
        <v>17</v>
      </c>
      <c r="F74" s="11" t="s">
        <v>459</v>
      </c>
      <c r="G74" s="12" t="s">
        <v>21</v>
      </c>
      <c r="H74" s="12" t="s">
        <v>264</v>
      </c>
      <c r="I74" s="13" t="s">
        <v>31</v>
      </c>
      <c r="J74" s="13"/>
      <c r="K74" s="33" t="str">
        <f>"77,5"</f>
        <v>77,5</v>
      </c>
      <c r="L74" s="36" t="str">
        <f>"98,8558"</f>
        <v>98,8558</v>
      </c>
      <c r="M74" s="11" t="s">
        <v>1212</v>
      </c>
    </row>
    <row r="76" spans="1:13" ht="15" x14ac:dyDescent="0.2">
      <c r="A76" s="44" t="s">
        <v>59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</row>
    <row r="77" spans="1:13" x14ac:dyDescent="0.2">
      <c r="A77" s="32" t="s">
        <v>1214</v>
      </c>
      <c r="B77" s="8" t="s">
        <v>1215</v>
      </c>
      <c r="C77" s="8" t="s">
        <v>1216</v>
      </c>
      <c r="D77" s="8" t="str">
        <f>"0,6739"</f>
        <v>0,6739</v>
      </c>
      <c r="E77" s="8" t="s">
        <v>17</v>
      </c>
      <c r="F77" s="8" t="s">
        <v>40</v>
      </c>
      <c r="G77" s="9" t="s">
        <v>54</v>
      </c>
      <c r="H77" s="10" t="s">
        <v>80</v>
      </c>
      <c r="I77" s="10" t="s">
        <v>80</v>
      </c>
      <c r="J77" s="10"/>
      <c r="K77" s="32" t="str">
        <f>"150,0"</f>
        <v>150,0</v>
      </c>
      <c r="L77" s="35" t="str">
        <f>"101,0850"</f>
        <v>101,0850</v>
      </c>
      <c r="M77" s="8" t="s">
        <v>1217</v>
      </c>
    </row>
    <row r="78" spans="1:13" x14ac:dyDescent="0.2">
      <c r="A78" s="38" t="s">
        <v>1219</v>
      </c>
      <c r="B78" s="14" t="s">
        <v>1220</v>
      </c>
      <c r="C78" s="14" t="s">
        <v>646</v>
      </c>
      <c r="D78" s="14" t="str">
        <f>"0,6969"</f>
        <v>0,6969</v>
      </c>
      <c r="E78" s="14" t="s">
        <v>17</v>
      </c>
      <c r="F78" s="14" t="s">
        <v>1221</v>
      </c>
      <c r="G78" s="15" t="s">
        <v>53</v>
      </c>
      <c r="H78" s="15" t="s">
        <v>80</v>
      </c>
      <c r="I78" s="15" t="s">
        <v>82</v>
      </c>
      <c r="J78" s="16"/>
      <c r="K78" s="38" t="str">
        <f>"160,0"</f>
        <v>160,0</v>
      </c>
      <c r="L78" s="39" t="str">
        <f>"111,5040"</f>
        <v>111,5040</v>
      </c>
      <c r="M78" s="14"/>
    </row>
    <row r="79" spans="1:13" x14ac:dyDescent="0.2">
      <c r="A79" s="38" t="s">
        <v>1223</v>
      </c>
      <c r="B79" s="14" t="s">
        <v>1224</v>
      </c>
      <c r="C79" s="14" t="s">
        <v>750</v>
      </c>
      <c r="D79" s="14" t="str">
        <f>"0,6754"</f>
        <v>0,6754</v>
      </c>
      <c r="E79" s="14" t="s">
        <v>17</v>
      </c>
      <c r="F79" s="14" t="s">
        <v>1225</v>
      </c>
      <c r="G79" s="15" t="s">
        <v>41</v>
      </c>
      <c r="H79" s="16" t="s">
        <v>63</v>
      </c>
      <c r="I79" s="16" t="s">
        <v>63</v>
      </c>
      <c r="J79" s="16"/>
      <c r="K79" s="38" t="str">
        <f>"185,0"</f>
        <v>185,0</v>
      </c>
      <c r="L79" s="39" t="str">
        <f>"124,9490"</f>
        <v>124,9490</v>
      </c>
      <c r="M79" s="14"/>
    </row>
    <row r="80" spans="1:13" x14ac:dyDescent="0.2">
      <c r="A80" s="38" t="s">
        <v>1227</v>
      </c>
      <c r="B80" s="14" t="s">
        <v>1228</v>
      </c>
      <c r="C80" s="14" t="s">
        <v>606</v>
      </c>
      <c r="D80" s="14" t="str">
        <f>"0,6838"</f>
        <v>0,6838</v>
      </c>
      <c r="E80" s="14" t="s">
        <v>17</v>
      </c>
      <c r="F80" s="14" t="s">
        <v>40</v>
      </c>
      <c r="G80" s="16" t="s">
        <v>163</v>
      </c>
      <c r="H80" s="15" t="s">
        <v>163</v>
      </c>
      <c r="I80" s="15" t="s">
        <v>107</v>
      </c>
      <c r="J80" s="16"/>
      <c r="K80" s="38" t="str">
        <f>"152,5"</f>
        <v>152,5</v>
      </c>
      <c r="L80" s="39" t="str">
        <f>"104,2795"</f>
        <v>104,2795</v>
      </c>
      <c r="M80" s="14" t="s">
        <v>1229</v>
      </c>
    </row>
    <row r="81" spans="1:13" x14ac:dyDescent="0.2">
      <c r="A81" s="38" t="s">
        <v>1230</v>
      </c>
      <c r="B81" s="14" t="s">
        <v>800</v>
      </c>
      <c r="C81" s="14" t="s">
        <v>801</v>
      </c>
      <c r="D81" s="14" t="str">
        <f>"0,6785"</f>
        <v>0,6785</v>
      </c>
      <c r="E81" s="14" t="s">
        <v>17</v>
      </c>
      <c r="F81" s="14" t="s">
        <v>40</v>
      </c>
      <c r="G81" s="15" t="s">
        <v>107</v>
      </c>
      <c r="H81" s="16" t="s">
        <v>80</v>
      </c>
      <c r="I81" s="16" t="s">
        <v>80</v>
      </c>
      <c r="J81" s="16"/>
      <c r="K81" s="38" t="str">
        <f>"152,5"</f>
        <v>152,5</v>
      </c>
      <c r="L81" s="39" t="str">
        <f>"103,4712"</f>
        <v>103,4712</v>
      </c>
      <c r="M81" s="14"/>
    </row>
    <row r="82" spans="1:13" x14ac:dyDescent="0.2">
      <c r="A82" s="38" t="s">
        <v>1232</v>
      </c>
      <c r="B82" s="14" t="s">
        <v>1233</v>
      </c>
      <c r="C82" s="14" t="s">
        <v>1234</v>
      </c>
      <c r="D82" s="14" t="str">
        <f>"0,6759"</f>
        <v>0,6759</v>
      </c>
      <c r="E82" s="14" t="s">
        <v>17</v>
      </c>
      <c r="F82" s="14" t="s">
        <v>1111</v>
      </c>
      <c r="G82" s="15" t="s">
        <v>54</v>
      </c>
      <c r="H82" s="16" t="s">
        <v>80</v>
      </c>
      <c r="I82" s="16" t="s">
        <v>80</v>
      </c>
      <c r="J82" s="16"/>
      <c r="K82" s="38" t="str">
        <f>"150,0"</f>
        <v>150,0</v>
      </c>
      <c r="L82" s="39" t="str">
        <f>"101,3850"</f>
        <v>101,3850</v>
      </c>
      <c r="M82" s="14" t="s">
        <v>1235</v>
      </c>
    </row>
    <row r="83" spans="1:13" x14ac:dyDescent="0.2">
      <c r="A83" s="38" t="s">
        <v>1236</v>
      </c>
      <c r="B83" s="14" t="s">
        <v>1237</v>
      </c>
      <c r="C83" s="14" t="s">
        <v>1238</v>
      </c>
      <c r="D83" s="14" t="str">
        <f>"0,6827"</f>
        <v>0,6827</v>
      </c>
      <c r="E83" s="14" t="s">
        <v>2214</v>
      </c>
      <c r="F83" s="14" t="s">
        <v>1239</v>
      </c>
      <c r="G83" s="15" t="s">
        <v>19</v>
      </c>
      <c r="H83" s="15" t="s">
        <v>29</v>
      </c>
      <c r="I83" s="16" t="s">
        <v>33</v>
      </c>
      <c r="J83" s="16"/>
      <c r="K83" s="38" t="str">
        <f>"125,0"</f>
        <v>125,0</v>
      </c>
      <c r="L83" s="39" t="str">
        <f>"85,3375"</f>
        <v>85,3375</v>
      </c>
      <c r="M83" s="14" t="s">
        <v>1240</v>
      </c>
    </row>
    <row r="84" spans="1:13" x14ac:dyDescent="0.2">
      <c r="A84" s="38" t="s">
        <v>1241</v>
      </c>
      <c r="B84" s="14" t="s">
        <v>1242</v>
      </c>
      <c r="C84" s="14" t="s">
        <v>1243</v>
      </c>
      <c r="D84" s="14" t="str">
        <f>"0,6744"</f>
        <v>0,6744</v>
      </c>
      <c r="E84" s="14" t="s">
        <v>17</v>
      </c>
      <c r="F84" s="14" t="s">
        <v>40</v>
      </c>
      <c r="G84" s="15" t="s">
        <v>93</v>
      </c>
      <c r="H84" s="15" t="s">
        <v>94</v>
      </c>
      <c r="I84" s="16" t="s">
        <v>34</v>
      </c>
      <c r="J84" s="16"/>
      <c r="K84" s="38" t="str">
        <f>"137,5"</f>
        <v>137,5</v>
      </c>
      <c r="L84" s="39" t="str">
        <f>"94,5846"</f>
        <v>94,5846</v>
      </c>
      <c r="M84" s="14"/>
    </row>
    <row r="85" spans="1:13" x14ac:dyDescent="0.2">
      <c r="A85" s="38" t="s">
        <v>1244</v>
      </c>
      <c r="B85" s="14" t="s">
        <v>1245</v>
      </c>
      <c r="C85" s="14" t="s">
        <v>1243</v>
      </c>
      <c r="D85" s="14" t="str">
        <f>"0,6744"</f>
        <v>0,6744</v>
      </c>
      <c r="E85" s="14" t="s">
        <v>17</v>
      </c>
      <c r="F85" s="14" t="s">
        <v>40</v>
      </c>
      <c r="G85" s="15" t="s">
        <v>409</v>
      </c>
      <c r="H85" s="15" t="s">
        <v>93</v>
      </c>
      <c r="I85" s="15" t="s">
        <v>20</v>
      </c>
      <c r="J85" s="16"/>
      <c r="K85" s="38" t="str">
        <f>"135,0"</f>
        <v>135,0</v>
      </c>
      <c r="L85" s="39" t="str">
        <f>"92,8649"</f>
        <v>92,8649</v>
      </c>
      <c r="M85" s="14"/>
    </row>
    <row r="86" spans="1:13" x14ac:dyDescent="0.2">
      <c r="A86" s="38" t="s">
        <v>1246</v>
      </c>
      <c r="B86" s="14" t="s">
        <v>1247</v>
      </c>
      <c r="C86" s="14" t="s">
        <v>1216</v>
      </c>
      <c r="D86" s="14" t="str">
        <f>"0,6739"</f>
        <v>0,6739</v>
      </c>
      <c r="E86" s="14" t="s">
        <v>17</v>
      </c>
      <c r="F86" s="14" t="s">
        <v>40</v>
      </c>
      <c r="G86" s="15" t="s">
        <v>33</v>
      </c>
      <c r="H86" s="15" t="s">
        <v>20</v>
      </c>
      <c r="I86" s="16" t="s">
        <v>34</v>
      </c>
      <c r="J86" s="16"/>
      <c r="K86" s="38" t="str">
        <f>"135,0"</f>
        <v>135,0</v>
      </c>
      <c r="L86" s="39" t="str">
        <f>"102,8034"</f>
        <v>102,8034</v>
      </c>
      <c r="M86" s="14" t="s">
        <v>1248</v>
      </c>
    </row>
    <row r="87" spans="1:13" x14ac:dyDescent="0.2">
      <c r="A87" s="33" t="s">
        <v>1250</v>
      </c>
      <c r="B87" s="11" t="s">
        <v>1251</v>
      </c>
      <c r="C87" s="11" t="s">
        <v>805</v>
      </c>
      <c r="D87" s="11" t="str">
        <f>"0,6774"</f>
        <v>0,6774</v>
      </c>
      <c r="E87" s="11" t="s">
        <v>17</v>
      </c>
      <c r="F87" s="11" t="s">
        <v>1252</v>
      </c>
      <c r="G87" s="12" t="s">
        <v>19</v>
      </c>
      <c r="H87" s="12" t="s">
        <v>29</v>
      </c>
      <c r="I87" s="12" t="s">
        <v>33</v>
      </c>
      <c r="J87" s="13"/>
      <c r="K87" s="33" t="str">
        <f>"130,0"</f>
        <v>130,0</v>
      </c>
      <c r="L87" s="36" t="str">
        <f>"107,8759"</f>
        <v>107,8759</v>
      </c>
      <c r="M87" s="11"/>
    </row>
    <row r="89" spans="1:13" ht="15" x14ac:dyDescent="0.2">
      <c r="A89" s="44" t="s">
        <v>96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</row>
    <row r="90" spans="1:13" x14ac:dyDescent="0.2">
      <c r="A90" s="32" t="s">
        <v>1254</v>
      </c>
      <c r="B90" s="8" t="s">
        <v>1255</v>
      </c>
      <c r="C90" s="8" t="s">
        <v>1256</v>
      </c>
      <c r="D90" s="8" t="str">
        <f>"0,6395"</f>
        <v>0,6395</v>
      </c>
      <c r="E90" s="8" t="s">
        <v>17</v>
      </c>
      <c r="F90" s="8" t="s">
        <v>810</v>
      </c>
      <c r="G90" s="9" t="s">
        <v>56</v>
      </c>
      <c r="H90" s="10" t="s">
        <v>58</v>
      </c>
      <c r="I90" s="9" t="s">
        <v>58</v>
      </c>
      <c r="J90" s="10"/>
      <c r="K90" s="32" t="str">
        <f>"175,0"</f>
        <v>175,0</v>
      </c>
      <c r="L90" s="35" t="str">
        <f>"111,9125"</f>
        <v>111,9125</v>
      </c>
      <c r="M90" s="8"/>
    </row>
    <row r="91" spans="1:13" x14ac:dyDescent="0.2">
      <c r="A91" s="38" t="s">
        <v>1258</v>
      </c>
      <c r="B91" s="14" t="s">
        <v>1259</v>
      </c>
      <c r="C91" s="14" t="s">
        <v>293</v>
      </c>
      <c r="D91" s="14" t="str">
        <f>"0,6424"</f>
        <v>0,6424</v>
      </c>
      <c r="E91" s="14" t="s">
        <v>17</v>
      </c>
      <c r="F91" s="14" t="s">
        <v>1260</v>
      </c>
      <c r="G91" s="15" t="s">
        <v>169</v>
      </c>
      <c r="H91" s="15" t="s">
        <v>302</v>
      </c>
      <c r="I91" s="15" t="s">
        <v>57</v>
      </c>
      <c r="J91" s="16"/>
      <c r="K91" s="38" t="str">
        <f>"170,0"</f>
        <v>170,0</v>
      </c>
      <c r="L91" s="39" t="str">
        <f>"109,2080"</f>
        <v>109,2080</v>
      </c>
      <c r="M91" s="14"/>
    </row>
    <row r="92" spans="1:13" x14ac:dyDescent="0.2">
      <c r="A92" s="38" t="s">
        <v>1262</v>
      </c>
      <c r="B92" s="14" t="s">
        <v>1263</v>
      </c>
      <c r="C92" s="14" t="s">
        <v>809</v>
      </c>
      <c r="D92" s="14" t="str">
        <f>"0,6388"</f>
        <v>0,6388</v>
      </c>
      <c r="E92" s="14" t="s">
        <v>17</v>
      </c>
      <c r="F92" s="14" t="s">
        <v>40</v>
      </c>
      <c r="G92" s="15" t="s">
        <v>80</v>
      </c>
      <c r="H92" s="15" t="s">
        <v>82</v>
      </c>
      <c r="I92" s="15" t="s">
        <v>57</v>
      </c>
      <c r="J92" s="16"/>
      <c r="K92" s="38" t="str">
        <f>"170,0"</f>
        <v>170,0</v>
      </c>
      <c r="L92" s="39" t="str">
        <f>"108,5960"</f>
        <v>108,5960</v>
      </c>
      <c r="M92" s="14"/>
    </row>
    <row r="93" spans="1:13" x14ac:dyDescent="0.2">
      <c r="A93" s="38" t="s">
        <v>1265</v>
      </c>
      <c r="B93" s="14" t="s">
        <v>1266</v>
      </c>
      <c r="C93" s="14" t="s">
        <v>132</v>
      </c>
      <c r="D93" s="14" t="str">
        <f>"0,6507"</f>
        <v>0,6507</v>
      </c>
      <c r="E93" s="14" t="s">
        <v>17</v>
      </c>
      <c r="F93" s="14" t="s">
        <v>40</v>
      </c>
      <c r="G93" s="15" t="s">
        <v>53</v>
      </c>
      <c r="H93" s="15" t="s">
        <v>80</v>
      </c>
      <c r="I93" s="15" t="s">
        <v>82</v>
      </c>
      <c r="J93" s="16"/>
      <c r="K93" s="38" t="str">
        <f>"160,0"</f>
        <v>160,0</v>
      </c>
      <c r="L93" s="39" t="str">
        <f>"104,1120"</f>
        <v>104,1120</v>
      </c>
      <c r="M93" s="14" t="s">
        <v>1267</v>
      </c>
    </row>
    <row r="94" spans="1:13" x14ac:dyDescent="0.2">
      <c r="A94" s="38" t="s">
        <v>1269</v>
      </c>
      <c r="B94" s="14" t="s">
        <v>1270</v>
      </c>
      <c r="C94" s="14" t="s">
        <v>114</v>
      </c>
      <c r="D94" s="14" t="str">
        <f>"0,6432"</f>
        <v>0,6432</v>
      </c>
      <c r="E94" s="14" t="s">
        <v>17</v>
      </c>
      <c r="F94" s="14" t="s">
        <v>40</v>
      </c>
      <c r="G94" s="15" t="s">
        <v>53</v>
      </c>
      <c r="H94" s="16" t="s">
        <v>80</v>
      </c>
      <c r="I94" s="16" t="s">
        <v>80</v>
      </c>
      <c r="J94" s="16"/>
      <c r="K94" s="38" t="str">
        <f>"145,0"</f>
        <v>145,0</v>
      </c>
      <c r="L94" s="39" t="str">
        <f>"93,2640"</f>
        <v>93,2640</v>
      </c>
      <c r="M94" s="14"/>
    </row>
    <row r="95" spans="1:13" x14ac:dyDescent="0.2">
      <c r="A95" s="38" t="s">
        <v>1271</v>
      </c>
      <c r="B95" s="14" t="s">
        <v>1272</v>
      </c>
      <c r="C95" s="14" t="s">
        <v>478</v>
      </c>
      <c r="D95" s="14" t="str">
        <f>"0,6421"</f>
        <v>0,6421</v>
      </c>
      <c r="E95" s="14" t="s">
        <v>17</v>
      </c>
      <c r="F95" s="14" t="s">
        <v>40</v>
      </c>
      <c r="G95" s="16" t="s">
        <v>33</v>
      </c>
      <c r="H95" s="15" t="s">
        <v>33</v>
      </c>
      <c r="I95" s="16" t="s">
        <v>20</v>
      </c>
      <c r="J95" s="16"/>
      <c r="K95" s="38" t="str">
        <f>"130,0"</f>
        <v>130,0</v>
      </c>
      <c r="L95" s="39" t="str">
        <f>"83,4730"</f>
        <v>83,4730</v>
      </c>
      <c r="M95" s="14" t="s">
        <v>1273</v>
      </c>
    </row>
    <row r="96" spans="1:13" x14ac:dyDescent="0.2">
      <c r="A96" s="38" t="s">
        <v>1274</v>
      </c>
      <c r="B96" s="14" t="s">
        <v>1275</v>
      </c>
      <c r="C96" s="14" t="s">
        <v>114</v>
      </c>
      <c r="D96" s="14" t="str">
        <f>"0,6432"</f>
        <v>0,6432</v>
      </c>
      <c r="E96" s="14" t="s">
        <v>17</v>
      </c>
      <c r="F96" s="14" t="s">
        <v>40</v>
      </c>
      <c r="G96" s="15" t="s">
        <v>93</v>
      </c>
      <c r="H96" s="15" t="s">
        <v>94</v>
      </c>
      <c r="I96" s="16" t="s">
        <v>34</v>
      </c>
      <c r="J96" s="16"/>
      <c r="K96" s="38" t="str">
        <f>"137,5"</f>
        <v>137,5</v>
      </c>
      <c r="L96" s="39" t="str">
        <f>"92,2429"</f>
        <v>92,2429</v>
      </c>
      <c r="M96" s="14" t="s">
        <v>1276</v>
      </c>
    </row>
    <row r="97" spans="1:13" x14ac:dyDescent="0.2">
      <c r="A97" s="38" t="s">
        <v>1277</v>
      </c>
      <c r="B97" s="14" t="s">
        <v>1278</v>
      </c>
      <c r="C97" s="14" t="s">
        <v>138</v>
      </c>
      <c r="D97" s="14" t="str">
        <f>"0,6503"</f>
        <v>0,6503</v>
      </c>
      <c r="E97" s="14" t="s">
        <v>17</v>
      </c>
      <c r="F97" s="14" t="s">
        <v>40</v>
      </c>
      <c r="G97" s="15" t="s">
        <v>270</v>
      </c>
      <c r="H97" s="16" t="s">
        <v>43</v>
      </c>
      <c r="I97" s="16" t="s">
        <v>28</v>
      </c>
      <c r="J97" s="16"/>
      <c r="K97" s="38" t="str">
        <f>"95,0"</f>
        <v>95,0</v>
      </c>
      <c r="L97" s="39" t="str">
        <f>"61,7785"</f>
        <v>61,7785</v>
      </c>
      <c r="M97" s="14" t="s">
        <v>1042</v>
      </c>
    </row>
    <row r="98" spans="1:13" x14ac:dyDescent="0.2">
      <c r="A98" s="38" t="s">
        <v>1254</v>
      </c>
      <c r="B98" s="14" t="s">
        <v>1279</v>
      </c>
      <c r="C98" s="14" t="s">
        <v>1256</v>
      </c>
      <c r="D98" s="14" t="str">
        <f>"0,6395"</f>
        <v>0,6395</v>
      </c>
      <c r="E98" s="14" t="s">
        <v>17</v>
      </c>
      <c r="F98" s="14" t="s">
        <v>810</v>
      </c>
      <c r="G98" s="15" t="s">
        <v>56</v>
      </c>
      <c r="H98" s="16" t="s">
        <v>58</v>
      </c>
      <c r="I98" s="15" t="s">
        <v>58</v>
      </c>
      <c r="J98" s="16"/>
      <c r="K98" s="38" t="str">
        <f>"175,0"</f>
        <v>175,0</v>
      </c>
      <c r="L98" s="39" t="str">
        <f>"121,0893"</f>
        <v>121,0893</v>
      </c>
      <c r="M98" s="14"/>
    </row>
    <row r="99" spans="1:13" x14ac:dyDescent="0.2">
      <c r="A99" s="38" t="s">
        <v>1281</v>
      </c>
      <c r="B99" s="14" t="s">
        <v>1282</v>
      </c>
      <c r="C99" s="14" t="s">
        <v>485</v>
      </c>
      <c r="D99" s="14" t="str">
        <f>"0,6436"</f>
        <v>0,6436</v>
      </c>
      <c r="E99" s="14" t="s">
        <v>17</v>
      </c>
      <c r="F99" s="14" t="s">
        <v>1179</v>
      </c>
      <c r="G99" s="15" t="s">
        <v>53</v>
      </c>
      <c r="H99" s="15" t="s">
        <v>54</v>
      </c>
      <c r="I99" s="16" t="s">
        <v>80</v>
      </c>
      <c r="J99" s="16"/>
      <c r="K99" s="38" t="str">
        <f>"150,0"</f>
        <v>150,0</v>
      </c>
      <c r="L99" s="39" t="str">
        <f>"107,4490"</f>
        <v>107,4490</v>
      </c>
      <c r="M99" s="14" t="s">
        <v>1283</v>
      </c>
    </row>
    <row r="100" spans="1:13" x14ac:dyDescent="0.2">
      <c r="A100" s="38" t="s">
        <v>1284</v>
      </c>
      <c r="B100" s="14" t="s">
        <v>1285</v>
      </c>
      <c r="C100" s="14" t="s">
        <v>1286</v>
      </c>
      <c r="D100" s="14" t="str">
        <f>"0,6562"</f>
        <v>0,6562</v>
      </c>
      <c r="E100" s="14" t="s">
        <v>17</v>
      </c>
      <c r="F100" s="14" t="s">
        <v>489</v>
      </c>
      <c r="G100" s="15" t="s">
        <v>515</v>
      </c>
      <c r="H100" s="15" t="s">
        <v>53</v>
      </c>
      <c r="I100" s="16" t="s">
        <v>163</v>
      </c>
      <c r="J100" s="16"/>
      <c r="K100" s="38" t="str">
        <f>"145,0"</f>
        <v>145,0</v>
      </c>
      <c r="L100" s="39" t="str">
        <f>"100,3822"</f>
        <v>100,3822</v>
      </c>
      <c r="M100" s="14" t="s">
        <v>1287</v>
      </c>
    </row>
    <row r="101" spans="1:13" x14ac:dyDescent="0.2">
      <c r="A101" s="38" t="s">
        <v>1289</v>
      </c>
      <c r="B101" s="14" t="s">
        <v>1290</v>
      </c>
      <c r="C101" s="14" t="s">
        <v>300</v>
      </c>
      <c r="D101" s="14" t="str">
        <f>"0,6406"</f>
        <v>0,6406</v>
      </c>
      <c r="E101" s="14" t="s">
        <v>17</v>
      </c>
      <c r="F101" s="14" t="s">
        <v>40</v>
      </c>
      <c r="G101" s="15" t="s">
        <v>54</v>
      </c>
      <c r="H101" s="15" t="s">
        <v>82</v>
      </c>
      <c r="I101" s="16" t="s">
        <v>57</v>
      </c>
      <c r="J101" s="16"/>
      <c r="K101" s="38" t="str">
        <f>"160,0"</f>
        <v>160,0</v>
      </c>
      <c r="L101" s="39" t="str">
        <f>"117,5629"</f>
        <v>117,5629</v>
      </c>
      <c r="M101" s="14"/>
    </row>
    <row r="102" spans="1:13" x14ac:dyDescent="0.2">
      <c r="A102" s="38" t="s">
        <v>1292</v>
      </c>
      <c r="B102" s="14" t="s">
        <v>1293</v>
      </c>
      <c r="C102" s="14" t="s">
        <v>1256</v>
      </c>
      <c r="D102" s="14" t="str">
        <f>"0,6395"</f>
        <v>0,6395</v>
      </c>
      <c r="E102" s="14" t="s">
        <v>17</v>
      </c>
      <c r="F102" s="14" t="s">
        <v>1294</v>
      </c>
      <c r="G102" s="15" t="s">
        <v>29</v>
      </c>
      <c r="H102" s="16" t="s">
        <v>33</v>
      </c>
      <c r="I102" s="15" t="s">
        <v>33</v>
      </c>
      <c r="J102" s="16"/>
      <c r="K102" s="38" t="str">
        <f>"130,0"</f>
        <v>130,0</v>
      </c>
      <c r="L102" s="39" t="str">
        <f>"111,4009"</f>
        <v>111,4009</v>
      </c>
      <c r="M102" s="14" t="s">
        <v>1295</v>
      </c>
    </row>
    <row r="103" spans="1:13" x14ac:dyDescent="0.2">
      <c r="A103" s="33" t="s">
        <v>1296</v>
      </c>
      <c r="B103" s="11" t="s">
        <v>1297</v>
      </c>
      <c r="C103" s="11" t="s">
        <v>114</v>
      </c>
      <c r="D103" s="11" t="str">
        <f>"0,6432"</f>
        <v>0,6432</v>
      </c>
      <c r="E103" s="11" t="s">
        <v>17</v>
      </c>
      <c r="F103" s="11" t="s">
        <v>1298</v>
      </c>
      <c r="G103" s="12" t="s">
        <v>32</v>
      </c>
      <c r="H103" s="12" t="s">
        <v>270</v>
      </c>
      <c r="I103" s="12" t="s">
        <v>81</v>
      </c>
      <c r="J103" s="13"/>
      <c r="K103" s="33" t="str">
        <f>"100,0"</f>
        <v>100,0</v>
      </c>
      <c r="L103" s="36" t="str">
        <f>"93,2640"</f>
        <v>93,2640</v>
      </c>
      <c r="M103" s="11"/>
    </row>
    <row r="105" spans="1:13" ht="15" x14ac:dyDescent="0.2">
      <c r="A105" s="44" t="s">
        <v>139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</row>
    <row r="106" spans="1:13" x14ac:dyDescent="0.2">
      <c r="A106" s="32" t="s">
        <v>1300</v>
      </c>
      <c r="B106" s="8" t="s">
        <v>1301</v>
      </c>
      <c r="C106" s="8" t="s">
        <v>323</v>
      </c>
      <c r="D106" s="8" t="str">
        <f>"0,6139"</f>
        <v>0,6139</v>
      </c>
      <c r="E106" s="8" t="s">
        <v>17</v>
      </c>
      <c r="F106" s="8" t="s">
        <v>40</v>
      </c>
      <c r="G106" s="9" t="s">
        <v>117</v>
      </c>
      <c r="H106" s="9" t="s">
        <v>56</v>
      </c>
      <c r="I106" s="9" t="s">
        <v>302</v>
      </c>
      <c r="J106" s="10" t="s">
        <v>57</v>
      </c>
      <c r="K106" s="32" t="str">
        <f>"167,5"</f>
        <v>167,5</v>
      </c>
      <c r="L106" s="35" t="str">
        <f>"102,8283"</f>
        <v>102,8283</v>
      </c>
      <c r="M106" s="8" t="s">
        <v>1302</v>
      </c>
    </row>
    <row r="107" spans="1:13" x14ac:dyDescent="0.2">
      <c r="A107" s="38" t="s">
        <v>1304</v>
      </c>
      <c r="B107" s="14" t="s">
        <v>1305</v>
      </c>
      <c r="C107" s="14" t="s">
        <v>1306</v>
      </c>
      <c r="D107" s="14" t="str">
        <f>"0,6131"</f>
        <v>0,6131</v>
      </c>
      <c r="E107" s="14" t="s">
        <v>17</v>
      </c>
      <c r="F107" s="14" t="s">
        <v>40</v>
      </c>
      <c r="G107" s="15" t="s">
        <v>54</v>
      </c>
      <c r="H107" s="15" t="s">
        <v>117</v>
      </c>
      <c r="I107" s="15" t="s">
        <v>169</v>
      </c>
      <c r="J107" s="16"/>
      <c r="K107" s="38" t="str">
        <f>"162,5"</f>
        <v>162,5</v>
      </c>
      <c r="L107" s="39" t="str">
        <f>"99,6287"</f>
        <v>99,6287</v>
      </c>
      <c r="M107" s="14" t="s">
        <v>1307</v>
      </c>
    </row>
    <row r="108" spans="1:13" x14ac:dyDescent="0.2">
      <c r="A108" s="38" t="s">
        <v>1309</v>
      </c>
      <c r="B108" s="14" t="s">
        <v>1310</v>
      </c>
      <c r="C108" s="14" t="s">
        <v>841</v>
      </c>
      <c r="D108" s="14" t="str">
        <f>"0,6147"</f>
        <v>0,6147</v>
      </c>
      <c r="E108" s="14" t="s">
        <v>17</v>
      </c>
      <c r="F108" s="14" t="s">
        <v>40</v>
      </c>
      <c r="G108" s="15" t="s">
        <v>64</v>
      </c>
      <c r="H108" s="16" t="s">
        <v>47</v>
      </c>
      <c r="I108" s="16" t="s">
        <v>47</v>
      </c>
      <c r="J108" s="16"/>
      <c r="K108" s="38" t="str">
        <f>"200,0"</f>
        <v>200,0</v>
      </c>
      <c r="L108" s="39" t="str">
        <f>"122,9400"</f>
        <v>122,9400</v>
      </c>
      <c r="M108" s="14" t="s">
        <v>1311</v>
      </c>
    </row>
    <row r="109" spans="1:13" x14ac:dyDescent="0.2">
      <c r="A109" s="38" t="s">
        <v>1313</v>
      </c>
      <c r="B109" s="14" t="s">
        <v>1314</v>
      </c>
      <c r="C109" s="14" t="s">
        <v>1315</v>
      </c>
      <c r="D109" s="14" t="str">
        <f>"0,6113"</f>
        <v>0,6113</v>
      </c>
      <c r="E109" s="14" t="s">
        <v>17</v>
      </c>
      <c r="F109" s="14" t="s">
        <v>40</v>
      </c>
      <c r="G109" s="15" t="s">
        <v>58</v>
      </c>
      <c r="H109" s="15" t="s">
        <v>67</v>
      </c>
      <c r="I109" s="15" t="s">
        <v>186</v>
      </c>
      <c r="J109" s="16"/>
      <c r="K109" s="38" t="str">
        <f>"187,5"</f>
        <v>187,5</v>
      </c>
      <c r="L109" s="39" t="str">
        <f>"114,6187"</f>
        <v>114,6187</v>
      </c>
      <c r="M109" s="14"/>
    </row>
    <row r="110" spans="1:13" x14ac:dyDescent="0.2">
      <c r="A110" s="38" t="s">
        <v>1317</v>
      </c>
      <c r="B110" s="14" t="s">
        <v>1318</v>
      </c>
      <c r="C110" s="14" t="s">
        <v>1319</v>
      </c>
      <c r="D110" s="14" t="str">
        <f>"0,6331"</f>
        <v>0,6331</v>
      </c>
      <c r="E110" s="14" t="s">
        <v>17</v>
      </c>
      <c r="F110" s="14" t="s">
        <v>40</v>
      </c>
      <c r="G110" s="15" t="s">
        <v>80</v>
      </c>
      <c r="H110" s="15" t="s">
        <v>56</v>
      </c>
      <c r="I110" s="16" t="s">
        <v>57</v>
      </c>
      <c r="J110" s="16"/>
      <c r="K110" s="38" t="str">
        <f>"165,0"</f>
        <v>165,0</v>
      </c>
      <c r="L110" s="39" t="str">
        <f>"104,4615"</f>
        <v>104,4615</v>
      </c>
      <c r="M110" s="14" t="s">
        <v>1320</v>
      </c>
    </row>
    <row r="111" spans="1:13" x14ac:dyDescent="0.2">
      <c r="A111" s="38" t="s">
        <v>1322</v>
      </c>
      <c r="B111" s="14" t="s">
        <v>1323</v>
      </c>
      <c r="C111" s="14" t="s">
        <v>1324</v>
      </c>
      <c r="D111" s="14" t="str">
        <f>"0,6103"</f>
        <v>0,6103</v>
      </c>
      <c r="E111" s="14" t="s">
        <v>17</v>
      </c>
      <c r="F111" s="14" t="s">
        <v>498</v>
      </c>
      <c r="G111" s="15" t="s">
        <v>82</v>
      </c>
      <c r="H111" s="16" t="s">
        <v>56</v>
      </c>
      <c r="I111" s="16" t="s">
        <v>56</v>
      </c>
      <c r="J111" s="16"/>
      <c r="K111" s="38" t="str">
        <f>"160,0"</f>
        <v>160,0</v>
      </c>
      <c r="L111" s="39" t="str">
        <f>"97,6480"</f>
        <v>97,6480</v>
      </c>
      <c r="M111" s="14" t="s">
        <v>1325</v>
      </c>
    </row>
    <row r="112" spans="1:13" x14ac:dyDescent="0.2">
      <c r="A112" s="38" t="s">
        <v>1327</v>
      </c>
      <c r="B112" s="14" t="s">
        <v>1328</v>
      </c>
      <c r="C112" s="14" t="s">
        <v>168</v>
      </c>
      <c r="D112" s="14" t="str">
        <f>"0,6180"</f>
        <v>0,6180</v>
      </c>
      <c r="E112" s="14" t="s">
        <v>17</v>
      </c>
      <c r="F112" s="14" t="s">
        <v>40</v>
      </c>
      <c r="G112" s="15" t="s">
        <v>107</v>
      </c>
      <c r="H112" s="15" t="s">
        <v>117</v>
      </c>
      <c r="I112" s="16" t="s">
        <v>56</v>
      </c>
      <c r="J112" s="16"/>
      <c r="K112" s="38" t="str">
        <f>"157,5"</f>
        <v>157,5</v>
      </c>
      <c r="L112" s="39" t="str">
        <f>"97,3350"</f>
        <v>97,3350</v>
      </c>
      <c r="M112" s="14" t="s">
        <v>2210</v>
      </c>
    </row>
    <row r="113" spans="1:13" x14ac:dyDescent="0.2">
      <c r="A113" s="38" t="s">
        <v>1330</v>
      </c>
      <c r="B113" s="14" t="s">
        <v>1331</v>
      </c>
      <c r="C113" s="14" t="s">
        <v>151</v>
      </c>
      <c r="D113" s="14" t="str">
        <f>"0,6194"</f>
        <v>0,6194</v>
      </c>
      <c r="E113" s="14" t="s">
        <v>17</v>
      </c>
      <c r="F113" s="14" t="s">
        <v>40</v>
      </c>
      <c r="G113" s="16" t="s">
        <v>80</v>
      </c>
      <c r="H113" s="15" t="s">
        <v>80</v>
      </c>
      <c r="I113" s="16" t="s">
        <v>56</v>
      </c>
      <c r="J113" s="16"/>
      <c r="K113" s="38" t="str">
        <f>"155,0"</f>
        <v>155,0</v>
      </c>
      <c r="L113" s="39" t="str">
        <f>"96,0070"</f>
        <v>96,0070</v>
      </c>
      <c r="M113" s="14"/>
    </row>
    <row r="114" spans="1:13" x14ac:dyDescent="0.2">
      <c r="A114" s="38" t="s">
        <v>1332</v>
      </c>
      <c r="B114" s="14" t="s">
        <v>1333</v>
      </c>
      <c r="C114" s="14" t="s">
        <v>1315</v>
      </c>
      <c r="D114" s="14" t="str">
        <f>"0,6113"</f>
        <v>0,6113</v>
      </c>
      <c r="E114" s="14" t="s">
        <v>17</v>
      </c>
      <c r="F114" s="14" t="s">
        <v>87</v>
      </c>
      <c r="G114" s="15" t="s">
        <v>107</v>
      </c>
      <c r="H114" s="16" t="s">
        <v>117</v>
      </c>
      <c r="I114" s="16" t="s">
        <v>117</v>
      </c>
      <c r="J114" s="16"/>
      <c r="K114" s="38" t="str">
        <f>"152,5"</f>
        <v>152,5</v>
      </c>
      <c r="L114" s="39" t="str">
        <f>"93,2232"</f>
        <v>93,2232</v>
      </c>
      <c r="M114" s="14"/>
    </row>
    <row r="115" spans="1:13" x14ac:dyDescent="0.2">
      <c r="A115" s="38" t="s">
        <v>1335</v>
      </c>
      <c r="B115" s="14" t="s">
        <v>1336</v>
      </c>
      <c r="C115" s="14" t="s">
        <v>168</v>
      </c>
      <c r="D115" s="14" t="str">
        <f>"0,6180"</f>
        <v>0,6180</v>
      </c>
      <c r="E115" s="14" t="s">
        <v>17</v>
      </c>
      <c r="F115" s="14" t="s">
        <v>40</v>
      </c>
      <c r="G115" s="15" t="s">
        <v>515</v>
      </c>
      <c r="H115" s="15" t="s">
        <v>54</v>
      </c>
      <c r="I115" s="16" t="s">
        <v>80</v>
      </c>
      <c r="J115" s="16"/>
      <c r="K115" s="38" t="str">
        <f>"150,0"</f>
        <v>150,0</v>
      </c>
      <c r="L115" s="39" t="str">
        <f>"92,7000"</f>
        <v>92,7000</v>
      </c>
      <c r="M115" s="14" t="s">
        <v>1337</v>
      </c>
    </row>
    <row r="116" spans="1:13" x14ac:dyDescent="0.2">
      <c r="A116" s="38" t="s">
        <v>1338</v>
      </c>
      <c r="B116" s="14" t="s">
        <v>1339</v>
      </c>
      <c r="C116" s="14" t="s">
        <v>1340</v>
      </c>
      <c r="D116" s="14" t="str">
        <f>"0,6214"</f>
        <v>0,6214</v>
      </c>
      <c r="E116" s="14" t="s">
        <v>17</v>
      </c>
      <c r="F116" s="14" t="s">
        <v>40</v>
      </c>
      <c r="G116" s="16" t="s">
        <v>20</v>
      </c>
      <c r="H116" s="16"/>
      <c r="I116" s="16"/>
      <c r="J116" s="16"/>
      <c r="K116" s="38" t="str">
        <f>"0.00"</f>
        <v>0.00</v>
      </c>
      <c r="L116" s="39" t="str">
        <f>"0,0000"</f>
        <v>0,0000</v>
      </c>
      <c r="M116" s="14" t="s">
        <v>1341</v>
      </c>
    </row>
    <row r="117" spans="1:13" x14ac:dyDescent="0.2">
      <c r="A117" s="38" t="s">
        <v>1342</v>
      </c>
      <c r="B117" s="14" t="s">
        <v>1343</v>
      </c>
      <c r="C117" s="14" t="s">
        <v>1344</v>
      </c>
      <c r="D117" s="14" t="str">
        <f>"0,6098"</f>
        <v>0,6098</v>
      </c>
      <c r="E117" s="14" t="s">
        <v>17</v>
      </c>
      <c r="F117" s="14" t="s">
        <v>1179</v>
      </c>
      <c r="G117" s="16" t="s">
        <v>82</v>
      </c>
      <c r="H117" s="16" t="s">
        <v>56</v>
      </c>
      <c r="I117" s="16" t="s">
        <v>56</v>
      </c>
      <c r="J117" s="16"/>
      <c r="K117" s="38" t="str">
        <f>"0.00"</f>
        <v>0.00</v>
      </c>
      <c r="L117" s="39" t="str">
        <f>"0,0000"</f>
        <v>0,0000</v>
      </c>
      <c r="M117" s="14"/>
    </row>
    <row r="118" spans="1:13" x14ac:dyDescent="0.2">
      <c r="A118" s="38" t="s">
        <v>1345</v>
      </c>
      <c r="B118" s="14" t="s">
        <v>1346</v>
      </c>
      <c r="C118" s="14" t="s">
        <v>1347</v>
      </c>
      <c r="D118" s="14" t="str">
        <f>"0,6111"</f>
        <v>0,6111</v>
      </c>
      <c r="E118" s="14" t="s">
        <v>17</v>
      </c>
      <c r="F118" s="14" t="s">
        <v>40</v>
      </c>
      <c r="G118" s="16" t="s">
        <v>82</v>
      </c>
      <c r="H118" s="15" t="s">
        <v>56</v>
      </c>
      <c r="I118" s="15" t="s">
        <v>57</v>
      </c>
      <c r="J118" s="16"/>
      <c r="K118" s="38" t="str">
        <f>"170,0"</f>
        <v>170,0</v>
      </c>
      <c r="L118" s="39" t="str">
        <f>"107,1075"</f>
        <v>107,1075</v>
      </c>
      <c r="M118" s="14" t="s">
        <v>2209</v>
      </c>
    </row>
    <row r="119" spans="1:13" x14ac:dyDescent="0.2">
      <c r="A119" s="38" t="s">
        <v>1349</v>
      </c>
      <c r="B119" s="14" t="s">
        <v>1350</v>
      </c>
      <c r="C119" s="14" t="s">
        <v>982</v>
      </c>
      <c r="D119" s="14" t="str">
        <f>"0,6096"</f>
        <v>0,6096</v>
      </c>
      <c r="E119" s="14" t="s">
        <v>17</v>
      </c>
      <c r="F119" s="14" t="s">
        <v>40</v>
      </c>
      <c r="G119" s="15" t="s">
        <v>53</v>
      </c>
      <c r="H119" s="16" t="s">
        <v>54</v>
      </c>
      <c r="I119" s="16" t="s">
        <v>117</v>
      </c>
      <c r="J119" s="16"/>
      <c r="K119" s="38" t="str">
        <f>"145,0"</f>
        <v>145,0</v>
      </c>
      <c r="L119" s="39" t="str">
        <f>"89,2759"</f>
        <v>89,2759</v>
      </c>
      <c r="M119" s="14"/>
    </row>
    <row r="120" spans="1:13" x14ac:dyDescent="0.2">
      <c r="A120" s="38" t="s">
        <v>1352</v>
      </c>
      <c r="B120" s="14" t="s">
        <v>1353</v>
      </c>
      <c r="C120" s="14" t="s">
        <v>157</v>
      </c>
      <c r="D120" s="14" t="str">
        <f>"0,6134"</f>
        <v>0,6134</v>
      </c>
      <c r="E120" s="14" t="s">
        <v>17</v>
      </c>
      <c r="F120" s="14" t="s">
        <v>133</v>
      </c>
      <c r="G120" s="15" t="s">
        <v>296</v>
      </c>
      <c r="H120" s="15" t="s">
        <v>827</v>
      </c>
      <c r="I120" s="15" t="s">
        <v>67</v>
      </c>
      <c r="J120" s="16"/>
      <c r="K120" s="38" t="str">
        <f>"180,0"</f>
        <v>180,0</v>
      </c>
      <c r="L120" s="39" t="str">
        <f>"116,4847"</f>
        <v>116,4847</v>
      </c>
      <c r="M120" s="14" t="s">
        <v>410</v>
      </c>
    </row>
    <row r="121" spans="1:13" x14ac:dyDescent="0.2">
      <c r="A121" s="38" t="s">
        <v>1355</v>
      </c>
      <c r="B121" s="14" t="s">
        <v>1356</v>
      </c>
      <c r="C121" s="14" t="s">
        <v>982</v>
      </c>
      <c r="D121" s="14" t="str">
        <f>"0,6096"</f>
        <v>0,6096</v>
      </c>
      <c r="E121" s="14" t="s">
        <v>17</v>
      </c>
      <c r="F121" s="14" t="s">
        <v>40</v>
      </c>
      <c r="G121" s="15" t="s">
        <v>296</v>
      </c>
      <c r="H121" s="16" t="s">
        <v>67</v>
      </c>
      <c r="I121" s="16" t="s">
        <v>67</v>
      </c>
      <c r="J121" s="16"/>
      <c r="K121" s="38" t="str">
        <f>"172,5"</f>
        <v>172,5</v>
      </c>
      <c r="L121" s="39" t="str">
        <f>"112,3066"</f>
        <v>112,3066</v>
      </c>
      <c r="M121" s="14"/>
    </row>
    <row r="122" spans="1:13" x14ac:dyDescent="0.2">
      <c r="A122" s="38" t="s">
        <v>1357</v>
      </c>
      <c r="B122" s="14" t="s">
        <v>1358</v>
      </c>
      <c r="C122" s="14" t="s">
        <v>1359</v>
      </c>
      <c r="D122" s="14" t="str">
        <f>"0,6123"</f>
        <v>0,6123</v>
      </c>
      <c r="E122" s="14" t="s">
        <v>17</v>
      </c>
      <c r="F122" s="14" t="s">
        <v>983</v>
      </c>
      <c r="G122" s="15" t="s">
        <v>33</v>
      </c>
      <c r="H122" s="16" t="s">
        <v>34</v>
      </c>
      <c r="I122" s="16" t="s">
        <v>34</v>
      </c>
      <c r="J122" s="16"/>
      <c r="K122" s="38" t="str">
        <f>"130,0"</f>
        <v>130,0</v>
      </c>
      <c r="L122" s="39" t="str">
        <f>"86,1261"</f>
        <v>86,1261</v>
      </c>
      <c r="M122" s="14"/>
    </row>
    <row r="123" spans="1:13" x14ac:dyDescent="0.2">
      <c r="A123" s="38" t="s">
        <v>1361</v>
      </c>
      <c r="B123" s="14" t="s">
        <v>1362</v>
      </c>
      <c r="C123" s="14" t="s">
        <v>329</v>
      </c>
      <c r="D123" s="14" t="str">
        <f>"0,6150"</f>
        <v>0,6150</v>
      </c>
      <c r="E123" s="14" t="s">
        <v>17</v>
      </c>
      <c r="F123" s="14" t="s">
        <v>40</v>
      </c>
      <c r="G123" s="15" t="s">
        <v>34</v>
      </c>
      <c r="H123" s="15" t="s">
        <v>53</v>
      </c>
      <c r="I123" s="15" t="s">
        <v>54</v>
      </c>
      <c r="J123" s="16"/>
      <c r="K123" s="38" t="str">
        <f>"150,0"</f>
        <v>150,0</v>
      </c>
      <c r="L123" s="39" t="str">
        <f>"109,2240"</f>
        <v>109,2240</v>
      </c>
      <c r="M123" s="14"/>
    </row>
    <row r="124" spans="1:13" x14ac:dyDescent="0.2">
      <c r="A124" s="38" t="s">
        <v>1364</v>
      </c>
      <c r="B124" s="14" t="s">
        <v>1365</v>
      </c>
      <c r="C124" s="14" t="s">
        <v>1366</v>
      </c>
      <c r="D124" s="14" t="str">
        <f>"0,6247"</f>
        <v>0,6247</v>
      </c>
      <c r="E124" s="14" t="s">
        <v>17</v>
      </c>
      <c r="F124" s="14" t="s">
        <v>1367</v>
      </c>
      <c r="G124" s="15" t="s">
        <v>20</v>
      </c>
      <c r="H124" s="15" t="s">
        <v>34</v>
      </c>
      <c r="I124" s="15" t="s">
        <v>53</v>
      </c>
      <c r="J124" s="16"/>
      <c r="K124" s="38" t="str">
        <f>"145,0"</f>
        <v>145,0</v>
      </c>
      <c r="L124" s="39" t="str">
        <f>"109,0601"</f>
        <v>109,0601</v>
      </c>
      <c r="M124" s="14"/>
    </row>
    <row r="125" spans="1:13" x14ac:dyDescent="0.2">
      <c r="A125" s="38" t="s">
        <v>1368</v>
      </c>
      <c r="B125" s="14" t="s">
        <v>1369</v>
      </c>
      <c r="C125" s="14" t="s">
        <v>1370</v>
      </c>
      <c r="D125" s="14" t="str">
        <f>"0,6152"</f>
        <v>0,6152</v>
      </c>
      <c r="E125" s="14" t="s">
        <v>17</v>
      </c>
      <c r="F125" s="14" t="s">
        <v>40</v>
      </c>
      <c r="G125" s="16" t="s">
        <v>33</v>
      </c>
      <c r="H125" s="16" t="s">
        <v>33</v>
      </c>
      <c r="I125" s="16" t="s">
        <v>33</v>
      </c>
      <c r="J125" s="16"/>
      <c r="K125" s="38" t="str">
        <f>"0.00"</f>
        <v>0.00</v>
      </c>
      <c r="L125" s="39" t="str">
        <f>"0,0000"</f>
        <v>0,0000</v>
      </c>
      <c r="M125" s="14"/>
    </row>
    <row r="126" spans="1:13" x14ac:dyDescent="0.2">
      <c r="A126" s="38" t="s">
        <v>1371</v>
      </c>
      <c r="B126" s="14" t="s">
        <v>1372</v>
      </c>
      <c r="C126" s="14" t="s">
        <v>1373</v>
      </c>
      <c r="D126" s="14" t="str">
        <f>"0,6254"</f>
        <v>0,6254</v>
      </c>
      <c r="E126" s="14" t="s">
        <v>17</v>
      </c>
      <c r="F126" s="14" t="s">
        <v>40</v>
      </c>
      <c r="G126" s="15" t="s">
        <v>66</v>
      </c>
      <c r="H126" s="15" t="s">
        <v>19</v>
      </c>
      <c r="I126" s="15" t="s">
        <v>29</v>
      </c>
      <c r="J126" s="16"/>
      <c r="K126" s="38" t="str">
        <f>"125,0"</f>
        <v>125,0</v>
      </c>
      <c r="L126" s="39" t="str">
        <f>"102,8001"</f>
        <v>102,8001</v>
      </c>
      <c r="M126" s="14" t="s">
        <v>2208</v>
      </c>
    </row>
    <row r="127" spans="1:13" x14ac:dyDescent="0.2">
      <c r="A127" s="33" t="s">
        <v>1374</v>
      </c>
      <c r="B127" s="11" t="s">
        <v>1375</v>
      </c>
      <c r="C127" s="11" t="s">
        <v>1324</v>
      </c>
      <c r="D127" s="11" t="str">
        <f>"0,6103"</f>
        <v>0,6103</v>
      </c>
      <c r="E127" s="11" t="s">
        <v>17</v>
      </c>
      <c r="F127" s="11" t="s">
        <v>324</v>
      </c>
      <c r="G127" s="12" t="s">
        <v>401</v>
      </c>
      <c r="H127" s="13" t="s">
        <v>28</v>
      </c>
      <c r="I127" s="13" t="s">
        <v>28</v>
      </c>
      <c r="J127" s="13"/>
      <c r="K127" s="33" t="str">
        <f>"105,0"</f>
        <v>105,0</v>
      </c>
      <c r="L127" s="36" t="str">
        <f>"96,8271"</f>
        <v>96,8271</v>
      </c>
      <c r="M127" s="11" t="s">
        <v>833</v>
      </c>
    </row>
    <row r="128" spans="1:13" x14ac:dyDescent="0.2">
      <c r="E128" s="24"/>
    </row>
    <row r="129" spans="1:13" ht="15" x14ac:dyDescent="0.2">
      <c r="A129" s="44" t="s">
        <v>175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</row>
    <row r="130" spans="1:13" x14ac:dyDescent="0.2">
      <c r="A130" s="32" t="s">
        <v>1377</v>
      </c>
      <c r="B130" s="8" t="s">
        <v>1378</v>
      </c>
      <c r="C130" s="8" t="s">
        <v>333</v>
      </c>
      <c r="D130" s="8" t="str">
        <f>"0,5909"</f>
        <v>0,5909</v>
      </c>
      <c r="E130" s="8" t="s">
        <v>17</v>
      </c>
      <c r="F130" s="8" t="s">
        <v>87</v>
      </c>
      <c r="G130" s="9" t="s">
        <v>31</v>
      </c>
      <c r="H130" s="9" t="s">
        <v>269</v>
      </c>
      <c r="I130" s="9" t="s">
        <v>32</v>
      </c>
      <c r="J130" s="10"/>
      <c r="K130" s="32" t="str">
        <f>"90,0"</f>
        <v>90,0</v>
      </c>
      <c r="L130" s="35" t="str">
        <f>"53,1810"</f>
        <v>53,1810</v>
      </c>
      <c r="M130" s="8" t="s">
        <v>1379</v>
      </c>
    </row>
    <row r="131" spans="1:13" x14ac:dyDescent="0.2">
      <c r="A131" s="38" t="s">
        <v>1381</v>
      </c>
      <c r="B131" s="14" t="s">
        <v>1382</v>
      </c>
      <c r="C131" s="14" t="s">
        <v>1383</v>
      </c>
      <c r="D131" s="14" t="str">
        <f>"0,5998"</f>
        <v>0,5998</v>
      </c>
      <c r="E131" s="14" t="s">
        <v>17</v>
      </c>
      <c r="F131" s="14" t="s">
        <v>40</v>
      </c>
      <c r="G131" s="15" t="s">
        <v>67</v>
      </c>
      <c r="H131" s="15" t="s">
        <v>63</v>
      </c>
      <c r="I131" s="16" t="s">
        <v>46</v>
      </c>
      <c r="J131" s="16"/>
      <c r="K131" s="38" t="str">
        <f>"190,0"</f>
        <v>190,0</v>
      </c>
      <c r="L131" s="39" t="str">
        <f>"113,9620"</f>
        <v>113,9620</v>
      </c>
      <c r="M131" s="14" t="s">
        <v>1384</v>
      </c>
    </row>
    <row r="132" spans="1:13" x14ac:dyDescent="0.2">
      <c r="A132" s="38" t="s">
        <v>1386</v>
      </c>
      <c r="B132" s="14" t="s">
        <v>1387</v>
      </c>
      <c r="C132" s="14" t="s">
        <v>1388</v>
      </c>
      <c r="D132" s="14" t="str">
        <f>"0,6013"</f>
        <v>0,6013</v>
      </c>
      <c r="E132" s="14" t="s">
        <v>17</v>
      </c>
      <c r="F132" s="14" t="s">
        <v>324</v>
      </c>
      <c r="G132" s="15" t="s">
        <v>57</v>
      </c>
      <c r="H132" s="16" t="s">
        <v>827</v>
      </c>
      <c r="I132" s="16" t="s">
        <v>827</v>
      </c>
      <c r="J132" s="16"/>
      <c r="K132" s="38" t="str">
        <f>"170,0"</f>
        <v>170,0</v>
      </c>
      <c r="L132" s="39" t="str">
        <f>"102,2210"</f>
        <v>102,2210</v>
      </c>
      <c r="M132" s="14" t="s">
        <v>833</v>
      </c>
    </row>
    <row r="133" spans="1:13" x14ac:dyDescent="0.2">
      <c r="A133" s="38" t="s">
        <v>1390</v>
      </c>
      <c r="B133" s="14" t="s">
        <v>1391</v>
      </c>
      <c r="C133" s="14" t="s">
        <v>1392</v>
      </c>
      <c r="D133" s="14" t="str">
        <f>"0,5978"</f>
        <v>0,5978</v>
      </c>
      <c r="E133" s="14" t="s">
        <v>17</v>
      </c>
      <c r="F133" s="14" t="s">
        <v>894</v>
      </c>
      <c r="G133" s="15" t="s">
        <v>54</v>
      </c>
      <c r="H133" s="15" t="s">
        <v>80</v>
      </c>
      <c r="I133" s="15" t="s">
        <v>117</v>
      </c>
      <c r="J133" s="16"/>
      <c r="K133" s="38" t="str">
        <f>"157,5"</f>
        <v>157,5</v>
      </c>
      <c r="L133" s="39" t="str">
        <f>"94,1535"</f>
        <v>94,1535</v>
      </c>
      <c r="M133" s="14" t="s">
        <v>1393</v>
      </c>
    </row>
    <row r="134" spans="1:13" x14ac:dyDescent="0.2">
      <c r="A134" s="38" t="s">
        <v>1394</v>
      </c>
      <c r="B134" s="14" t="s">
        <v>1395</v>
      </c>
      <c r="C134" s="14" t="s">
        <v>1396</v>
      </c>
      <c r="D134" s="14" t="str">
        <f>"0,5954"</f>
        <v>0,5954</v>
      </c>
      <c r="E134" s="14" t="s">
        <v>17</v>
      </c>
      <c r="F134" s="14" t="s">
        <v>590</v>
      </c>
      <c r="G134" s="16" t="s">
        <v>67</v>
      </c>
      <c r="H134" s="16" t="s">
        <v>67</v>
      </c>
      <c r="I134" s="16"/>
      <c r="J134" s="16"/>
      <c r="K134" s="38" t="str">
        <f>"0.00"</f>
        <v>0.00</v>
      </c>
      <c r="L134" s="39" t="str">
        <f>"0,0000"</f>
        <v>0,0000</v>
      </c>
      <c r="M134" s="14" t="s">
        <v>591</v>
      </c>
    </row>
    <row r="135" spans="1:13" x14ac:dyDescent="0.2">
      <c r="A135" s="38" t="s">
        <v>1398</v>
      </c>
      <c r="B135" s="14" t="s">
        <v>1399</v>
      </c>
      <c r="C135" s="14" t="s">
        <v>1400</v>
      </c>
      <c r="D135" s="14" t="str">
        <f>"0,6006"</f>
        <v>0,6006</v>
      </c>
      <c r="E135" s="14" t="s">
        <v>17</v>
      </c>
      <c r="F135" s="14" t="s">
        <v>40</v>
      </c>
      <c r="G135" s="15" t="s">
        <v>57</v>
      </c>
      <c r="H135" s="15" t="s">
        <v>67</v>
      </c>
      <c r="I135" s="15" t="s">
        <v>385</v>
      </c>
      <c r="J135" s="16"/>
      <c r="K135" s="38" t="str">
        <f>"182,5"</f>
        <v>182,5</v>
      </c>
      <c r="L135" s="39" t="str">
        <f>"113,0074"</f>
        <v>113,0074</v>
      </c>
      <c r="M135" s="14" t="s">
        <v>1401</v>
      </c>
    </row>
    <row r="136" spans="1:13" x14ac:dyDescent="0.2">
      <c r="A136" s="38" t="s">
        <v>1402</v>
      </c>
      <c r="B136" s="14" t="s">
        <v>1403</v>
      </c>
      <c r="C136" s="14" t="s">
        <v>1404</v>
      </c>
      <c r="D136" s="14" t="str">
        <f>"0,5902"</f>
        <v>0,5902</v>
      </c>
      <c r="E136" s="14" t="s">
        <v>17</v>
      </c>
      <c r="F136" s="14" t="s">
        <v>277</v>
      </c>
      <c r="G136" s="15" t="s">
        <v>67</v>
      </c>
      <c r="H136" s="16" t="s">
        <v>385</v>
      </c>
      <c r="I136" s="16" t="s">
        <v>385</v>
      </c>
      <c r="J136" s="16"/>
      <c r="K136" s="38" t="str">
        <f>"180,0"</f>
        <v>180,0</v>
      </c>
      <c r="L136" s="39" t="str">
        <f>"106,2360"</f>
        <v>106,2360</v>
      </c>
      <c r="M136" s="14" t="s">
        <v>1405</v>
      </c>
    </row>
    <row r="137" spans="1:13" x14ac:dyDescent="0.2">
      <c r="A137" s="38" t="s">
        <v>1407</v>
      </c>
      <c r="B137" s="14" t="s">
        <v>1408</v>
      </c>
      <c r="C137" s="14" t="s">
        <v>1400</v>
      </c>
      <c r="D137" s="14" t="str">
        <f>"0,6006"</f>
        <v>0,6006</v>
      </c>
      <c r="E137" s="14" t="s">
        <v>17</v>
      </c>
      <c r="F137" s="14" t="s">
        <v>133</v>
      </c>
      <c r="G137" s="15" t="s">
        <v>57</v>
      </c>
      <c r="H137" s="15" t="s">
        <v>67</v>
      </c>
      <c r="I137" s="15" t="s">
        <v>41</v>
      </c>
      <c r="J137" s="16"/>
      <c r="K137" s="38" t="str">
        <f>"185,0"</f>
        <v>185,0</v>
      </c>
      <c r="L137" s="39" t="str">
        <f>"120,2221"</f>
        <v>120,2221</v>
      </c>
      <c r="M137" s="14" t="s">
        <v>410</v>
      </c>
    </row>
    <row r="138" spans="1:13" x14ac:dyDescent="0.2">
      <c r="A138" s="38" t="s">
        <v>1410</v>
      </c>
      <c r="B138" s="14" t="s">
        <v>1411</v>
      </c>
      <c r="C138" s="14" t="s">
        <v>1412</v>
      </c>
      <c r="D138" s="14" t="str">
        <f>"0,5928"</f>
        <v>0,5928</v>
      </c>
      <c r="E138" s="14" t="s">
        <v>17</v>
      </c>
      <c r="F138" s="14" t="s">
        <v>40</v>
      </c>
      <c r="G138" s="15" t="s">
        <v>385</v>
      </c>
      <c r="H138" s="15" t="s">
        <v>41</v>
      </c>
      <c r="I138" s="16"/>
      <c r="J138" s="16"/>
      <c r="K138" s="38" t="str">
        <f>"185,0"</f>
        <v>185,0</v>
      </c>
      <c r="L138" s="39" t="str">
        <f>"122,0605"</f>
        <v>122,0605</v>
      </c>
      <c r="M138" s="14" t="s">
        <v>575</v>
      </c>
    </row>
    <row r="139" spans="1:13" x14ac:dyDescent="0.2">
      <c r="A139" s="38" t="s">
        <v>1414</v>
      </c>
      <c r="B139" s="14" t="s">
        <v>1415</v>
      </c>
      <c r="C139" s="14" t="s">
        <v>1392</v>
      </c>
      <c r="D139" s="14" t="str">
        <f>"0,5978"</f>
        <v>0,5978</v>
      </c>
      <c r="E139" s="14" t="s">
        <v>17</v>
      </c>
      <c r="F139" s="14" t="s">
        <v>40</v>
      </c>
      <c r="G139" s="15" t="s">
        <v>58</v>
      </c>
      <c r="H139" s="15" t="s">
        <v>67</v>
      </c>
      <c r="I139" s="16" t="s">
        <v>385</v>
      </c>
      <c r="J139" s="16"/>
      <c r="K139" s="38" t="str">
        <f>"180,0"</f>
        <v>180,0</v>
      </c>
      <c r="L139" s="39" t="str">
        <f>"118,0416"</f>
        <v>118,0416</v>
      </c>
      <c r="M139" s="14"/>
    </row>
    <row r="140" spans="1:13" x14ac:dyDescent="0.2">
      <c r="A140" s="38" t="s">
        <v>1417</v>
      </c>
      <c r="B140" s="14" t="s">
        <v>1418</v>
      </c>
      <c r="C140" s="14" t="s">
        <v>1419</v>
      </c>
      <c r="D140" s="14" t="str">
        <f>"0,5907"</f>
        <v>0,5907</v>
      </c>
      <c r="E140" s="14" t="s">
        <v>17</v>
      </c>
      <c r="F140" s="14" t="s">
        <v>115</v>
      </c>
      <c r="G140" s="15" t="s">
        <v>827</v>
      </c>
      <c r="H140" s="16" t="s">
        <v>41</v>
      </c>
      <c r="I140" s="16" t="s">
        <v>41</v>
      </c>
      <c r="J140" s="16"/>
      <c r="K140" s="38" t="str">
        <f>"177,5"</f>
        <v>177,5</v>
      </c>
      <c r="L140" s="39" t="str">
        <f>"116,6972"</f>
        <v>116,6972</v>
      </c>
      <c r="M140" s="14" t="s">
        <v>1420</v>
      </c>
    </row>
    <row r="141" spans="1:13" x14ac:dyDescent="0.2">
      <c r="A141" s="38" t="s">
        <v>1422</v>
      </c>
      <c r="B141" s="14" t="s">
        <v>1423</v>
      </c>
      <c r="C141" s="14" t="s">
        <v>857</v>
      </c>
      <c r="D141" s="14" t="str">
        <f>"0,5950"</f>
        <v>0,5950</v>
      </c>
      <c r="E141" s="14" t="s">
        <v>17</v>
      </c>
      <c r="F141" s="14" t="s">
        <v>40</v>
      </c>
      <c r="G141" s="15" t="s">
        <v>82</v>
      </c>
      <c r="H141" s="15" t="s">
        <v>169</v>
      </c>
      <c r="I141" s="16"/>
      <c r="J141" s="16"/>
      <c r="K141" s="38" t="str">
        <f>"162,5"</f>
        <v>162,5</v>
      </c>
      <c r="L141" s="39" t="str">
        <f>"107,6132"</f>
        <v>107,6132</v>
      </c>
      <c r="M141" s="14"/>
    </row>
    <row r="142" spans="1:13" x14ac:dyDescent="0.2">
      <c r="A142" s="38" t="s">
        <v>1425</v>
      </c>
      <c r="B142" s="14" t="s">
        <v>1426</v>
      </c>
      <c r="C142" s="14" t="s">
        <v>1427</v>
      </c>
      <c r="D142" s="14" t="str">
        <f>"0,6019"</f>
        <v>0,6019</v>
      </c>
      <c r="E142" s="14" t="s">
        <v>17</v>
      </c>
      <c r="F142" s="14" t="s">
        <v>908</v>
      </c>
      <c r="G142" s="15" t="s">
        <v>117</v>
      </c>
      <c r="H142" s="15" t="s">
        <v>56</v>
      </c>
      <c r="I142" s="15" t="s">
        <v>57</v>
      </c>
      <c r="J142" s="16"/>
      <c r="K142" s="38" t="str">
        <f>"170,0"</f>
        <v>170,0</v>
      </c>
      <c r="L142" s="39" t="str">
        <f>"115,6250"</f>
        <v>115,6250</v>
      </c>
      <c r="M142" s="14" t="s">
        <v>909</v>
      </c>
    </row>
    <row r="143" spans="1:13" x14ac:dyDescent="0.2">
      <c r="A143" s="38" t="s">
        <v>511</v>
      </c>
      <c r="B143" s="14" t="s">
        <v>512</v>
      </c>
      <c r="C143" s="14" t="s">
        <v>513</v>
      </c>
      <c r="D143" s="14" t="str">
        <f>"0,5960"</f>
        <v>0,5960</v>
      </c>
      <c r="E143" s="14" t="s">
        <v>17</v>
      </c>
      <c r="F143" s="14" t="s">
        <v>514</v>
      </c>
      <c r="G143" s="15" t="s">
        <v>20</v>
      </c>
      <c r="H143" s="15" t="s">
        <v>515</v>
      </c>
      <c r="I143" s="15" t="s">
        <v>53</v>
      </c>
      <c r="J143" s="16"/>
      <c r="K143" s="38" t="str">
        <f>"145,0"</f>
        <v>145,0</v>
      </c>
      <c r="L143" s="39" t="str">
        <f>"109,5806"</f>
        <v>109,5806</v>
      </c>
      <c r="M143" s="14"/>
    </row>
    <row r="144" spans="1:13" x14ac:dyDescent="0.2">
      <c r="A144" s="38" t="s">
        <v>1428</v>
      </c>
      <c r="B144" s="14" t="s">
        <v>1429</v>
      </c>
      <c r="C144" s="14" t="s">
        <v>179</v>
      </c>
      <c r="D144" s="14" t="str">
        <f>"0,5921"</f>
        <v>0,5921</v>
      </c>
      <c r="E144" s="14" t="s">
        <v>17</v>
      </c>
      <c r="F144" s="14" t="s">
        <v>2256</v>
      </c>
      <c r="G144" s="15" t="s">
        <v>34</v>
      </c>
      <c r="H144" s="15" t="s">
        <v>515</v>
      </c>
      <c r="I144" s="16" t="s">
        <v>53</v>
      </c>
      <c r="J144" s="16"/>
      <c r="K144" s="38" t="str">
        <f>"142,5"</f>
        <v>142,5</v>
      </c>
      <c r="L144" s="39" t="str">
        <f>"103,3585"</f>
        <v>103,3585</v>
      </c>
      <c r="M144" s="14"/>
    </row>
    <row r="145" spans="1:13" x14ac:dyDescent="0.2">
      <c r="A145" s="33" t="s">
        <v>1431</v>
      </c>
      <c r="B145" s="11" t="s">
        <v>1432</v>
      </c>
      <c r="C145" s="11" t="s">
        <v>1433</v>
      </c>
      <c r="D145" s="11" t="str">
        <f>"0,5885"</f>
        <v>0,5885</v>
      </c>
      <c r="E145" s="11" t="s">
        <v>17</v>
      </c>
      <c r="F145" s="11" t="s">
        <v>590</v>
      </c>
      <c r="G145" s="12" t="s">
        <v>34</v>
      </c>
      <c r="H145" s="12" t="s">
        <v>53</v>
      </c>
      <c r="I145" s="13" t="s">
        <v>54</v>
      </c>
      <c r="J145" s="13"/>
      <c r="K145" s="33" t="str">
        <f>"145,0"</f>
        <v>145,0</v>
      </c>
      <c r="L145" s="36" t="str">
        <f>"126,2921"</f>
        <v>126,2921</v>
      </c>
      <c r="M145" s="11"/>
    </row>
    <row r="147" spans="1:13" ht="15" x14ac:dyDescent="0.2">
      <c r="A147" s="44" t="s">
        <v>196</v>
      </c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</row>
    <row r="148" spans="1:13" x14ac:dyDescent="0.2">
      <c r="A148" s="32" t="s">
        <v>1435</v>
      </c>
      <c r="B148" s="8" t="s">
        <v>1436</v>
      </c>
      <c r="C148" s="8" t="s">
        <v>1437</v>
      </c>
      <c r="D148" s="8" t="str">
        <f>"0,5819"</f>
        <v>0,5819</v>
      </c>
      <c r="E148" s="8" t="s">
        <v>17</v>
      </c>
      <c r="F148" s="8" t="s">
        <v>1438</v>
      </c>
      <c r="G148" s="9" t="s">
        <v>58</v>
      </c>
      <c r="H148" s="9" t="s">
        <v>41</v>
      </c>
      <c r="I148" s="9" t="s">
        <v>42</v>
      </c>
      <c r="J148" s="10"/>
      <c r="K148" s="32" t="str">
        <f>"192,5"</f>
        <v>192,5</v>
      </c>
      <c r="L148" s="35" t="str">
        <f>"112,0158"</f>
        <v>112,0158</v>
      </c>
      <c r="M148" s="8"/>
    </row>
    <row r="149" spans="1:13" x14ac:dyDescent="0.2">
      <c r="A149" s="38" t="s">
        <v>1440</v>
      </c>
      <c r="B149" s="14" t="s">
        <v>1441</v>
      </c>
      <c r="C149" s="14" t="s">
        <v>1442</v>
      </c>
      <c r="D149" s="14" t="str">
        <f>"0,5723"</f>
        <v>0,5723</v>
      </c>
      <c r="E149" s="14" t="s">
        <v>17</v>
      </c>
      <c r="F149" s="14" t="s">
        <v>40</v>
      </c>
      <c r="G149" s="15" t="s">
        <v>67</v>
      </c>
      <c r="H149" s="15" t="s">
        <v>63</v>
      </c>
      <c r="I149" s="16" t="s">
        <v>1443</v>
      </c>
      <c r="J149" s="16"/>
      <c r="K149" s="38" t="str">
        <f>"190,0"</f>
        <v>190,0</v>
      </c>
      <c r="L149" s="39" t="str">
        <f>"108,7370"</f>
        <v>108,7370</v>
      </c>
      <c r="M149" s="14" t="s">
        <v>1444</v>
      </c>
    </row>
    <row r="150" spans="1:13" x14ac:dyDescent="0.2">
      <c r="A150" s="38" t="s">
        <v>1445</v>
      </c>
      <c r="B150" s="14" t="s">
        <v>1446</v>
      </c>
      <c r="C150" s="14" t="s">
        <v>1447</v>
      </c>
      <c r="D150" s="14" t="str">
        <f>"0,5725"</f>
        <v>0,5725</v>
      </c>
      <c r="E150" s="14" t="s">
        <v>17</v>
      </c>
      <c r="F150" s="14" t="s">
        <v>1252</v>
      </c>
      <c r="G150" s="15" t="s">
        <v>67</v>
      </c>
      <c r="H150" s="16" t="s">
        <v>41</v>
      </c>
      <c r="I150" s="16" t="s">
        <v>41</v>
      </c>
      <c r="J150" s="16"/>
      <c r="K150" s="38" t="str">
        <f>"180,0"</f>
        <v>180,0</v>
      </c>
      <c r="L150" s="39" t="str">
        <f>"105,1110"</f>
        <v>105,1110</v>
      </c>
      <c r="M150" s="14"/>
    </row>
    <row r="151" spans="1:13" x14ac:dyDescent="0.2">
      <c r="A151" s="38" t="s">
        <v>1448</v>
      </c>
      <c r="B151" s="14" t="s">
        <v>1449</v>
      </c>
      <c r="C151" s="14" t="s">
        <v>1442</v>
      </c>
      <c r="D151" s="14" t="str">
        <f>"0,5723"</f>
        <v>0,5723</v>
      </c>
      <c r="E151" s="14" t="s">
        <v>17</v>
      </c>
      <c r="F151" s="14" t="s">
        <v>40</v>
      </c>
      <c r="G151" s="15" t="s">
        <v>67</v>
      </c>
      <c r="H151" s="15" t="s">
        <v>63</v>
      </c>
      <c r="I151" s="16" t="s">
        <v>1443</v>
      </c>
      <c r="J151" s="16"/>
      <c r="K151" s="38" t="str">
        <f>"190,0"</f>
        <v>190,0</v>
      </c>
      <c r="L151" s="39" t="str">
        <f>"114,7175"</f>
        <v>114,7175</v>
      </c>
      <c r="M151" s="14" t="s">
        <v>1444</v>
      </c>
    </row>
    <row r="152" spans="1:13" x14ac:dyDescent="0.2">
      <c r="A152" s="38" t="s">
        <v>1451</v>
      </c>
      <c r="B152" s="14" t="s">
        <v>1452</v>
      </c>
      <c r="C152" s="14" t="s">
        <v>1453</v>
      </c>
      <c r="D152" s="14" t="str">
        <f>"0,5718"</f>
        <v>0,5718</v>
      </c>
      <c r="E152" s="14" t="s">
        <v>17</v>
      </c>
      <c r="F152" s="14" t="s">
        <v>40</v>
      </c>
      <c r="G152" s="15" t="s">
        <v>57</v>
      </c>
      <c r="H152" s="15" t="s">
        <v>58</v>
      </c>
      <c r="I152" s="16" t="s">
        <v>67</v>
      </c>
      <c r="J152" s="16"/>
      <c r="K152" s="38" t="str">
        <f>"175,0"</f>
        <v>175,0</v>
      </c>
      <c r="L152" s="39" t="str">
        <f>"116,5757"</f>
        <v>116,5757</v>
      </c>
      <c r="M152" s="14" t="s">
        <v>344</v>
      </c>
    </row>
    <row r="153" spans="1:13" x14ac:dyDescent="0.2">
      <c r="A153" s="33" t="s">
        <v>1455</v>
      </c>
      <c r="B153" s="11" t="s">
        <v>1456</v>
      </c>
      <c r="C153" s="11" t="s">
        <v>899</v>
      </c>
      <c r="D153" s="11" t="str">
        <f>"0,5769"</f>
        <v>0,5769</v>
      </c>
      <c r="E153" s="11" t="s">
        <v>17</v>
      </c>
      <c r="F153" s="11" t="s">
        <v>40</v>
      </c>
      <c r="G153" s="12" t="s">
        <v>81</v>
      </c>
      <c r="H153" s="12" t="s">
        <v>28</v>
      </c>
      <c r="I153" s="13"/>
      <c r="J153" s="13"/>
      <c r="K153" s="33" t="str">
        <f>"110,0"</f>
        <v>110,0</v>
      </c>
      <c r="L153" s="36" t="str">
        <f>"109,0226"</f>
        <v>109,0226</v>
      </c>
      <c r="M153" s="11"/>
    </row>
    <row r="155" spans="1:13" ht="15" x14ac:dyDescent="0.2">
      <c r="A155" s="44" t="s">
        <v>920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</row>
    <row r="156" spans="1:13" x14ac:dyDescent="0.2">
      <c r="A156" s="32" t="s">
        <v>1458</v>
      </c>
      <c r="B156" s="8" t="s">
        <v>1459</v>
      </c>
      <c r="C156" s="8" t="s">
        <v>1460</v>
      </c>
      <c r="D156" s="8" t="str">
        <f>"0,5656"</f>
        <v>0,5656</v>
      </c>
      <c r="E156" s="8" t="s">
        <v>17</v>
      </c>
      <c r="F156" s="8" t="s">
        <v>40</v>
      </c>
      <c r="G156" s="9" t="s">
        <v>57</v>
      </c>
      <c r="H156" s="9" t="s">
        <v>827</v>
      </c>
      <c r="I156" s="9" t="s">
        <v>41</v>
      </c>
      <c r="J156" s="10"/>
      <c r="K156" s="32" t="str">
        <f>"185,0"</f>
        <v>185,0</v>
      </c>
      <c r="L156" s="35" t="str">
        <f>"104,6360"</f>
        <v>104,6360</v>
      </c>
      <c r="M156" s="8"/>
    </row>
    <row r="157" spans="1:13" x14ac:dyDescent="0.2">
      <c r="A157" s="38" t="s">
        <v>1461</v>
      </c>
      <c r="B157" s="14" t="s">
        <v>1462</v>
      </c>
      <c r="C157" s="14" t="s">
        <v>1463</v>
      </c>
      <c r="D157" s="14" t="str">
        <f>"0,5639"</f>
        <v>0,5639</v>
      </c>
      <c r="E157" s="14" t="s">
        <v>17</v>
      </c>
      <c r="F157" s="14" t="s">
        <v>40</v>
      </c>
      <c r="G157" s="15" t="s">
        <v>53</v>
      </c>
      <c r="H157" s="15" t="s">
        <v>54</v>
      </c>
      <c r="I157" s="15" t="s">
        <v>82</v>
      </c>
      <c r="J157" s="16"/>
      <c r="K157" s="38" t="str">
        <f>"160,0"</f>
        <v>160,0</v>
      </c>
      <c r="L157" s="39" t="str">
        <f>"90,2240"</f>
        <v>90,2240</v>
      </c>
      <c r="M157" s="14" t="s">
        <v>1107</v>
      </c>
    </row>
    <row r="158" spans="1:13" x14ac:dyDescent="0.2">
      <c r="A158" s="33" t="s">
        <v>1465</v>
      </c>
      <c r="B158" s="11" t="s">
        <v>1466</v>
      </c>
      <c r="C158" s="11" t="s">
        <v>1467</v>
      </c>
      <c r="D158" s="11" t="str">
        <f>"0,5648"</f>
        <v>0,5648</v>
      </c>
      <c r="E158" s="11" t="s">
        <v>17</v>
      </c>
      <c r="F158" s="11" t="s">
        <v>40</v>
      </c>
      <c r="G158" s="12" t="s">
        <v>80</v>
      </c>
      <c r="H158" s="12" t="s">
        <v>82</v>
      </c>
      <c r="I158" s="13" t="s">
        <v>56</v>
      </c>
      <c r="J158" s="13"/>
      <c r="K158" s="33" t="str">
        <f>"160,0"</f>
        <v>160,0</v>
      </c>
      <c r="L158" s="36" t="str">
        <f>"110,7008"</f>
        <v>110,7008</v>
      </c>
      <c r="M158" s="11"/>
    </row>
    <row r="159" spans="1:13" x14ac:dyDescent="0.2">
      <c r="A159" s="24"/>
    </row>
    <row r="160" spans="1:13" ht="15" x14ac:dyDescent="0.2">
      <c r="E160" s="17" t="s">
        <v>206</v>
      </c>
    </row>
    <row r="161" spans="1:5" ht="15" x14ac:dyDescent="0.2">
      <c r="E161" s="17" t="s">
        <v>207</v>
      </c>
    </row>
    <row r="162" spans="1:5" ht="15" x14ac:dyDescent="0.2">
      <c r="E162" s="17" t="s">
        <v>208</v>
      </c>
    </row>
    <row r="163" spans="1:5" ht="15" x14ac:dyDescent="0.2">
      <c r="E163" s="17" t="s">
        <v>209</v>
      </c>
    </row>
    <row r="164" spans="1:5" ht="15" x14ac:dyDescent="0.2">
      <c r="E164" s="17" t="s">
        <v>209</v>
      </c>
    </row>
    <row r="165" spans="1:5" ht="15" x14ac:dyDescent="0.2">
      <c r="E165" s="17" t="s">
        <v>210</v>
      </c>
    </row>
    <row r="166" spans="1:5" ht="15" x14ac:dyDescent="0.2">
      <c r="E166" s="17"/>
    </row>
    <row r="168" spans="1:5" ht="18" x14ac:dyDescent="0.25">
      <c r="A168" s="18" t="s">
        <v>211</v>
      </c>
      <c r="B168" s="18"/>
    </row>
    <row r="169" spans="1:5" ht="15" x14ac:dyDescent="0.2">
      <c r="A169" s="19" t="s">
        <v>212</v>
      </c>
      <c r="B169" s="19"/>
    </row>
    <row r="170" spans="1:5" ht="14.25" x14ac:dyDescent="0.2">
      <c r="A170" s="21"/>
      <c r="B170" s="22" t="s">
        <v>220</v>
      </c>
    </row>
    <row r="171" spans="1:5" ht="15" x14ac:dyDescent="0.2">
      <c r="A171" s="23" t="s">
        <v>213</v>
      </c>
      <c r="B171" s="23" t="s">
        <v>214</v>
      </c>
      <c r="C171" s="23" t="s">
        <v>215</v>
      </c>
      <c r="D171" s="23" t="s">
        <v>216</v>
      </c>
      <c r="E171" s="23" t="s">
        <v>217</v>
      </c>
    </row>
    <row r="172" spans="1:5" x14ac:dyDescent="0.2">
      <c r="A172" s="20" t="s">
        <v>1060</v>
      </c>
      <c r="B172" s="4" t="s">
        <v>220</v>
      </c>
      <c r="C172" s="4" t="s">
        <v>516</v>
      </c>
      <c r="D172" s="4" t="s">
        <v>32</v>
      </c>
      <c r="E172" s="24" t="s">
        <v>1469</v>
      </c>
    </row>
    <row r="173" spans="1:5" x14ac:dyDescent="0.2">
      <c r="A173" s="20" t="s">
        <v>1082</v>
      </c>
      <c r="B173" s="4" t="s">
        <v>220</v>
      </c>
      <c r="C173" s="4" t="s">
        <v>224</v>
      </c>
      <c r="D173" s="4" t="s">
        <v>415</v>
      </c>
      <c r="E173" s="24" t="s">
        <v>1470</v>
      </c>
    </row>
    <row r="174" spans="1:5" x14ac:dyDescent="0.2">
      <c r="A174" s="20" t="s">
        <v>1029</v>
      </c>
      <c r="B174" s="4" t="s">
        <v>220</v>
      </c>
      <c r="C174" s="4" t="s">
        <v>520</v>
      </c>
      <c r="D174" s="4" t="s">
        <v>100</v>
      </c>
      <c r="E174" s="24" t="s">
        <v>1471</v>
      </c>
    </row>
    <row r="175" spans="1:5" x14ac:dyDescent="0.2">
      <c r="A175" s="20" t="s">
        <v>1047</v>
      </c>
      <c r="B175" s="4" t="s">
        <v>220</v>
      </c>
      <c r="C175" s="4" t="s">
        <v>517</v>
      </c>
      <c r="D175" s="4" t="s">
        <v>100</v>
      </c>
      <c r="E175" s="24" t="s">
        <v>1472</v>
      </c>
    </row>
    <row r="176" spans="1:5" x14ac:dyDescent="0.2">
      <c r="A176" s="20" t="s">
        <v>1013</v>
      </c>
      <c r="B176" s="4" t="s">
        <v>220</v>
      </c>
      <c r="C176" s="4" t="s">
        <v>526</v>
      </c>
      <c r="D176" s="4" t="s">
        <v>432</v>
      </c>
      <c r="E176" s="24" t="s">
        <v>1473</v>
      </c>
    </row>
    <row r="177" spans="1:5" x14ac:dyDescent="0.2">
      <c r="A177" s="20" t="s">
        <v>1108</v>
      </c>
      <c r="B177" s="4" t="s">
        <v>220</v>
      </c>
      <c r="C177" s="4" t="s">
        <v>221</v>
      </c>
      <c r="D177" s="4" t="s">
        <v>21</v>
      </c>
      <c r="E177" s="24" t="s">
        <v>1474</v>
      </c>
    </row>
    <row r="178" spans="1:5" x14ac:dyDescent="0.2">
      <c r="A178" s="20" t="s">
        <v>1051</v>
      </c>
      <c r="B178" s="4" t="s">
        <v>220</v>
      </c>
      <c r="C178" s="4" t="s">
        <v>517</v>
      </c>
      <c r="D178" s="4" t="s">
        <v>271</v>
      </c>
      <c r="E178" s="24" t="s">
        <v>1475</v>
      </c>
    </row>
    <row r="179" spans="1:5" x14ac:dyDescent="0.2">
      <c r="A179" s="20" t="s">
        <v>1017</v>
      </c>
      <c r="B179" s="4" t="s">
        <v>220</v>
      </c>
      <c r="C179" s="4" t="s">
        <v>526</v>
      </c>
      <c r="D179" s="4" t="s">
        <v>431</v>
      </c>
      <c r="E179" s="24" t="s">
        <v>1476</v>
      </c>
    </row>
    <row r="180" spans="1:5" x14ac:dyDescent="0.2">
      <c r="A180" s="20" t="s">
        <v>1086</v>
      </c>
      <c r="B180" s="4" t="s">
        <v>220</v>
      </c>
      <c r="C180" s="4" t="s">
        <v>224</v>
      </c>
      <c r="D180" s="4" t="s">
        <v>100</v>
      </c>
      <c r="E180" s="24" t="s">
        <v>1477</v>
      </c>
    </row>
    <row r="181" spans="1:5" x14ac:dyDescent="0.2">
      <c r="A181" s="20" t="s">
        <v>1021</v>
      </c>
      <c r="B181" s="4" t="s">
        <v>220</v>
      </c>
      <c r="C181" s="4" t="s">
        <v>526</v>
      </c>
      <c r="D181" s="4" t="s">
        <v>400</v>
      </c>
      <c r="E181" s="24" t="s">
        <v>1478</v>
      </c>
    </row>
    <row r="182" spans="1:5" x14ac:dyDescent="0.2">
      <c r="A182" s="20" t="s">
        <v>1064</v>
      </c>
      <c r="B182" s="4" t="s">
        <v>220</v>
      </c>
      <c r="C182" s="4" t="s">
        <v>516</v>
      </c>
      <c r="D182" s="4" t="s">
        <v>432</v>
      </c>
      <c r="E182" s="24" t="s">
        <v>1479</v>
      </c>
    </row>
    <row r="183" spans="1:5" x14ac:dyDescent="0.2">
      <c r="A183" s="20" t="s">
        <v>1034</v>
      </c>
      <c r="B183" s="4" t="s">
        <v>220</v>
      </c>
      <c r="C183" s="4" t="s">
        <v>520</v>
      </c>
      <c r="D183" s="4" t="s">
        <v>574</v>
      </c>
      <c r="E183" s="24" t="s">
        <v>1480</v>
      </c>
    </row>
    <row r="184" spans="1:5" x14ac:dyDescent="0.2">
      <c r="A184" s="20" t="s">
        <v>1025</v>
      </c>
      <c r="B184" s="4" t="s">
        <v>220</v>
      </c>
      <c r="C184" s="4" t="s">
        <v>526</v>
      </c>
      <c r="D184" s="4" t="s">
        <v>398</v>
      </c>
      <c r="E184" s="24" t="s">
        <v>1481</v>
      </c>
    </row>
    <row r="185" spans="1:5" x14ac:dyDescent="0.2">
      <c r="A185" s="20" t="s">
        <v>1115</v>
      </c>
      <c r="B185" s="4" t="s">
        <v>220</v>
      </c>
      <c r="C185" s="4" t="s">
        <v>229</v>
      </c>
      <c r="D185" s="4" t="s">
        <v>432</v>
      </c>
      <c r="E185" s="24" t="s">
        <v>1482</v>
      </c>
    </row>
    <row r="186" spans="1:5" x14ac:dyDescent="0.2">
      <c r="A186" s="20" t="s">
        <v>1038</v>
      </c>
      <c r="B186" s="4" t="s">
        <v>220</v>
      </c>
      <c r="C186" s="4" t="s">
        <v>520</v>
      </c>
      <c r="D186" s="4" t="s">
        <v>549</v>
      </c>
      <c r="E186" s="24" t="s">
        <v>1483</v>
      </c>
    </row>
    <row r="188" spans="1:5" ht="14.25" x14ac:dyDescent="0.2">
      <c r="A188" s="21"/>
      <c r="B188" s="22" t="s">
        <v>222</v>
      </c>
    </row>
    <row r="189" spans="1:5" ht="15" x14ac:dyDescent="0.2">
      <c r="A189" s="23" t="s">
        <v>213</v>
      </c>
      <c r="B189" s="23" t="s">
        <v>214</v>
      </c>
      <c r="C189" s="23" t="s">
        <v>215</v>
      </c>
      <c r="D189" s="23" t="s">
        <v>216</v>
      </c>
      <c r="E189" s="23" t="s">
        <v>217</v>
      </c>
    </row>
    <row r="190" spans="1:5" x14ac:dyDescent="0.2">
      <c r="A190" s="20" t="s">
        <v>1095</v>
      </c>
      <c r="B190" s="4" t="s">
        <v>261</v>
      </c>
      <c r="C190" s="4" t="s">
        <v>224</v>
      </c>
      <c r="D190" s="4" t="s">
        <v>21</v>
      </c>
      <c r="E190" s="24" t="s">
        <v>1484</v>
      </c>
    </row>
    <row r="191" spans="1:5" x14ac:dyDescent="0.2">
      <c r="A191" s="20" t="s">
        <v>1091</v>
      </c>
      <c r="B191" s="4" t="s">
        <v>370</v>
      </c>
      <c r="C191" s="4" t="s">
        <v>224</v>
      </c>
      <c r="D191" s="4" t="s">
        <v>21</v>
      </c>
      <c r="E191" s="24" t="s">
        <v>1485</v>
      </c>
    </row>
    <row r="192" spans="1:5" x14ac:dyDescent="0.2">
      <c r="A192" s="20" t="s">
        <v>1068</v>
      </c>
      <c r="B192" s="4" t="s">
        <v>370</v>
      </c>
      <c r="C192" s="4" t="s">
        <v>516</v>
      </c>
      <c r="D192" s="4" t="s">
        <v>272</v>
      </c>
      <c r="E192" s="24" t="s">
        <v>1486</v>
      </c>
    </row>
    <row r="193" spans="1:5" x14ac:dyDescent="0.2">
      <c r="A193" s="20" t="s">
        <v>1055</v>
      </c>
      <c r="B193" s="4" t="s">
        <v>261</v>
      </c>
      <c r="C193" s="4" t="s">
        <v>517</v>
      </c>
      <c r="D193" s="4" t="s">
        <v>417</v>
      </c>
      <c r="E193" s="24" t="s">
        <v>1487</v>
      </c>
    </row>
    <row r="194" spans="1:5" x14ac:dyDescent="0.2">
      <c r="A194" s="20" t="s">
        <v>1077</v>
      </c>
      <c r="B194" s="4" t="s">
        <v>261</v>
      </c>
      <c r="C194" s="4" t="s">
        <v>516</v>
      </c>
      <c r="D194" s="4" t="s">
        <v>431</v>
      </c>
      <c r="E194" s="24" t="s">
        <v>1488</v>
      </c>
    </row>
    <row r="195" spans="1:5" x14ac:dyDescent="0.2">
      <c r="A195" s="20" t="s">
        <v>1099</v>
      </c>
      <c r="B195" s="4" t="s">
        <v>261</v>
      </c>
      <c r="C195" s="4" t="s">
        <v>224</v>
      </c>
      <c r="D195" s="4" t="s">
        <v>564</v>
      </c>
      <c r="E195" s="24" t="s">
        <v>1489</v>
      </c>
    </row>
    <row r="196" spans="1:5" x14ac:dyDescent="0.2">
      <c r="A196" s="20" t="s">
        <v>1072</v>
      </c>
      <c r="B196" s="4" t="s">
        <v>370</v>
      </c>
      <c r="C196" s="4" t="s">
        <v>516</v>
      </c>
      <c r="D196" s="4" t="s">
        <v>431</v>
      </c>
      <c r="E196" s="24" t="s">
        <v>1490</v>
      </c>
    </row>
    <row r="199" spans="1:5" ht="15" x14ac:dyDescent="0.2">
      <c r="A199" s="19" t="s">
        <v>226</v>
      </c>
      <c r="B199" s="19"/>
    </row>
    <row r="200" spans="1:5" ht="14.25" x14ac:dyDescent="0.2">
      <c r="A200" s="21"/>
      <c r="B200" s="22" t="s">
        <v>227</v>
      </c>
    </row>
    <row r="201" spans="1:5" ht="15" x14ac:dyDescent="0.2">
      <c r="A201" s="23" t="s">
        <v>213</v>
      </c>
      <c r="B201" s="23" t="s">
        <v>214</v>
      </c>
      <c r="C201" s="23" t="s">
        <v>215</v>
      </c>
      <c r="D201" s="23" t="s">
        <v>216</v>
      </c>
      <c r="E201" s="23" t="s">
        <v>217</v>
      </c>
    </row>
    <row r="202" spans="1:5" x14ac:dyDescent="0.2">
      <c r="A202" s="20" t="s">
        <v>1132</v>
      </c>
      <c r="B202" s="4" t="s">
        <v>228</v>
      </c>
      <c r="C202" s="4" t="s">
        <v>224</v>
      </c>
      <c r="D202" s="4" t="s">
        <v>33</v>
      </c>
      <c r="E202" s="24" t="s">
        <v>1491</v>
      </c>
    </row>
    <row r="203" spans="1:5" x14ac:dyDescent="0.2">
      <c r="A203" s="20" t="s">
        <v>1213</v>
      </c>
      <c r="B203" s="4" t="s">
        <v>228</v>
      </c>
      <c r="C203" s="4" t="s">
        <v>219</v>
      </c>
      <c r="D203" s="4" t="s">
        <v>54</v>
      </c>
      <c r="E203" s="24" t="s">
        <v>1492</v>
      </c>
    </row>
    <row r="204" spans="1:5" x14ac:dyDescent="0.2">
      <c r="A204" s="20" t="s">
        <v>1138</v>
      </c>
      <c r="B204" s="4" t="s">
        <v>228</v>
      </c>
      <c r="C204" s="4" t="s">
        <v>224</v>
      </c>
      <c r="D204" s="4" t="s">
        <v>19</v>
      </c>
      <c r="E204" s="24" t="s">
        <v>1493</v>
      </c>
    </row>
    <row r="205" spans="1:5" x14ac:dyDescent="0.2">
      <c r="A205" s="20" t="s">
        <v>1119</v>
      </c>
      <c r="B205" s="4" t="s">
        <v>228</v>
      </c>
      <c r="C205" s="4" t="s">
        <v>516</v>
      </c>
      <c r="D205" s="4" t="s">
        <v>270</v>
      </c>
      <c r="E205" s="24" t="s">
        <v>1494</v>
      </c>
    </row>
    <row r="206" spans="1:5" x14ac:dyDescent="0.2">
      <c r="A206" s="20" t="s">
        <v>1155</v>
      </c>
      <c r="B206" s="4" t="s">
        <v>228</v>
      </c>
      <c r="C206" s="4" t="s">
        <v>221</v>
      </c>
      <c r="D206" s="4" t="s">
        <v>264</v>
      </c>
      <c r="E206" s="24" t="s">
        <v>1495</v>
      </c>
    </row>
    <row r="207" spans="1:5" x14ac:dyDescent="0.2">
      <c r="A207" s="20" t="s">
        <v>1376</v>
      </c>
      <c r="B207" s="4" t="s">
        <v>228</v>
      </c>
      <c r="C207" s="4" t="s">
        <v>235</v>
      </c>
      <c r="D207" s="4" t="s">
        <v>32</v>
      </c>
      <c r="E207" s="24" t="s">
        <v>1496</v>
      </c>
    </row>
    <row r="208" spans="1:5" x14ac:dyDescent="0.2">
      <c r="A208" s="20" t="s">
        <v>1142</v>
      </c>
      <c r="B208" s="4" t="s">
        <v>228</v>
      </c>
      <c r="C208" s="4" t="s">
        <v>224</v>
      </c>
      <c r="D208" s="4" t="s">
        <v>272</v>
      </c>
      <c r="E208" s="24" t="s">
        <v>1497</v>
      </c>
    </row>
    <row r="210" spans="1:5" ht="14.25" x14ac:dyDescent="0.2">
      <c r="A210" s="21"/>
      <c r="B210" s="22" t="s">
        <v>230</v>
      </c>
    </row>
    <row r="211" spans="1:5" ht="15" x14ac:dyDescent="0.2">
      <c r="A211" s="23" t="s">
        <v>213</v>
      </c>
      <c r="B211" s="23" t="s">
        <v>214</v>
      </c>
      <c r="C211" s="23" t="s">
        <v>215</v>
      </c>
      <c r="D211" s="23" t="s">
        <v>216</v>
      </c>
      <c r="E211" s="23" t="s">
        <v>217</v>
      </c>
    </row>
    <row r="212" spans="1:5" x14ac:dyDescent="0.2">
      <c r="A212" s="20" t="s">
        <v>1218</v>
      </c>
      <c r="B212" s="4" t="s">
        <v>218</v>
      </c>
      <c r="C212" s="4" t="s">
        <v>219</v>
      </c>
      <c r="D212" s="4" t="s">
        <v>82</v>
      </c>
      <c r="E212" s="24" t="s">
        <v>1498</v>
      </c>
    </row>
    <row r="213" spans="1:5" x14ac:dyDescent="0.2">
      <c r="A213" s="20" t="s">
        <v>1457</v>
      </c>
      <c r="B213" s="4" t="s">
        <v>218</v>
      </c>
      <c r="C213" s="4" t="s">
        <v>944</v>
      </c>
      <c r="D213" s="4" t="s">
        <v>41</v>
      </c>
      <c r="E213" s="24" t="s">
        <v>1499</v>
      </c>
    </row>
    <row r="214" spans="1:5" x14ac:dyDescent="0.2">
      <c r="A214" s="20" t="s">
        <v>1299</v>
      </c>
      <c r="B214" s="4" t="s">
        <v>218</v>
      </c>
      <c r="C214" s="4" t="s">
        <v>231</v>
      </c>
      <c r="D214" s="4" t="s">
        <v>302</v>
      </c>
      <c r="E214" s="24" t="s">
        <v>1500</v>
      </c>
    </row>
    <row r="215" spans="1:5" x14ac:dyDescent="0.2">
      <c r="A215" s="20" t="s">
        <v>1303</v>
      </c>
      <c r="B215" s="4" t="s">
        <v>218</v>
      </c>
      <c r="C215" s="4" t="s">
        <v>231</v>
      </c>
      <c r="D215" s="4" t="s">
        <v>169</v>
      </c>
      <c r="E215" s="24" t="s">
        <v>1501</v>
      </c>
    </row>
    <row r="216" spans="1:5" x14ac:dyDescent="0.2">
      <c r="A216" s="20" t="s">
        <v>1165</v>
      </c>
      <c r="B216" s="4" t="s">
        <v>218</v>
      </c>
      <c r="C216" s="4" t="s">
        <v>221</v>
      </c>
      <c r="D216" s="4" t="s">
        <v>33</v>
      </c>
      <c r="E216" s="24" t="s">
        <v>1502</v>
      </c>
    </row>
    <row r="217" spans="1:5" x14ac:dyDescent="0.2">
      <c r="A217" s="20" t="s">
        <v>1170</v>
      </c>
      <c r="B217" s="4" t="s">
        <v>218</v>
      </c>
      <c r="C217" s="4" t="s">
        <v>221</v>
      </c>
      <c r="D217" s="4" t="s">
        <v>66</v>
      </c>
      <c r="E217" s="24" t="s">
        <v>1503</v>
      </c>
    </row>
    <row r="218" spans="1:5" x14ac:dyDescent="0.2">
      <c r="A218" s="20" t="s">
        <v>1123</v>
      </c>
      <c r="B218" s="4" t="s">
        <v>218</v>
      </c>
      <c r="C218" s="4" t="s">
        <v>516</v>
      </c>
      <c r="D218" s="4" t="s">
        <v>32</v>
      </c>
      <c r="E218" s="24" t="s">
        <v>1504</v>
      </c>
    </row>
    <row r="220" spans="1:5" ht="14.25" x14ac:dyDescent="0.2">
      <c r="A220" s="21"/>
      <c r="B220" s="22" t="s">
        <v>220</v>
      </c>
    </row>
    <row r="221" spans="1:5" ht="15" x14ac:dyDescent="0.2">
      <c r="A221" s="23" t="s">
        <v>213</v>
      </c>
      <c r="B221" s="23" t="s">
        <v>214</v>
      </c>
      <c r="C221" s="23" t="s">
        <v>215</v>
      </c>
      <c r="D221" s="23" t="s">
        <v>216</v>
      </c>
      <c r="E221" s="23" t="s">
        <v>217</v>
      </c>
    </row>
    <row r="222" spans="1:5" x14ac:dyDescent="0.2">
      <c r="A222" s="20" t="s">
        <v>1222</v>
      </c>
      <c r="B222" s="4" t="s">
        <v>220</v>
      </c>
      <c r="C222" s="4" t="s">
        <v>219</v>
      </c>
      <c r="D222" s="4" t="s">
        <v>41</v>
      </c>
      <c r="E222" s="24" t="s">
        <v>1505</v>
      </c>
    </row>
    <row r="223" spans="1:5" x14ac:dyDescent="0.2">
      <c r="A223" s="20" t="s">
        <v>1308</v>
      </c>
      <c r="B223" s="4" t="s">
        <v>220</v>
      </c>
      <c r="C223" s="4" t="s">
        <v>231</v>
      </c>
      <c r="D223" s="4" t="s">
        <v>64</v>
      </c>
      <c r="E223" s="24" t="s">
        <v>1506</v>
      </c>
    </row>
    <row r="224" spans="1:5" x14ac:dyDescent="0.2">
      <c r="A224" s="20" t="s">
        <v>1312</v>
      </c>
      <c r="B224" s="4" t="s">
        <v>220</v>
      </c>
      <c r="C224" s="4" t="s">
        <v>231</v>
      </c>
      <c r="D224" s="4" t="s">
        <v>186</v>
      </c>
      <c r="E224" s="24" t="s">
        <v>1507</v>
      </c>
    </row>
    <row r="225" spans="1:5" x14ac:dyDescent="0.2">
      <c r="A225" s="20" t="s">
        <v>1380</v>
      </c>
      <c r="B225" s="4" t="s">
        <v>220</v>
      </c>
      <c r="C225" s="4" t="s">
        <v>235</v>
      </c>
      <c r="D225" s="4" t="s">
        <v>63</v>
      </c>
      <c r="E225" s="24" t="s">
        <v>1508</v>
      </c>
    </row>
    <row r="226" spans="1:5" x14ac:dyDescent="0.2">
      <c r="A226" s="20" t="s">
        <v>1434</v>
      </c>
      <c r="B226" s="4" t="s">
        <v>220</v>
      </c>
      <c r="C226" s="4" t="s">
        <v>244</v>
      </c>
      <c r="D226" s="4" t="s">
        <v>42</v>
      </c>
      <c r="E226" s="24" t="s">
        <v>1509</v>
      </c>
    </row>
    <row r="227" spans="1:5" x14ac:dyDescent="0.2">
      <c r="A227" s="20" t="s">
        <v>1253</v>
      </c>
      <c r="B227" s="4" t="s">
        <v>220</v>
      </c>
      <c r="C227" s="4" t="s">
        <v>229</v>
      </c>
      <c r="D227" s="4" t="s">
        <v>58</v>
      </c>
      <c r="E227" s="24" t="s">
        <v>1510</v>
      </c>
    </row>
    <row r="228" spans="1:5" x14ac:dyDescent="0.2">
      <c r="A228" s="20" t="s">
        <v>1257</v>
      </c>
      <c r="B228" s="4" t="s">
        <v>220</v>
      </c>
      <c r="C228" s="4" t="s">
        <v>229</v>
      </c>
      <c r="D228" s="4" t="s">
        <v>57</v>
      </c>
      <c r="E228" s="24" t="s">
        <v>1511</v>
      </c>
    </row>
    <row r="229" spans="1:5" x14ac:dyDescent="0.2">
      <c r="A229" s="20" t="s">
        <v>621</v>
      </c>
      <c r="B229" s="4" t="s">
        <v>220</v>
      </c>
      <c r="C229" s="4" t="s">
        <v>221</v>
      </c>
      <c r="D229" s="4" t="s">
        <v>107</v>
      </c>
      <c r="E229" s="24" t="s">
        <v>1512</v>
      </c>
    </row>
    <row r="230" spans="1:5" x14ac:dyDescent="0.2">
      <c r="A230" s="20" t="s">
        <v>1439</v>
      </c>
      <c r="B230" s="4" t="s">
        <v>220</v>
      </c>
      <c r="C230" s="4" t="s">
        <v>244</v>
      </c>
      <c r="D230" s="4" t="s">
        <v>63</v>
      </c>
      <c r="E230" s="24" t="s">
        <v>1513</v>
      </c>
    </row>
    <row r="231" spans="1:5" x14ac:dyDescent="0.2">
      <c r="A231" s="20" t="s">
        <v>1261</v>
      </c>
      <c r="B231" s="4" t="s">
        <v>220</v>
      </c>
      <c r="C231" s="4" t="s">
        <v>229</v>
      </c>
      <c r="D231" s="4" t="s">
        <v>57</v>
      </c>
      <c r="E231" s="24" t="s">
        <v>1514</v>
      </c>
    </row>
    <row r="232" spans="1:5" x14ac:dyDescent="0.2">
      <c r="A232" s="20" t="s">
        <v>1147</v>
      </c>
      <c r="B232" s="4" t="s">
        <v>220</v>
      </c>
      <c r="C232" s="4" t="s">
        <v>224</v>
      </c>
      <c r="D232" s="4" t="s">
        <v>20</v>
      </c>
      <c r="E232" s="24" t="s">
        <v>1515</v>
      </c>
    </row>
    <row r="233" spans="1:5" x14ac:dyDescent="0.2">
      <c r="A233" s="20" t="s">
        <v>1316</v>
      </c>
      <c r="B233" s="4" t="s">
        <v>220</v>
      </c>
      <c r="C233" s="4" t="s">
        <v>231</v>
      </c>
      <c r="D233" s="4" t="s">
        <v>56</v>
      </c>
      <c r="E233" s="24" t="s">
        <v>1516</v>
      </c>
    </row>
    <row r="234" spans="1:5" x14ac:dyDescent="0.2">
      <c r="A234" s="20" t="s">
        <v>1226</v>
      </c>
      <c r="B234" s="4" t="s">
        <v>220</v>
      </c>
      <c r="C234" s="4" t="s">
        <v>219</v>
      </c>
      <c r="D234" s="4" t="s">
        <v>107</v>
      </c>
      <c r="E234" s="24" t="s">
        <v>1517</v>
      </c>
    </row>
    <row r="235" spans="1:5" x14ac:dyDescent="0.2">
      <c r="A235" s="20" t="s">
        <v>1264</v>
      </c>
      <c r="B235" s="4" t="s">
        <v>220</v>
      </c>
      <c r="C235" s="4" t="s">
        <v>229</v>
      </c>
      <c r="D235" s="4" t="s">
        <v>82</v>
      </c>
      <c r="E235" s="24" t="s">
        <v>1518</v>
      </c>
    </row>
    <row r="236" spans="1:5" x14ac:dyDescent="0.2">
      <c r="A236" s="20" t="s">
        <v>798</v>
      </c>
      <c r="B236" s="4" t="s">
        <v>220</v>
      </c>
      <c r="C236" s="4" t="s">
        <v>219</v>
      </c>
      <c r="D236" s="4" t="s">
        <v>107</v>
      </c>
      <c r="E236" s="24" t="s">
        <v>1519</v>
      </c>
    </row>
    <row r="237" spans="1:5" x14ac:dyDescent="0.2">
      <c r="A237" s="20" t="s">
        <v>1132</v>
      </c>
      <c r="B237" s="4" t="s">
        <v>220</v>
      </c>
      <c r="C237" s="4" t="s">
        <v>224</v>
      </c>
      <c r="D237" s="4" t="s">
        <v>33</v>
      </c>
      <c r="E237" s="24" t="s">
        <v>1491</v>
      </c>
    </row>
    <row r="238" spans="1:5" x14ac:dyDescent="0.2">
      <c r="A238" s="20" t="s">
        <v>1385</v>
      </c>
      <c r="B238" s="4" t="s">
        <v>220</v>
      </c>
      <c r="C238" s="4" t="s">
        <v>235</v>
      </c>
      <c r="D238" s="4" t="s">
        <v>57</v>
      </c>
      <c r="E238" s="24" t="s">
        <v>1520</v>
      </c>
    </row>
    <row r="239" spans="1:5" x14ac:dyDescent="0.2">
      <c r="A239" s="20" t="s">
        <v>1231</v>
      </c>
      <c r="B239" s="4" t="s">
        <v>220</v>
      </c>
      <c r="C239" s="4" t="s">
        <v>219</v>
      </c>
      <c r="D239" s="4" t="s">
        <v>54</v>
      </c>
      <c r="E239" s="24" t="s">
        <v>1521</v>
      </c>
    </row>
    <row r="240" spans="1:5" x14ac:dyDescent="0.2">
      <c r="A240" s="20" t="s">
        <v>1321</v>
      </c>
      <c r="B240" s="4" t="s">
        <v>220</v>
      </c>
      <c r="C240" s="4" t="s">
        <v>231</v>
      </c>
      <c r="D240" s="4" t="s">
        <v>82</v>
      </c>
      <c r="E240" s="24" t="s">
        <v>1522</v>
      </c>
    </row>
    <row r="241" spans="1:5" x14ac:dyDescent="0.2">
      <c r="A241" s="20" t="s">
        <v>1326</v>
      </c>
      <c r="B241" s="4" t="s">
        <v>220</v>
      </c>
      <c r="C241" s="4" t="s">
        <v>231</v>
      </c>
      <c r="D241" s="4" t="s">
        <v>117</v>
      </c>
      <c r="E241" s="24" t="s">
        <v>1523</v>
      </c>
    </row>
    <row r="242" spans="1:5" x14ac:dyDescent="0.2">
      <c r="A242" s="20" t="s">
        <v>1329</v>
      </c>
      <c r="B242" s="4" t="s">
        <v>220</v>
      </c>
      <c r="C242" s="4" t="s">
        <v>231</v>
      </c>
      <c r="D242" s="4" t="s">
        <v>80</v>
      </c>
      <c r="E242" s="24" t="s">
        <v>1524</v>
      </c>
    </row>
    <row r="243" spans="1:5" x14ac:dyDescent="0.2">
      <c r="A243" s="20" t="s">
        <v>1389</v>
      </c>
      <c r="B243" s="4" t="s">
        <v>220</v>
      </c>
      <c r="C243" s="4" t="s">
        <v>235</v>
      </c>
      <c r="D243" s="4" t="s">
        <v>117</v>
      </c>
      <c r="E243" s="24" t="s">
        <v>1525</v>
      </c>
    </row>
    <row r="244" spans="1:5" x14ac:dyDescent="0.2">
      <c r="A244" s="20" t="s">
        <v>1165</v>
      </c>
      <c r="B244" s="4" t="s">
        <v>220</v>
      </c>
      <c r="C244" s="4" t="s">
        <v>221</v>
      </c>
      <c r="D244" s="4" t="s">
        <v>33</v>
      </c>
      <c r="E244" s="24" t="s">
        <v>1502</v>
      </c>
    </row>
    <row r="245" spans="1:5" x14ac:dyDescent="0.2">
      <c r="A245" s="20" t="s">
        <v>1268</v>
      </c>
      <c r="B245" s="4" t="s">
        <v>220</v>
      </c>
      <c r="C245" s="4" t="s">
        <v>229</v>
      </c>
      <c r="D245" s="4" t="s">
        <v>53</v>
      </c>
      <c r="E245" s="24" t="s">
        <v>1526</v>
      </c>
    </row>
    <row r="247" spans="1:5" ht="14.25" x14ac:dyDescent="0.2">
      <c r="A247" s="21"/>
      <c r="B247" s="22" t="s">
        <v>222</v>
      </c>
    </row>
    <row r="248" spans="1:5" ht="15" x14ac:dyDescent="0.2">
      <c r="A248" s="23" t="s">
        <v>213</v>
      </c>
      <c r="B248" s="23" t="s">
        <v>214</v>
      </c>
      <c r="C248" s="23" t="s">
        <v>215</v>
      </c>
      <c r="D248" s="23" t="s">
        <v>216</v>
      </c>
      <c r="E248" s="23" t="s">
        <v>217</v>
      </c>
    </row>
    <row r="249" spans="1:5" x14ac:dyDescent="0.2">
      <c r="A249" s="20" t="s">
        <v>1430</v>
      </c>
      <c r="B249" s="4" t="s">
        <v>729</v>
      </c>
      <c r="C249" s="4" t="s">
        <v>235</v>
      </c>
      <c r="D249" s="4" t="s">
        <v>53</v>
      </c>
      <c r="E249" s="24" t="s">
        <v>1527</v>
      </c>
    </row>
    <row r="250" spans="1:5" x14ac:dyDescent="0.2">
      <c r="A250" s="20" t="s">
        <v>1409</v>
      </c>
      <c r="B250" s="4" t="s">
        <v>261</v>
      </c>
      <c r="C250" s="4" t="s">
        <v>235</v>
      </c>
      <c r="D250" s="4" t="s">
        <v>41</v>
      </c>
      <c r="E250" s="24" t="s">
        <v>1528</v>
      </c>
    </row>
    <row r="251" spans="1:5" x14ac:dyDescent="0.2">
      <c r="A251" s="20" t="s">
        <v>1253</v>
      </c>
      <c r="B251" s="4" t="s">
        <v>261</v>
      </c>
      <c r="C251" s="4" t="s">
        <v>229</v>
      </c>
      <c r="D251" s="4" t="s">
        <v>58</v>
      </c>
      <c r="E251" s="24" t="s">
        <v>1529</v>
      </c>
    </row>
    <row r="252" spans="1:5" x14ac:dyDescent="0.2">
      <c r="A252" s="20" t="s">
        <v>1406</v>
      </c>
      <c r="B252" s="4" t="s">
        <v>261</v>
      </c>
      <c r="C252" s="4" t="s">
        <v>235</v>
      </c>
      <c r="D252" s="4" t="s">
        <v>41</v>
      </c>
      <c r="E252" s="24" t="s">
        <v>1530</v>
      </c>
    </row>
    <row r="253" spans="1:5" x14ac:dyDescent="0.2">
      <c r="A253" s="20" t="s">
        <v>1413</v>
      </c>
      <c r="B253" s="4" t="s">
        <v>261</v>
      </c>
      <c r="C253" s="4" t="s">
        <v>235</v>
      </c>
      <c r="D253" s="4" t="s">
        <v>67</v>
      </c>
      <c r="E253" s="24" t="s">
        <v>1531</v>
      </c>
    </row>
    <row r="254" spans="1:5" x14ac:dyDescent="0.2">
      <c r="A254" s="20" t="s">
        <v>1288</v>
      </c>
      <c r="B254" s="4" t="s">
        <v>223</v>
      </c>
      <c r="C254" s="4" t="s">
        <v>229</v>
      </c>
      <c r="D254" s="4" t="s">
        <v>82</v>
      </c>
      <c r="E254" s="24" t="s">
        <v>1532</v>
      </c>
    </row>
    <row r="255" spans="1:5" x14ac:dyDescent="0.2">
      <c r="A255" s="20" t="s">
        <v>1416</v>
      </c>
      <c r="B255" s="4" t="s">
        <v>261</v>
      </c>
      <c r="C255" s="4" t="s">
        <v>235</v>
      </c>
      <c r="D255" s="4" t="s">
        <v>827</v>
      </c>
      <c r="E255" s="24" t="s">
        <v>1533</v>
      </c>
    </row>
    <row r="256" spans="1:5" x14ac:dyDescent="0.2">
      <c r="A256" s="20" t="s">
        <v>1450</v>
      </c>
      <c r="B256" s="4" t="s">
        <v>223</v>
      </c>
      <c r="C256" s="4" t="s">
        <v>244</v>
      </c>
      <c r="D256" s="4" t="s">
        <v>58</v>
      </c>
      <c r="E256" s="24" t="s">
        <v>1534</v>
      </c>
    </row>
    <row r="257" spans="1:5" x14ac:dyDescent="0.2">
      <c r="A257" s="20" t="s">
        <v>1351</v>
      </c>
      <c r="B257" s="4" t="s">
        <v>261</v>
      </c>
      <c r="C257" s="4" t="s">
        <v>231</v>
      </c>
      <c r="D257" s="4" t="s">
        <v>67</v>
      </c>
      <c r="E257" s="24" t="s">
        <v>1535</v>
      </c>
    </row>
    <row r="258" spans="1:5" x14ac:dyDescent="0.2">
      <c r="A258" s="20" t="s">
        <v>1424</v>
      </c>
      <c r="B258" s="4" t="s">
        <v>223</v>
      </c>
      <c r="C258" s="4" t="s">
        <v>235</v>
      </c>
      <c r="D258" s="4" t="s">
        <v>57</v>
      </c>
      <c r="E258" s="24" t="s">
        <v>1536</v>
      </c>
    </row>
    <row r="259" spans="1:5" x14ac:dyDescent="0.2">
      <c r="A259" s="20" t="s">
        <v>1439</v>
      </c>
      <c r="B259" s="4" t="s">
        <v>261</v>
      </c>
      <c r="C259" s="4" t="s">
        <v>244</v>
      </c>
      <c r="D259" s="4" t="s">
        <v>63</v>
      </c>
      <c r="E259" s="24" t="s">
        <v>1537</v>
      </c>
    </row>
    <row r="260" spans="1:5" x14ac:dyDescent="0.2">
      <c r="A260" s="20" t="s">
        <v>1397</v>
      </c>
      <c r="B260" s="4" t="s">
        <v>370</v>
      </c>
      <c r="C260" s="4" t="s">
        <v>235</v>
      </c>
      <c r="D260" s="4" t="s">
        <v>385</v>
      </c>
      <c r="E260" s="24" t="s">
        <v>1538</v>
      </c>
    </row>
    <row r="261" spans="1:5" x14ac:dyDescent="0.2">
      <c r="A261" s="20" t="s">
        <v>1354</v>
      </c>
      <c r="B261" s="4" t="s">
        <v>261</v>
      </c>
      <c r="C261" s="4" t="s">
        <v>231</v>
      </c>
      <c r="D261" s="4" t="s">
        <v>296</v>
      </c>
      <c r="E261" s="24" t="s">
        <v>1539</v>
      </c>
    </row>
    <row r="262" spans="1:5" x14ac:dyDescent="0.2">
      <c r="A262" s="20" t="s">
        <v>1291</v>
      </c>
      <c r="B262" s="4" t="s">
        <v>367</v>
      </c>
      <c r="C262" s="4" t="s">
        <v>229</v>
      </c>
      <c r="D262" s="4" t="s">
        <v>33</v>
      </c>
      <c r="E262" s="24" t="s">
        <v>1540</v>
      </c>
    </row>
    <row r="263" spans="1:5" x14ac:dyDescent="0.2">
      <c r="A263" s="20" t="s">
        <v>1464</v>
      </c>
      <c r="B263" s="4" t="s">
        <v>391</v>
      </c>
      <c r="C263" s="4" t="s">
        <v>944</v>
      </c>
      <c r="D263" s="4" t="s">
        <v>82</v>
      </c>
      <c r="E263" s="24" t="s">
        <v>1541</v>
      </c>
    </row>
    <row r="264" spans="1:5" x14ac:dyDescent="0.2">
      <c r="A264" s="20" t="s">
        <v>510</v>
      </c>
      <c r="B264" s="4" t="s">
        <v>391</v>
      </c>
      <c r="C264" s="4" t="s">
        <v>235</v>
      </c>
      <c r="D264" s="4" t="s">
        <v>53</v>
      </c>
      <c r="E264" s="24" t="s">
        <v>1542</v>
      </c>
    </row>
    <row r="265" spans="1:5" x14ac:dyDescent="0.2">
      <c r="A265" s="20" t="s">
        <v>1360</v>
      </c>
      <c r="B265" s="4" t="s">
        <v>223</v>
      </c>
      <c r="C265" s="4" t="s">
        <v>231</v>
      </c>
      <c r="D265" s="4" t="s">
        <v>54</v>
      </c>
      <c r="E265" s="24" t="s">
        <v>1543</v>
      </c>
    </row>
    <row r="266" spans="1:5" x14ac:dyDescent="0.2">
      <c r="A266" s="20" t="s">
        <v>1199</v>
      </c>
      <c r="B266" s="4" t="s">
        <v>261</v>
      </c>
      <c r="C266" s="4" t="s">
        <v>221</v>
      </c>
      <c r="D266" s="4" t="s">
        <v>94</v>
      </c>
      <c r="E266" s="24" t="s">
        <v>1544</v>
      </c>
    </row>
    <row r="267" spans="1:5" x14ac:dyDescent="0.2">
      <c r="A267" s="20" t="s">
        <v>1363</v>
      </c>
      <c r="B267" s="4" t="s">
        <v>223</v>
      </c>
      <c r="C267" s="4" t="s">
        <v>231</v>
      </c>
      <c r="D267" s="4" t="s">
        <v>53</v>
      </c>
      <c r="E267" s="24" t="s">
        <v>1545</v>
      </c>
    </row>
    <row r="268" spans="1:5" x14ac:dyDescent="0.2">
      <c r="A268" s="20" t="s">
        <v>1454</v>
      </c>
      <c r="B268" s="4" t="s">
        <v>543</v>
      </c>
      <c r="C268" s="4" t="s">
        <v>244</v>
      </c>
      <c r="D268" s="4" t="s">
        <v>28</v>
      </c>
      <c r="E268" s="24" t="s">
        <v>1546</v>
      </c>
    </row>
    <row r="269" spans="1:5" x14ac:dyDescent="0.2">
      <c r="A269" s="20" t="s">
        <v>1249</v>
      </c>
      <c r="B269" s="4" t="s">
        <v>391</v>
      </c>
      <c r="C269" s="4" t="s">
        <v>219</v>
      </c>
      <c r="D269" s="4" t="s">
        <v>33</v>
      </c>
      <c r="E269" s="24" t="s">
        <v>1547</v>
      </c>
    </row>
    <row r="270" spans="1:5" x14ac:dyDescent="0.2">
      <c r="A270" s="20" t="s">
        <v>1421</v>
      </c>
      <c r="B270" s="4" t="s">
        <v>261</v>
      </c>
      <c r="C270" s="4" t="s">
        <v>235</v>
      </c>
      <c r="D270" s="4" t="s">
        <v>169</v>
      </c>
      <c r="E270" s="24" t="s">
        <v>1548</v>
      </c>
    </row>
    <row r="271" spans="1:5" x14ac:dyDescent="0.2">
      <c r="A271" s="20" t="s">
        <v>1280</v>
      </c>
      <c r="B271" s="4" t="s">
        <v>261</v>
      </c>
      <c r="C271" s="4" t="s">
        <v>229</v>
      </c>
      <c r="D271" s="4" t="s">
        <v>54</v>
      </c>
      <c r="E271" s="24" t="s">
        <v>1549</v>
      </c>
    </row>
    <row r="272" spans="1:5" x14ac:dyDescent="0.2">
      <c r="A272" s="20" t="s">
        <v>1334</v>
      </c>
      <c r="B272" s="4" t="s">
        <v>370</v>
      </c>
      <c r="C272" s="4" t="s">
        <v>231</v>
      </c>
      <c r="D272" s="4" t="s">
        <v>57</v>
      </c>
      <c r="E272" s="24" t="s">
        <v>1550</v>
      </c>
    </row>
  </sheetData>
  <mergeCells count="27">
    <mergeCell ref="A1:M2"/>
    <mergeCell ref="A3:A4"/>
    <mergeCell ref="B3:B4"/>
    <mergeCell ref="C3:C4"/>
    <mergeCell ref="D3:D4"/>
    <mergeCell ref="E3:E4"/>
    <mergeCell ref="F3:F4"/>
    <mergeCell ref="G3:J3"/>
    <mergeCell ref="A49:L49"/>
    <mergeCell ref="K3:K4"/>
    <mergeCell ref="L3:L4"/>
    <mergeCell ref="M3:M4"/>
    <mergeCell ref="A5:L5"/>
    <mergeCell ref="A11:L11"/>
    <mergeCell ref="A16:L16"/>
    <mergeCell ref="A22:L22"/>
    <mergeCell ref="A29:L29"/>
    <mergeCell ref="A36:L36"/>
    <mergeCell ref="A41:L41"/>
    <mergeCell ref="A44:L44"/>
    <mergeCell ref="A155:L155"/>
    <mergeCell ref="A56:L56"/>
    <mergeCell ref="A76:L76"/>
    <mergeCell ref="A89:L89"/>
    <mergeCell ref="A105:L105"/>
    <mergeCell ref="A129:L129"/>
    <mergeCell ref="A147:L14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A11" sqref="A11:L11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8554687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6.42578125" style="4" bestFit="1" customWidth="1"/>
    <col min="14" max="16384" width="9.140625" style="3"/>
  </cols>
  <sheetData>
    <row r="1" spans="1:13" s="2" customFormat="1" ht="29.1" customHeight="1" x14ac:dyDescent="0.2">
      <c r="A1" s="50" t="s">
        <v>2246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11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27.7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392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4" t="s">
        <v>1551</v>
      </c>
      <c r="B6" s="5" t="s">
        <v>1552</v>
      </c>
      <c r="C6" s="5" t="s">
        <v>1016</v>
      </c>
      <c r="D6" s="5" t="str">
        <f>"1,3511"</f>
        <v>1,3511</v>
      </c>
      <c r="E6" s="5" t="s">
        <v>17</v>
      </c>
      <c r="F6" s="5" t="s">
        <v>40</v>
      </c>
      <c r="G6" s="7" t="s">
        <v>264</v>
      </c>
      <c r="H6" s="7" t="s">
        <v>264</v>
      </c>
      <c r="I6" s="7" t="s">
        <v>264</v>
      </c>
      <c r="J6" s="7"/>
      <c r="K6" s="34" t="str">
        <f>"0.00"</f>
        <v>0.00</v>
      </c>
      <c r="L6" s="37" t="str">
        <f>"0,0000"</f>
        <v>0,0000</v>
      </c>
      <c r="M6" s="5" t="s">
        <v>1553</v>
      </c>
    </row>
    <row r="8" spans="1:13" ht="15" x14ac:dyDescent="0.2">
      <c r="A8" s="44" t="s">
        <v>23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">
      <c r="A9" s="34" t="s">
        <v>1554</v>
      </c>
      <c r="B9" s="5" t="s">
        <v>1555</v>
      </c>
      <c r="C9" s="5" t="s">
        <v>1556</v>
      </c>
      <c r="D9" s="5" t="str">
        <f>"0,8035"</f>
        <v>0,8035</v>
      </c>
      <c r="E9" s="5" t="s">
        <v>17</v>
      </c>
      <c r="F9" s="5" t="s">
        <v>2257</v>
      </c>
      <c r="G9" s="6" t="s">
        <v>53</v>
      </c>
      <c r="H9" s="6" t="s">
        <v>80</v>
      </c>
      <c r="I9" s="6" t="s">
        <v>169</v>
      </c>
      <c r="J9" s="7" t="s">
        <v>56</v>
      </c>
      <c r="K9" s="34" t="str">
        <f>"162,5"</f>
        <v>162,5</v>
      </c>
      <c r="L9" s="37" t="str">
        <f>"130,5687"</f>
        <v>130,5687</v>
      </c>
      <c r="M9" s="5" t="s">
        <v>741</v>
      </c>
    </row>
    <row r="11" spans="1:13" ht="15" x14ac:dyDescent="0.2">
      <c r="A11" s="44" t="s">
        <v>36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3" x14ac:dyDescent="0.2">
      <c r="A12" s="34" t="s">
        <v>1558</v>
      </c>
      <c r="B12" s="5" t="s">
        <v>1559</v>
      </c>
      <c r="C12" s="5" t="s">
        <v>1560</v>
      </c>
      <c r="D12" s="5" t="str">
        <f>"0,7126"</f>
        <v>0,7126</v>
      </c>
      <c r="E12" s="5" t="s">
        <v>17</v>
      </c>
      <c r="F12" s="5" t="s">
        <v>40</v>
      </c>
      <c r="G12" s="6" t="s">
        <v>64</v>
      </c>
      <c r="H12" s="7" t="s">
        <v>47</v>
      </c>
      <c r="I12" s="6" t="s">
        <v>47</v>
      </c>
      <c r="J12" s="7"/>
      <c r="K12" s="34" t="str">
        <f>"205,0"</f>
        <v>205,0</v>
      </c>
      <c r="L12" s="37" t="str">
        <f>"146,0830"</f>
        <v>146,0830</v>
      </c>
      <c r="M12" s="5" t="s">
        <v>1561</v>
      </c>
    </row>
    <row r="14" spans="1:13" ht="15" x14ac:dyDescent="0.2">
      <c r="A14" s="44" t="s">
        <v>96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3" x14ac:dyDescent="0.2">
      <c r="A15" s="32" t="s">
        <v>1563</v>
      </c>
      <c r="B15" s="8" t="s">
        <v>1564</v>
      </c>
      <c r="C15" s="8" t="s">
        <v>125</v>
      </c>
      <c r="D15" s="8" t="str">
        <f>"0,6428"</f>
        <v>0,6428</v>
      </c>
      <c r="E15" s="8" t="s">
        <v>17</v>
      </c>
      <c r="F15" s="8" t="s">
        <v>40</v>
      </c>
      <c r="G15" s="9" t="s">
        <v>47</v>
      </c>
      <c r="H15" s="10" t="s">
        <v>48</v>
      </c>
      <c r="I15" s="9" t="s">
        <v>48</v>
      </c>
      <c r="J15" s="10"/>
      <c r="K15" s="32" t="str">
        <f>"215,0"</f>
        <v>215,0</v>
      </c>
      <c r="L15" s="35" t="str">
        <f>"138,2020"</f>
        <v>138,2020</v>
      </c>
      <c r="M15" s="8" t="s">
        <v>643</v>
      </c>
    </row>
    <row r="16" spans="1:13" x14ac:dyDescent="0.2">
      <c r="A16" s="38" t="s">
        <v>1566</v>
      </c>
      <c r="B16" s="14" t="s">
        <v>1567</v>
      </c>
      <c r="C16" s="14" t="s">
        <v>300</v>
      </c>
      <c r="D16" s="14" t="str">
        <f>"0,6406"</f>
        <v>0,6406</v>
      </c>
      <c r="E16" s="14" t="s">
        <v>17</v>
      </c>
      <c r="F16" s="14" t="s">
        <v>40</v>
      </c>
      <c r="G16" s="15" t="s">
        <v>385</v>
      </c>
      <c r="H16" s="15" t="s">
        <v>63</v>
      </c>
      <c r="I16" s="16" t="s">
        <v>46</v>
      </c>
      <c r="J16" s="16"/>
      <c r="K16" s="38" t="str">
        <f>"190,0"</f>
        <v>190,0</v>
      </c>
      <c r="L16" s="39" t="str">
        <f>"121,7140"</f>
        <v>121,7140</v>
      </c>
      <c r="M16" s="14"/>
    </row>
    <row r="17" spans="1:13" x14ac:dyDescent="0.2">
      <c r="A17" s="38" t="s">
        <v>1569</v>
      </c>
      <c r="B17" s="14" t="s">
        <v>1570</v>
      </c>
      <c r="C17" s="14" t="s">
        <v>478</v>
      </c>
      <c r="D17" s="14" t="str">
        <f>"0,6421"</f>
        <v>0,6421</v>
      </c>
      <c r="E17" s="14" t="s">
        <v>17</v>
      </c>
      <c r="F17" s="14" t="s">
        <v>152</v>
      </c>
      <c r="G17" s="15" t="s">
        <v>82</v>
      </c>
      <c r="H17" s="15" t="s">
        <v>57</v>
      </c>
      <c r="I17" s="16" t="s">
        <v>58</v>
      </c>
      <c r="J17" s="16"/>
      <c r="K17" s="38" t="str">
        <f>"170,0"</f>
        <v>170,0</v>
      </c>
      <c r="L17" s="39" t="str">
        <f>"109,1570"</f>
        <v>109,1570</v>
      </c>
      <c r="M17" s="14" t="s">
        <v>1571</v>
      </c>
    </row>
    <row r="18" spans="1:13" x14ac:dyDescent="0.2">
      <c r="A18" s="33" t="s">
        <v>1563</v>
      </c>
      <c r="B18" s="11" t="s">
        <v>1572</v>
      </c>
      <c r="C18" s="11" t="s">
        <v>125</v>
      </c>
      <c r="D18" s="11" t="str">
        <f>"0,6428"</f>
        <v>0,6428</v>
      </c>
      <c r="E18" s="11" t="s">
        <v>17</v>
      </c>
      <c r="F18" s="11" t="s">
        <v>40</v>
      </c>
      <c r="G18" s="12" t="s">
        <v>47</v>
      </c>
      <c r="H18" s="13" t="s">
        <v>48</v>
      </c>
      <c r="I18" s="12" t="s">
        <v>48</v>
      </c>
      <c r="J18" s="13"/>
      <c r="K18" s="33" t="str">
        <f>"215,0"</f>
        <v>215,0</v>
      </c>
      <c r="L18" s="36" t="str">
        <f>"139,5840"</f>
        <v>139,5840</v>
      </c>
      <c r="M18" s="11" t="s">
        <v>643</v>
      </c>
    </row>
    <row r="20" spans="1:13" ht="15" x14ac:dyDescent="0.2">
      <c r="A20" s="44" t="s">
        <v>139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3" x14ac:dyDescent="0.2">
      <c r="A21" s="32" t="s">
        <v>1574</v>
      </c>
      <c r="B21" s="8" t="s">
        <v>1575</v>
      </c>
      <c r="C21" s="8" t="s">
        <v>317</v>
      </c>
      <c r="D21" s="8" t="str">
        <f>"0,6086"</f>
        <v>0,6086</v>
      </c>
      <c r="E21" s="8" t="s">
        <v>17</v>
      </c>
      <c r="F21" s="8" t="s">
        <v>40</v>
      </c>
      <c r="G21" s="9" t="s">
        <v>318</v>
      </c>
      <c r="H21" s="10" t="s">
        <v>109</v>
      </c>
      <c r="I21" s="10" t="s">
        <v>109</v>
      </c>
      <c r="J21" s="10"/>
      <c r="K21" s="32" t="str">
        <f>"245,0"</f>
        <v>245,0</v>
      </c>
      <c r="L21" s="35" t="str">
        <f>"149,1070"</f>
        <v>149,1070</v>
      </c>
      <c r="M21" s="8" t="s">
        <v>1576</v>
      </c>
    </row>
    <row r="22" spans="1:13" x14ac:dyDescent="0.2">
      <c r="A22" s="38" t="s">
        <v>1578</v>
      </c>
      <c r="B22" s="14" t="s">
        <v>1579</v>
      </c>
      <c r="C22" s="14" t="s">
        <v>1580</v>
      </c>
      <c r="D22" s="14" t="str">
        <f>"0,6129"</f>
        <v>0,6129</v>
      </c>
      <c r="E22" s="14" t="s">
        <v>17</v>
      </c>
      <c r="F22" s="14" t="s">
        <v>40</v>
      </c>
      <c r="G22" s="16" t="s">
        <v>65</v>
      </c>
      <c r="H22" s="15" t="s">
        <v>65</v>
      </c>
      <c r="I22" s="16" t="s">
        <v>712</v>
      </c>
      <c r="J22" s="16"/>
      <c r="K22" s="38" t="str">
        <f>"210,0"</f>
        <v>210,0</v>
      </c>
      <c r="L22" s="39" t="str">
        <f>"128,7090"</f>
        <v>128,7090</v>
      </c>
      <c r="M22" s="14" t="s">
        <v>1581</v>
      </c>
    </row>
    <row r="23" spans="1:13" x14ac:dyDescent="0.2">
      <c r="A23" s="38" t="s">
        <v>1582</v>
      </c>
      <c r="B23" s="14" t="s">
        <v>1583</v>
      </c>
      <c r="C23" s="14" t="s">
        <v>1584</v>
      </c>
      <c r="D23" s="14" t="str">
        <f>"0,6220"</f>
        <v>0,6220</v>
      </c>
      <c r="E23" s="14" t="s">
        <v>17</v>
      </c>
      <c r="F23" s="14" t="s">
        <v>1585</v>
      </c>
      <c r="G23" s="16" t="s">
        <v>318</v>
      </c>
      <c r="H23" s="16" t="s">
        <v>318</v>
      </c>
      <c r="I23" s="16" t="s">
        <v>318</v>
      </c>
      <c r="J23" s="16"/>
      <c r="K23" s="38" t="str">
        <f>"0.00"</f>
        <v>0.00</v>
      </c>
      <c r="L23" s="39" t="str">
        <f>"0,0000"</f>
        <v>0,0000</v>
      </c>
      <c r="M23" s="14" t="s">
        <v>741</v>
      </c>
    </row>
    <row r="24" spans="1:13" x14ac:dyDescent="0.2">
      <c r="A24" s="33" t="s">
        <v>1574</v>
      </c>
      <c r="B24" s="11" t="s">
        <v>1586</v>
      </c>
      <c r="C24" s="11" t="s">
        <v>317</v>
      </c>
      <c r="D24" s="11" t="str">
        <f>"0,6086"</f>
        <v>0,6086</v>
      </c>
      <c r="E24" s="11" t="s">
        <v>17</v>
      </c>
      <c r="F24" s="11" t="s">
        <v>40</v>
      </c>
      <c r="G24" s="12" t="s">
        <v>318</v>
      </c>
      <c r="H24" s="13" t="s">
        <v>109</v>
      </c>
      <c r="I24" s="13" t="s">
        <v>109</v>
      </c>
      <c r="J24" s="13"/>
      <c r="K24" s="33" t="str">
        <f>"245,0"</f>
        <v>245,0</v>
      </c>
      <c r="L24" s="36" t="str">
        <f>"152,0891"</f>
        <v>152,0891</v>
      </c>
      <c r="M24" s="11" t="s">
        <v>1576</v>
      </c>
    </row>
    <row r="26" spans="1:13" ht="15" x14ac:dyDescent="0.2">
      <c r="A26" s="44" t="s">
        <v>175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3" x14ac:dyDescent="0.2">
      <c r="A27" s="34" t="s">
        <v>1587</v>
      </c>
      <c r="B27" s="5" t="s">
        <v>1588</v>
      </c>
      <c r="C27" s="5" t="s">
        <v>1589</v>
      </c>
      <c r="D27" s="5" t="str">
        <f>"0,5946"</f>
        <v>0,5946</v>
      </c>
      <c r="E27" s="5" t="s">
        <v>17</v>
      </c>
      <c r="F27" s="5" t="s">
        <v>40</v>
      </c>
      <c r="G27" s="7" t="s">
        <v>46</v>
      </c>
      <c r="H27" s="7" t="s">
        <v>46</v>
      </c>
      <c r="I27" s="7" t="s">
        <v>46</v>
      </c>
      <c r="J27" s="7"/>
      <c r="K27" s="34" t="str">
        <f>"0.00"</f>
        <v>0.00</v>
      </c>
      <c r="L27" s="37" t="str">
        <f>"0,0000"</f>
        <v>0,0000</v>
      </c>
      <c r="M27" s="5" t="s">
        <v>2207</v>
      </c>
    </row>
    <row r="29" spans="1:13" ht="15" x14ac:dyDescent="0.2">
      <c r="E29" s="17" t="s">
        <v>206</v>
      </c>
    </row>
    <row r="30" spans="1:13" ht="15" x14ac:dyDescent="0.2">
      <c r="E30" s="17" t="s">
        <v>207</v>
      </c>
    </row>
    <row r="31" spans="1:13" ht="15" x14ac:dyDescent="0.2">
      <c r="E31" s="17" t="s">
        <v>208</v>
      </c>
    </row>
    <row r="32" spans="1:13" ht="15" x14ac:dyDescent="0.2">
      <c r="E32" s="17" t="s">
        <v>209</v>
      </c>
    </row>
    <row r="33" spans="1:5" ht="15" x14ac:dyDescent="0.2">
      <c r="E33" s="17" t="s">
        <v>209</v>
      </c>
    </row>
    <row r="34" spans="1:5" ht="15" x14ac:dyDescent="0.2">
      <c r="E34" s="17" t="s">
        <v>210</v>
      </c>
    </row>
    <row r="35" spans="1:5" ht="15" x14ac:dyDescent="0.2">
      <c r="E35" s="17"/>
    </row>
    <row r="37" spans="1:5" ht="18" x14ac:dyDescent="0.25">
      <c r="A37" s="18" t="s">
        <v>211</v>
      </c>
      <c r="B37" s="18"/>
    </row>
    <row r="38" spans="1:5" ht="15" x14ac:dyDescent="0.2">
      <c r="A38" s="19" t="s">
        <v>226</v>
      </c>
      <c r="B38" s="19"/>
    </row>
    <row r="39" spans="1:5" ht="14.25" x14ac:dyDescent="0.2">
      <c r="A39" s="21"/>
      <c r="B39" s="22" t="s">
        <v>220</v>
      </c>
    </row>
    <row r="40" spans="1:5" ht="15" x14ac:dyDescent="0.2">
      <c r="A40" s="23" t="s">
        <v>213</v>
      </c>
      <c r="B40" s="23" t="s">
        <v>214</v>
      </c>
      <c r="C40" s="23" t="s">
        <v>215</v>
      </c>
      <c r="D40" s="23" t="s">
        <v>216</v>
      </c>
      <c r="E40" s="23" t="s">
        <v>217</v>
      </c>
    </row>
    <row r="41" spans="1:5" x14ac:dyDescent="0.2">
      <c r="A41" s="20" t="s">
        <v>1573</v>
      </c>
      <c r="B41" s="4" t="s">
        <v>220</v>
      </c>
      <c r="C41" s="4" t="s">
        <v>231</v>
      </c>
      <c r="D41" s="4" t="s">
        <v>318</v>
      </c>
      <c r="E41" s="24" t="s">
        <v>1590</v>
      </c>
    </row>
    <row r="42" spans="1:5" x14ac:dyDescent="0.2">
      <c r="A42" s="20" t="s">
        <v>1557</v>
      </c>
      <c r="B42" s="4" t="s">
        <v>220</v>
      </c>
      <c r="C42" s="4" t="s">
        <v>221</v>
      </c>
      <c r="D42" s="4" t="s">
        <v>47</v>
      </c>
      <c r="E42" s="24" t="s">
        <v>1591</v>
      </c>
    </row>
    <row r="43" spans="1:5" x14ac:dyDescent="0.2">
      <c r="A43" s="20" t="s">
        <v>1562</v>
      </c>
      <c r="B43" s="4" t="s">
        <v>220</v>
      </c>
      <c r="C43" s="4" t="s">
        <v>229</v>
      </c>
      <c r="D43" s="4" t="s">
        <v>48</v>
      </c>
      <c r="E43" s="24" t="s">
        <v>1592</v>
      </c>
    </row>
    <row r="44" spans="1:5" x14ac:dyDescent="0.2">
      <c r="A44" s="20" t="s">
        <v>1577</v>
      </c>
      <c r="B44" s="4" t="s">
        <v>220</v>
      </c>
      <c r="C44" s="4" t="s">
        <v>231</v>
      </c>
      <c r="D44" s="4" t="s">
        <v>65</v>
      </c>
      <c r="E44" s="24" t="s">
        <v>1593</v>
      </c>
    </row>
    <row r="45" spans="1:5" x14ac:dyDescent="0.2">
      <c r="A45" s="20" t="s">
        <v>1565</v>
      </c>
      <c r="B45" s="4" t="s">
        <v>220</v>
      </c>
      <c r="C45" s="4" t="s">
        <v>229</v>
      </c>
      <c r="D45" s="4" t="s">
        <v>63</v>
      </c>
      <c r="E45" s="24" t="s">
        <v>1594</v>
      </c>
    </row>
    <row r="46" spans="1:5" x14ac:dyDescent="0.2">
      <c r="A46" s="20" t="s">
        <v>1568</v>
      </c>
      <c r="B46" s="4" t="s">
        <v>220</v>
      </c>
      <c r="C46" s="4" t="s">
        <v>229</v>
      </c>
      <c r="D46" s="4" t="s">
        <v>57</v>
      </c>
      <c r="E46" s="24" t="s">
        <v>1595</v>
      </c>
    </row>
  </sheetData>
  <mergeCells count="17"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A14:L14"/>
    <mergeCell ref="A20:L20"/>
    <mergeCell ref="A26:L26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4.85546875" style="4" bestFit="1" customWidth="1"/>
    <col min="14" max="16384" width="9.140625" style="3"/>
  </cols>
  <sheetData>
    <row r="1" spans="1:13" s="2" customFormat="1" ht="29.1" customHeight="1" x14ac:dyDescent="0.2">
      <c r="A1" s="50" t="s">
        <v>2247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11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33.7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96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4" t="s">
        <v>1009</v>
      </c>
      <c r="B6" s="5" t="s">
        <v>1010</v>
      </c>
      <c r="C6" s="5" t="s">
        <v>1011</v>
      </c>
      <c r="D6" s="5" t="str">
        <f>"0,6417"</f>
        <v>0,6417</v>
      </c>
      <c r="E6" s="5" t="s">
        <v>17</v>
      </c>
      <c r="F6" s="5" t="s">
        <v>40</v>
      </c>
      <c r="G6" s="6" t="s">
        <v>914</v>
      </c>
      <c r="H6" s="7" t="s">
        <v>65</v>
      </c>
      <c r="I6" s="7" t="s">
        <v>65</v>
      </c>
      <c r="J6" s="7"/>
      <c r="K6" s="34" t="str">
        <f>"202,5"</f>
        <v>202,5</v>
      </c>
      <c r="L6" s="37" t="str">
        <f>"142,5488"</f>
        <v>142,5488</v>
      </c>
      <c r="M6" s="5" t="s">
        <v>1012</v>
      </c>
    </row>
    <row r="8" spans="1:13" ht="15" x14ac:dyDescent="0.2">
      <c r="E8" s="17" t="s">
        <v>206</v>
      </c>
    </row>
    <row r="9" spans="1:13" ht="15" x14ac:dyDescent="0.2">
      <c r="E9" s="17" t="s">
        <v>207</v>
      </c>
    </row>
    <row r="10" spans="1:13" ht="15" x14ac:dyDescent="0.2">
      <c r="E10" s="17" t="s">
        <v>208</v>
      </c>
    </row>
    <row r="11" spans="1:13" ht="15" x14ac:dyDescent="0.2">
      <c r="E11" s="17" t="s">
        <v>209</v>
      </c>
    </row>
    <row r="12" spans="1:13" ht="15" x14ac:dyDescent="0.2">
      <c r="E12" s="17" t="s">
        <v>209</v>
      </c>
    </row>
    <row r="13" spans="1:13" ht="15" x14ac:dyDescent="0.2">
      <c r="E13" s="17" t="s">
        <v>210</v>
      </c>
    </row>
    <row r="14" spans="1:13" ht="15" x14ac:dyDescent="0.2">
      <c r="E14" s="17"/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opLeftCell="A64" workbookViewId="0">
      <selection activeCell="F80" sqref="F80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8554687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24.140625" style="4" bestFit="1" customWidth="1"/>
    <col min="14" max="16384" width="9.140625" style="3"/>
  </cols>
  <sheetData>
    <row r="1" spans="1:13" s="2" customFormat="1" ht="29.1" customHeight="1" x14ac:dyDescent="0.2">
      <c r="A1" s="50" t="s">
        <v>2248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12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30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392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4" t="s">
        <v>1703</v>
      </c>
      <c r="B6" s="5" t="s">
        <v>1704</v>
      </c>
      <c r="C6" s="5" t="s">
        <v>1705</v>
      </c>
      <c r="D6" s="5" t="str">
        <f>"1,3553"</f>
        <v>1,3553</v>
      </c>
      <c r="E6" s="5" t="s">
        <v>17</v>
      </c>
      <c r="F6" s="5" t="s">
        <v>40</v>
      </c>
      <c r="G6" s="6" t="s">
        <v>29</v>
      </c>
      <c r="H6" s="7" t="s">
        <v>33</v>
      </c>
      <c r="I6" s="7" t="s">
        <v>33</v>
      </c>
      <c r="J6" s="7"/>
      <c r="K6" s="34" t="str">
        <f>"125,0"</f>
        <v>125,0</v>
      </c>
      <c r="L6" s="37" t="str">
        <f>"169,4125"</f>
        <v>169,4125</v>
      </c>
      <c r="M6" s="5" t="s">
        <v>1706</v>
      </c>
    </row>
    <row r="8" spans="1:13" ht="15" x14ac:dyDescent="0.2">
      <c r="A8" s="44" t="s">
        <v>402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">
      <c r="A9" s="32" t="s">
        <v>1708</v>
      </c>
      <c r="B9" s="8" t="s">
        <v>1709</v>
      </c>
      <c r="C9" s="8" t="s">
        <v>422</v>
      </c>
      <c r="D9" s="8" t="str">
        <f>"1,2466"</f>
        <v>1,2466</v>
      </c>
      <c r="E9" s="8" t="s">
        <v>17</v>
      </c>
      <c r="F9" s="8" t="s">
        <v>40</v>
      </c>
      <c r="G9" s="10" t="s">
        <v>43</v>
      </c>
      <c r="H9" s="9" t="s">
        <v>43</v>
      </c>
      <c r="I9" s="10" t="s">
        <v>28</v>
      </c>
      <c r="J9" s="10"/>
      <c r="K9" s="32" t="str">
        <f>"102,5"</f>
        <v>102,5</v>
      </c>
      <c r="L9" s="35" t="str">
        <f>"127,7765"</f>
        <v>127,7765</v>
      </c>
      <c r="M9" s="8" t="s">
        <v>1710</v>
      </c>
    </row>
    <row r="10" spans="1:13" x14ac:dyDescent="0.2">
      <c r="A10" s="38" t="s">
        <v>1711</v>
      </c>
      <c r="B10" s="14" t="s">
        <v>1712</v>
      </c>
      <c r="C10" s="14" t="s">
        <v>1713</v>
      </c>
      <c r="D10" s="14" t="str">
        <f>"1,2673"</f>
        <v>1,2673</v>
      </c>
      <c r="E10" s="14" t="s">
        <v>17</v>
      </c>
      <c r="F10" s="14" t="s">
        <v>40</v>
      </c>
      <c r="G10" s="15" t="s">
        <v>270</v>
      </c>
      <c r="H10" s="15" t="s">
        <v>81</v>
      </c>
      <c r="I10" s="16" t="s">
        <v>401</v>
      </c>
      <c r="J10" s="16"/>
      <c r="K10" s="38" t="str">
        <f>"100,0"</f>
        <v>100,0</v>
      </c>
      <c r="L10" s="39" t="str">
        <f>"126,7300"</f>
        <v>126,7300</v>
      </c>
      <c r="M10" s="14"/>
    </row>
    <row r="11" spans="1:13" x14ac:dyDescent="0.2">
      <c r="A11" s="38" t="s">
        <v>1715</v>
      </c>
      <c r="B11" s="14" t="s">
        <v>1716</v>
      </c>
      <c r="C11" s="14" t="s">
        <v>1717</v>
      </c>
      <c r="D11" s="14" t="str">
        <f>"1,2692"</f>
        <v>1,2692</v>
      </c>
      <c r="E11" s="14" t="s">
        <v>17</v>
      </c>
      <c r="F11" s="14" t="s">
        <v>40</v>
      </c>
      <c r="G11" s="15" t="s">
        <v>43</v>
      </c>
      <c r="H11" s="16" t="s">
        <v>44</v>
      </c>
      <c r="I11" s="15" t="s">
        <v>44</v>
      </c>
      <c r="J11" s="16"/>
      <c r="K11" s="38" t="str">
        <f>"107,5"</f>
        <v>107,5</v>
      </c>
      <c r="L11" s="39" t="str">
        <f>"136,4390"</f>
        <v>136,4390</v>
      </c>
      <c r="M11" s="14" t="s">
        <v>1718</v>
      </c>
    </row>
    <row r="12" spans="1:13" x14ac:dyDescent="0.2">
      <c r="A12" s="38" t="s">
        <v>1720</v>
      </c>
      <c r="B12" s="14" t="s">
        <v>1721</v>
      </c>
      <c r="C12" s="14" t="s">
        <v>1722</v>
      </c>
      <c r="D12" s="14" t="str">
        <f>"1,3004"</f>
        <v>1,3004</v>
      </c>
      <c r="E12" s="14" t="s">
        <v>17</v>
      </c>
      <c r="F12" s="14" t="s">
        <v>40</v>
      </c>
      <c r="G12" s="15" t="s">
        <v>270</v>
      </c>
      <c r="H12" s="15" t="s">
        <v>416</v>
      </c>
      <c r="I12" s="15" t="s">
        <v>81</v>
      </c>
      <c r="J12" s="16"/>
      <c r="K12" s="38" t="str">
        <f>"100,0"</f>
        <v>100,0</v>
      </c>
      <c r="L12" s="39" t="str">
        <f>"130,0400"</f>
        <v>130,0400</v>
      </c>
      <c r="M12" s="14"/>
    </row>
    <row r="13" spans="1:13" x14ac:dyDescent="0.2">
      <c r="A13" s="33" t="s">
        <v>1724</v>
      </c>
      <c r="B13" s="11" t="s">
        <v>1725</v>
      </c>
      <c r="C13" s="11" t="s">
        <v>1713</v>
      </c>
      <c r="D13" s="11" t="str">
        <f>"1,2673"</f>
        <v>1,2673</v>
      </c>
      <c r="E13" s="11" t="s">
        <v>17</v>
      </c>
      <c r="F13" s="11" t="s">
        <v>40</v>
      </c>
      <c r="G13" s="12" t="s">
        <v>30</v>
      </c>
      <c r="H13" s="12" t="s">
        <v>21</v>
      </c>
      <c r="I13" s="12" t="s">
        <v>31</v>
      </c>
      <c r="J13" s="13"/>
      <c r="K13" s="33" t="str">
        <f>"80,0"</f>
        <v>80,0</v>
      </c>
      <c r="L13" s="36" t="str">
        <f>"101,3840"</f>
        <v>101,3840</v>
      </c>
      <c r="M13" s="11"/>
    </row>
    <row r="15" spans="1:13" ht="15" x14ac:dyDescent="0.2">
      <c r="A15" s="44" t="s">
        <v>425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3" x14ac:dyDescent="0.2">
      <c r="A16" s="8" t="s">
        <v>1727</v>
      </c>
      <c r="B16" s="8" t="s">
        <v>1728</v>
      </c>
      <c r="C16" s="8" t="s">
        <v>1058</v>
      </c>
      <c r="D16" s="8" t="str">
        <f>"1,1832"</f>
        <v>1,1832</v>
      </c>
      <c r="E16" s="8" t="s">
        <v>17</v>
      </c>
      <c r="F16" s="8" t="s">
        <v>40</v>
      </c>
      <c r="G16" s="9" t="s">
        <v>33</v>
      </c>
      <c r="H16" s="10" t="s">
        <v>20</v>
      </c>
      <c r="I16" s="9" t="s">
        <v>20</v>
      </c>
      <c r="J16" s="10" t="s">
        <v>515</v>
      </c>
      <c r="K16" s="32" t="str">
        <f>"135,0"</f>
        <v>135,0</v>
      </c>
      <c r="L16" s="35" t="str">
        <f>"159,7320"</f>
        <v>159,7320</v>
      </c>
      <c r="M16" s="8" t="s">
        <v>565</v>
      </c>
    </row>
    <row r="17" spans="1:13" x14ac:dyDescent="0.2">
      <c r="A17" s="38" t="s">
        <v>1729</v>
      </c>
      <c r="B17" s="14" t="s">
        <v>1730</v>
      </c>
      <c r="C17" s="14" t="s">
        <v>1731</v>
      </c>
      <c r="D17" s="14" t="str">
        <f>"1,2002"</f>
        <v>1,2002</v>
      </c>
      <c r="E17" s="14" t="s">
        <v>17</v>
      </c>
      <c r="F17" s="14" t="s">
        <v>40</v>
      </c>
      <c r="G17" s="15" t="s">
        <v>28</v>
      </c>
      <c r="H17" s="15" t="s">
        <v>19</v>
      </c>
      <c r="I17" s="15" t="s">
        <v>29</v>
      </c>
      <c r="J17" s="16"/>
      <c r="K17" s="38" t="str">
        <f>"125,0"</f>
        <v>125,0</v>
      </c>
      <c r="L17" s="39" t="str">
        <f>"150,0250"</f>
        <v>150,0250</v>
      </c>
      <c r="M17" s="14"/>
    </row>
    <row r="18" spans="1:13" x14ac:dyDescent="0.2">
      <c r="A18" s="38" t="s">
        <v>1733</v>
      </c>
      <c r="B18" s="14" t="s">
        <v>1734</v>
      </c>
      <c r="C18" s="14" t="s">
        <v>437</v>
      </c>
      <c r="D18" s="14" t="str">
        <f>"1,1883"</f>
        <v>1,1883</v>
      </c>
      <c r="E18" s="14" t="s">
        <v>17</v>
      </c>
      <c r="F18" s="14" t="s">
        <v>40</v>
      </c>
      <c r="G18" s="15" t="s">
        <v>33</v>
      </c>
      <c r="H18" s="15" t="s">
        <v>94</v>
      </c>
      <c r="I18" s="16" t="s">
        <v>515</v>
      </c>
      <c r="J18" s="16"/>
      <c r="K18" s="38" t="str">
        <f>"137,5"</f>
        <v>137,5</v>
      </c>
      <c r="L18" s="39" t="str">
        <f>"163,3913"</f>
        <v>163,3913</v>
      </c>
      <c r="M18" s="14" t="s">
        <v>1553</v>
      </c>
    </row>
    <row r="19" spans="1:13" x14ac:dyDescent="0.2">
      <c r="A19" s="38" t="s">
        <v>1735</v>
      </c>
      <c r="B19" s="14" t="s">
        <v>1736</v>
      </c>
      <c r="C19" s="14" t="s">
        <v>1058</v>
      </c>
      <c r="D19" s="14" t="str">
        <f>"1,1832"</f>
        <v>1,1832</v>
      </c>
      <c r="E19" s="14" t="s">
        <v>17</v>
      </c>
      <c r="F19" s="14" t="s">
        <v>40</v>
      </c>
      <c r="G19" s="15" t="s">
        <v>33</v>
      </c>
      <c r="H19" s="16" t="s">
        <v>20</v>
      </c>
      <c r="I19" s="15" t="s">
        <v>20</v>
      </c>
      <c r="J19" s="16" t="s">
        <v>515</v>
      </c>
      <c r="K19" s="38" t="str">
        <f>"135,0"</f>
        <v>135,0</v>
      </c>
      <c r="L19" s="39" t="str">
        <f>"159,7320"</f>
        <v>159,7320</v>
      </c>
      <c r="M19" s="14" t="s">
        <v>565</v>
      </c>
    </row>
    <row r="20" spans="1:13" x14ac:dyDescent="0.2">
      <c r="A20" s="38" t="s">
        <v>1737</v>
      </c>
      <c r="B20" s="14" t="s">
        <v>1053</v>
      </c>
      <c r="C20" s="14" t="s">
        <v>1054</v>
      </c>
      <c r="D20" s="14" t="str">
        <f>"1,1799"</f>
        <v>1,1799</v>
      </c>
      <c r="E20" s="14" t="s">
        <v>17</v>
      </c>
      <c r="F20" s="14" t="s">
        <v>40</v>
      </c>
      <c r="G20" s="15" t="s">
        <v>29</v>
      </c>
      <c r="H20" s="15" t="s">
        <v>93</v>
      </c>
      <c r="I20" s="16" t="s">
        <v>34</v>
      </c>
      <c r="J20" s="16"/>
      <c r="K20" s="38" t="str">
        <f>"132,5"</f>
        <v>132,5</v>
      </c>
      <c r="L20" s="39" t="str">
        <f>"156,3368"</f>
        <v>156,3368</v>
      </c>
      <c r="M20" s="14" t="s">
        <v>643</v>
      </c>
    </row>
    <row r="21" spans="1:13" x14ac:dyDescent="0.2">
      <c r="A21" s="33" t="s">
        <v>1739</v>
      </c>
      <c r="B21" s="11" t="s">
        <v>1740</v>
      </c>
      <c r="C21" s="11" t="s">
        <v>1741</v>
      </c>
      <c r="D21" s="11" t="str">
        <f>"1,2036"</f>
        <v>1,2036</v>
      </c>
      <c r="E21" s="11" t="s">
        <v>17</v>
      </c>
      <c r="F21" s="11" t="s">
        <v>40</v>
      </c>
      <c r="G21" s="12" t="s">
        <v>19</v>
      </c>
      <c r="H21" s="12" t="s">
        <v>29</v>
      </c>
      <c r="I21" s="12" t="s">
        <v>33</v>
      </c>
      <c r="J21" s="13"/>
      <c r="K21" s="33" t="str">
        <f>"130,0"</f>
        <v>130,0</v>
      </c>
      <c r="L21" s="36" t="str">
        <f>"156,4680"</f>
        <v>156,4680</v>
      </c>
      <c r="M21" s="11" t="s">
        <v>1742</v>
      </c>
    </row>
    <row r="23" spans="1:13" ht="15" x14ac:dyDescent="0.2">
      <c r="A23" s="44" t="s">
        <v>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3" x14ac:dyDescent="0.2">
      <c r="A24" s="32" t="s">
        <v>1744</v>
      </c>
      <c r="B24" s="8" t="s">
        <v>1745</v>
      </c>
      <c r="C24" s="8" t="s">
        <v>1746</v>
      </c>
      <c r="D24" s="8" t="str">
        <f>"1,1163"</f>
        <v>1,1163</v>
      </c>
      <c r="E24" s="8" t="s">
        <v>17</v>
      </c>
      <c r="F24" s="8" t="s">
        <v>40</v>
      </c>
      <c r="G24" s="9" t="s">
        <v>409</v>
      </c>
      <c r="H24" s="9" t="s">
        <v>93</v>
      </c>
      <c r="I24" s="10" t="s">
        <v>20</v>
      </c>
      <c r="J24" s="10"/>
      <c r="K24" s="32" t="str">
        <f>"132,5"</f>
        <v>132,5</v>
      </c>
      <c r="L24" s="35" t="str">
        <f>"147,9097"</f>
        <v>147,9097</v>
      </c>
      <c r="M24" s="8" t="s">
        <v>701</v>
      </c>
    </row>
    <row r="25" spans="1:13" x14ac:dyDescent="0.2">
      <c r="A25" s="38" t="s">
        <v>1747</v>
      </c>
      <c r="B25" s="14" t="s">
        <v>572</v>
      </c>
      <c r="C25" s="14" t="s">
        <v>573</v>
      </c>
      <c r="D25" s="14" t="str">
        <f>"1,1371"</f>
        <v>1,1371</v>
      </c>
      <c r="E25" s="14" t="s">
        <v>17</v>
      </c>
      <c r="F25" s="14" t="s">
        <v>40</v>
      </c>
      <c r="G25" s="16" t="s">
        <v>28</v>
      </c>
      <c r="H25" s="15" t="s">
        <v>66</v>
      </c>
      <c r="I25" s="15" t="s">
        <v>408</v>
      </c>
      <c r="J25" s="16"/>
      <c r="K25" s="38" t="str">
        <f>"122,5"</f>
        <v>122,5</v>
      </c>
      <c r="L25" s="39" t="str">
        <f>"139,2947"</f>
        <v>139,2947</v>
      </c>
      <c r="M25" s="14" t="s">
        <v>575</v>
      </c>
    </row>
    <row r="26" spans="1:13" x14ac:dyDescent="0.2">
      <c r="A26" s="33" t="s">
        <v>1749</v>
      </c>
      <c r="B26" s="11" t="s">
        <v>1750</v>
      </c>
      <c r="C26" s="11" t="s">
        <v>563</v>
      </c>
      <c r="D26" s="11" t="str">
        <f>"1,1149"</f>
        <v>1,1149</v>
      </c>
      <c r="E26" s="11" t="s">
        <v>17</v>
      </c>
      <c r="F26" s="11" t="s">
        <v>339</v>
      </c>
      <c r="G26" s="12" t="s">
        <v>45</v>
      </c>
      <c r="H26" s="13" t="s">
        <v>19</v>
      </c>
      <c r="I26" s="13" t="s">
        <v>33</v>
      </c>
      <c r="J26" s="13"/>
      <c r="K26" s="33" t="str">
        <f>"112,5"</f>
        <v>112,5</v>
      </c>
      <c r="L26" s="36" t="str">
        <f>"125,4262"</f>
        <v>125,4262</v>
      </c>
      <c r="M26" s="11" t="s">
        <v>2202</v>
      </c>
    </row>
    <row r="27" spans="1:13" x14ac:dyDescent="0.2">
      <c r="A27" s="24"/>
    </row>
    <row r="28" spans="1:13" ht="15" x14ac:dyDescent="0.2">
      <c r="A28" s="44" t="s">
        <v>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3" x14ac:dyDescent="0.2">
      <c r="A29" s="32" t="s">
        <v>1752</v>
      </c>
      <c r="B29" s="8" t="s">
        <v>1753</v>
      </c>
      <c r="C29" s="8" t="s">
        <v>1754</v>
      </c>
      <c r="D29" s="8" t="str">
        <f>"1,0871"</f>
        <v>1,0871</v>
      </c>
      <c r="E29" s="8" t="s">
        <v>17</v>
      </c>
      <c r="F29" s="8" t="s">
        <v>152</v>
      </c>
      <c r="G29" s="9" t="s">
        <v>28</v>
      </c>
      <c r="H29" s="9" t="s">
        <v>19</v>
      </c>
      <c r="I29" s="9" t="s">
        <v>29</v>
      </c>
      <c r="J29" s="10"/>
      <c r="K29" s="32" t="str">
        <f>"125,0"</f>
        <v>125,0</v>
      </c>
      <c r="L29" s="35" t="str">
        <f>"135,8875"</f>
        <v>135,8875</v>
      </c>
      <c r="M29" s="8" t="s">
        <v>1755</v>
      </c>
    </row>
    <row r="30" spans="1:13" x14ac:dyDescent="0.2">
      <c r="A30" s="33" t="s">
        <v>1757</v>
      </c>
      <c r="B30" s="11" t="s">
        <v>1758</v>
      </c>
      <c r="C30" s="11" t="s">
        <v>598</v>
      </c>
      <c r="D30" s="11" t="str">
        <f>"1,0397"</f>
        <v>1,0397</v>
      </c>
      <c r="E30" s="11" t="s">
        <v>17</v>
      </c>
      <c r="F30" s="11" t="s">
        <v>339</v>
      </c>
      <c r="G30" s="12" t="s">
        <v>401</v>
      </c>
      <c r="H30" s="12" t="s">
        <v>45</v>
      </c>
      <c r="I30" s="13" t="s">
        <v>19</v>
      </c>
      <c r="J30" s="13"/>
      <c r="K30" s="33" t="str">
        <f>"112,5"</f>
        <v>112,5</v>
      </c>
      <c r="L30" s="36" t="str">
        <f>"116,9663"</f>
        <v>116,9663</v>
      </c>
      <c r="M30" s="11" t="s">
        <v>2203</v>
      </c>
    </row>
    <row r="32" spans="1:13" ht="15" x14ac:dyDescent="0.2">
      <c r="A32" s="44" t="s">
        <v>36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3" x14ac:dyDescent="0.2">
      <c r="A33" s="34" t="s">
        <v>1759</v>
      </c>
      <c r="B33" s="5" t="s">
        <v>1760</v>
      </c>
      <c r="C33" s="5" t="s">
        <v>458</v>
      </c>
      <c r="D33" s="5" t="str">
        <f>"0,9707"</f>
        <v>0,9707</v>
      </c>
      <c r="E33" s="5" t="s">
        <v>17</v>
      </c>
      <c r="F33" s="5" t="s">
        <v>40</v>
      </c>
      <c r="G33" s="6" t="s">
        <v>53</v>
      </c>
      <c r="H33" s="6" t="s">
        <v>107</v>
      </c>
      <c r="I33" s="7" t="s">
        <v>80</v>
      </c>
      <c r="J33" s="7"/>
      <c r="K33" s="34" t="str">
        <f>"152,5"</f>
        <v>152,5</v>
      </c>
      <c r="L33" s="37" t="str">
        <f>"150,9924"</f>
        <v>150,9924</v>
      </c>
      <c r="M33" s="5"/>
    </row>
    <row r="35" spans="1:13" ht="15" x14ac:dyDescent="0.2">
      <c r="A35" s="44" t="s">
        <v>59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3" x14ac:dyDescent="0.2">
      <c r="A36" s="32" t="s">
        <v>1762</v>
      </c>
      <c r="B36" s="8" t="s">
        <v>1763</v>
      </c>
      <c r="C36" s="8" t="s">
        <v>463</v>
      </c>
      <c r="D36" s="8" t="str">
        <f>"0,9082"</f>
        <v>0,9082</v>
      </c>
      <c r="E36" s="8" t="s">
        <v>17</v>
      </c>
      <c r="F36" s="8" t="s">
        <v>40</v>
      </c>
      <c r="G36" s="9" t="s">
        <v>29</v>
      </c>
      <c r="H36" s="9" t="s">
        <v>33</v>
      </c>
      <c r="I36" s="9" t="s">
        <v>93</v>
      </c>
      <c r="J36" s="10"/>
      <c r="K36" s="32" t="str">
        <f>"132,5"</f>
        <v>132,5</v>
      </c>
      <c r="L36" s="35" t="str">
        <f>"120,3365"</f>
        <v>120,3365</v>
      </c>
      <c r="M36" s="8" t="s">
        <v>1764</v>
      </c>
    </row>
    <row r="37" spans="1:13" x14ac:dyDescent="0.2">
      <c r="A37" s="33" t="s">
        <v>1765</v>
      </c>
      <c r="B37" s="11" t="s">
        <v>1766</v>
      </c>
      <c r="C37" s="11" t="s">
        <v>1216</v>
      </c>
      <c r="D37" s="11" t="str">
        <f>"0,9046"</f>
        <v>0,9046</v>
      </c>
      <c r="E37" s="11" t="s">
        <v>17</v>
      </c>
      <c r="F37" s="11" t="s">
        <v>87</v>
      </c>
      <c r="G37" s="12" t="s">
        <v>34</v>
      </c>
      <c r="H37" s="12" t="s">
        <v>53</v>
      </c>
      <c r="I37" s="12" t="s">
        <v>54</v>
      </c>
      <c r="J37" s="13"/>
      <c r="K37" s="33" t="str">
        <f>"150,0"</f>
        <v>150,0</v>
      </c>
      <c r="L37" s="36" t="str">
        <f>"137,0469"</f>
        <v>137,0469</v>
      </c>
      <c r="M37" s="11"/>
    </row>
    <row r="39" spans="1:13" ht="15" x14ac:dyDescent="0.2">
      <c r="A39" s="44" t="s">
        <v>96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">
      <c r="A40" s="34" t="s">
        <v>1768</v>
      </c>
      <c r="B40" s="5" t="s">
        <v>1769</v>
      </c>
      <c r="C40" s="5" t="s">
        <v>1770</v>
      </c>
      <c r="D40" s="5" t="str">
        <f>"0,8669"</f>
        <v>0,8669</v>
      </c>
      <c r="E40" s="5" t="s">
        <v>17</v>
      </c>
      <c r="F40" s="5" t="s">
        <v>40</v>
      </c>
      <c r="G40" s="6" t="s">
        <v>20</v>
      </c>
      <c r="H40" s="6" t="s">
        <v>53</v>
      </c>
      <c r="I40" s="6" t="s">
        <v>54</v>
      </c>
      <c r="J40" s="6" t="s">
        <v>80</v>
      </c>
      <c r="K40" s="34" t="str">
        <f>"150,0"</f>
        <v>150,0</v>
      </c>
      <c r="L40" s="37" t="str">
        <f>"130,0350"</f>
        <v>130,0350</v>
      </c>
      <c r="M40" s="5" t="s">
        <v>1706</v>
      </c>
    </row>
    <row r="42" spans="1:13" ht="15" x14ac:dyDescent="0.2">
      <c r="A42" s="44" t="s">
        <v>23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3" x14ac:dyDescent="0.2">
      <c r="A43" s="32" t="s">
        <v>1771</v>
      </c>
      <c r="B43" s="8" t="s">
        <v>1772</v>
      </c>
      <c r="C43" s="8" t="s">
        <v>1773</v>
      </c>
      <c r="D43" s="8" t="str">
        <f>"0,7775"</f>
        <v>0,7775</v>
      </c>
      <c r="E43" s="8" t="s">
        <v>17</v>
      </c>
      <c r="F43" s="8" t="s">
        <v>486</v>
      </c>
      <c r="G43" s="9" t="s">
        <v>67</v>
      </c>
      <c r="H43" s="10" t="s">
        <v>63</v>
      </c>
      <c r="I43" s="10" t="s">
        <v>46</v>
      </c>
      <c r="J43" s="10"/>
      <c r="K43" s="32" t="str">
        <f>"180,0"</f>
        <v>180,0</v>
      </c>
      <c r="L43" s="35" t="str">
        <f>"139,9500"</f>
        <v>139,9500</v>
      </c>
      <c r="M43" s="8" t="s">
        <v>620</v>
      </c>
    </row>
    <row r="44" spans="1:13" x14ac:dyDescent="0.2">
      <c r="A44" s="38" t="s">
        <v>1774</v>
      </c>
      <c r="B44" s="14" t="s">
        <v>1775</v>
      </c>
      <c r="C44" s="14" t="s">
        <v>1776</v>
      </c>
      <c r="D44" s="14" t="str">
        <f>"0,7813"</f>
        <v>0,7813</v>
      </c>
      <c r="E44" s="14" t="s">
        <v>17</v>
      </c>
      <c r="F44" s="14" t="s">
        <v>87</v>
      </c>
      <c r="G44" s="15" t="s">
        <v>65</v>
      </c>
      <c r="H44" s="15" t="s">
        <v>453</v>
      </c>
      <c r="I44" s="16" t="s">
        <v>73</v>
      </c>
      <c r="J44" s="16"/>
      <c r="K44" s="38" t="str">
        <f>"217,5"</f>
        <v>217,5</v>
      </c>
      <c r="L44" s="39" t="str">
        <f>"169,9328"</f>
        <v>169,9328</v>
      </c>
      <c r="M44" s="14" t="s">
        <v>1777</v>
      </c>
    </row>
    <row r="45" spans="1:13" x14ac:dyDescent="0.2">
      <c r="A45" s="38" t="s">
        <v>1779</v>
      </c>
      <c r="B45" s="14" t="s">
        <v>1780</v>
      </c>
      <c r="C45" s="14" t="s">
        <v>1781</v>
      </c>
      <c r="D45" s="14" t="str">
        <f>"0,8046"</f>
        <v>0,8046</v>
      </c>
      <c r="E45" s="14" t="s">
        <v>17</v>
      </c>
      <c r="F45" s="14" t="s">
        <v>40</v>
      </c>
      <c r="G45" s="15" t="s">
        <v>41</v>
      </c>
      <c r="H45" s="15" t="s">
        <v>46</v>
      </c>
      <c r="I45" s="15" t="s">
        <v>914</v>
      </c>
      <c r="J45" s="16"/>
      <c r="K45" s="38" t="str">
        <f>"202,5"</f>
        <v>202,5</v>
      </c>
      <c r="L45" s="39" t="str">
        <f>"162,9315"</f>
        <v>162,9315</v>
      </c>
      <c r="M45" s="14" t="s">
        <v>418</v>
      </c>
    </row>
    <row r="46" spans="1:13" x14ac:dyDescent="0.2">
      <c r="A46" s="33" t="s">
        <v>1783</v>
      </c>
      <c r="B46" s="11" t="s">
        <v>1784</v>
      </c>
      <c r="C46" s="11" t="s">
        <v>1785</v>
      </c>
      <c r="D46" s="11" t="str">
        <f>"0,8189"</f>
        <v>0,8189</v>
      </c>
      <c r="E46" s="11" t="s">
        <v>17</v>
      </c>
      <c r="F46" s="11" t="s">
        <v>474</v>
      </c>
      <c r="G46" s="12" t="s">
        <v>33</v>
      </c>
      <c r="H46" s="12" t="s">
        <v>54</v>
      </c>
      <c r="I46" s="13" t="s">
        <v>302</v>
      </c>
      <c r="J46" s="13"/>
      <c r="K46" s="33" t="str">
        <f>"150,0"</f>
        <v>150,0</v>
      </c>
      <c r="L46" s="36" t="str">
        <f>"122,8350"</f>
        <v>122,8350</v>
      </c>
      <c r="M46" s="11" t="s">
        <v>1786</v>
      </c>
    </row>
    <row r="47" spans="1:13" x14ac:dyDescent="0.2">
      <c r="E47" s="24"/>
    </row>
    <row r="48" spans="1:13" ht="15" x14ac:dyDescent="0.2">
      <c r="A48" s="44" t="s">
        <v>36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3" x14ac:dyDescent="0.2">
      <c r="A49" s="32" t="s">
        <v>1787</v>
      </c>
      <c r="B49" s="8" t="s">
        <v>1788</v>
      </c>
      <c r="C49" s="8" t="s">
        <v>1182</v>
      </c>
      <c r="D49" s="8" t="str">
        <f>"0,7300"</f>
        <v>0,7300</v>
      </c>
      <c r="E49" s="8" t="s">
        <v>17</v>
      </c>
      <c r="F49" s="8" t="s">
        <v>40</v>
      </c>
      <c r="G49" s="9" t="s">
        <v>58</v>
      </c>
      <c r="H49" s="10" t="s">
        <v>63</v>
      </c>
      <c r="I49" s="10" t="s">
        <v>63</v>
      </c>
      <c r="J49" s="10"/>
      <c r="K49" s="32" t="str">
        <f>"175,0"</f>
        <v>175,0</v>
      </c>
      <c r="L49" s="35" t="str">
        <f>"127,7500"</f>
        <v>127,7500</v>
      </c>
      <c r="M49" s="8" t="s">
        <v>1789</v>
      </c>
    </row>
    <row r="50" spans="1:13" x14ac:dyDescent="0.2">
      <c r="A50" s="38" t="s">
        <v>1790</v>
      </c>
      <c r="B50" s="14" t="s">
        <v>1157</v>
      </c>
      <c r="C50" s="14" t="s">
        <v>1158</v>
      </c>
      <c r="D50" s="14" t="str">
        <f>"0,7337"</f>
        <v>0,7337</v>
      </c>
      <c r="E50" s="14" t="s">
        <v>17</v>
      </c>
      <c r="F50" s="14" t="s">
        <v>40</v>
      </c>
      <c r="G50" s="15" t="s">
        <v>29</v>
      </c>
      <c r="H50" s="15" t="s">
        <v>20</v>
      </c>
      <c r="I50" s="16" t="s">
        <v>34</v>
      </c>
      <c r="J50" s="16"/>
      <c r="K50" s="38" t="str">
        <f>"135,0"</f>
        <v>135,0</v>
      </c>
      <c r="L50" s="39" t="str">
        <f>"99,0495"</f>
        <v>99,0495</v>
      </c>
      <c r="M50" s="14" t="s">
        <v>1160</v>
      </c>
    </row>
    <row r="51" spans="1:13" x14ac:dyDescent="0.2">
      <c r="A51" s="38" t="s">
        <v>1791</v>
      </c>
      <c r="B51" s="14" t="s">
        <v>1792</v>
      </c>
      <c r="C51" s="14" t="s">
        <v>1793</v>
      </c>
      <c r="D51" s="14" t="str">
        <f>"0,7453"</f>
        <v>0,7453</v>
      </c>
      <c r="E51" s="14" t="s">
        <v>17</v>
      </c>
      <c r="F51" s="14" t="s">
        <v>324</v>
      </c>
      <c r="G51" s="15" t="s">
        <v>81</v>
      </c>
      <c r="H51" s="16" t="s">
        <v>28</v>
      </c>
      <c r="I51" s="15" t="s">
        <v>28</v>
      </c>
      <c r="J51" s="16"/>
      <c r="K51" s="38" t="str">
        <f>"110,0"</f>
        <v>110,0</v>
      </c>
      <c r="L51" s="39" t="str">
        <f>"81,9830"</f>
        <v>81,9830</v>
      </c>
      <c r="M51" s="14" t="s">
        <v>1794</v>
      </c>
    </row>
    <row r="52" spans="1:13" x14ac:dyDescent="0.2">
      <c r="A52" s="38" t="s">
        <v>622</v>
      </c>
      <c r="B52" s="14" t="s">
        <v>623</v>
      </c>
      <c r="C52" s="14" t="s">
        <v>624</v>
      </c>
      <c r="D52" s="14" t="str">
        <f>"0,7159"</f>
        <v>0,7159</v>
      </c>
      <c r="E52" s="14" t="s">
        <v>17</v>
      </c>
      <c r="F52" s="14" t="s">
        <v>40</v>
      </c>
      <c r="G52" s="15" t="s">
        <v>74</v>
      </c>
      <c r="H52" s="15" t="s">
        <v>626</v>
      </c>
      <c r="I52" s="15" t="s">
        <v>126</v>
      </c>
      <c r="J52" s="16"/>
      <c r="K52" s="38" t="str">
        <f>"250,0"</f>
        <v>250,0</v>
      </c>
      <c r="L52" s="39" t="str">
        <f>"178,9750"</f>
        <v>178,9750</v>
      </c>
      <c r="M52" s="14"/>
    </row>
    <row r="53" spans="1:13" x14ac:dyDescent="0.2">
      <c r="A53" s="38" t="s">
        <v>1796</v>
      </c>
      <c r="B53" s="14" t="s">
        <v>1797</v>
      </c>
      <c r="C53" s="14" t="s">
        <v>642</v>
      </c>
      <c r="D53" s="14" t="str">
        <f>"0,7166"</f>
        <v>0,7166</v>
      </c>
      <c r="E53" s="14" t="s">
        <v>17</v>
      </c>
      <c r="F53" s="14" t="s">
        <v>133</v>
      </c>
      <c r="G53" s="15" t="s">
        <v>46</v>
      </c>
      <c r="H53" s="15" t="s">
        <v>47</v>
      </c>
      <c r="I53" s="15" t="s">
        <v>470</v>
      </c>
      <c r="J53" s="16"/>
      <c r="K53" s="38" t="str">
        <f>"207,5"</f>
        <v>207,5</v>
      </c>
      <c r="L53" s="39" t="str">
        <f>"148,6945"</f>
        <v>148,6945</v>
      </c>
      <c r="M53" s="14"/>
    </row>
    <row r="54" spans="1:13" x14ac:dyDescent="0.2">
      <c r="A54" s="38" t="s">
        <v>1799</v>
      </c>
      <c r="B54" s="14" t="s">
        <v>1800</v>
      </c>
      <c r="C54" s="14" t="s">
        <v>449</v>
      </c>
      <c r="D54" s="14" t="str">
        <f>"0,7173"</f>
        <v>0,7173</v>
      </c>
      <c r="E54" s="14" t="s">
        <v>17</v>
      </c>
      <c r="F54" s="14" t="s">
        <v>40</v>
      </c>
      <c r="G54" s="15" t="s">
        <v>82</v>
      </c>
      <c r="H54" s="16" t="s">
        <v>58</v>
      </c>
      <c r="I54" s="15" t="s">
        <v>41</v>
      </c>
      <c r="J54" s="16" t="s">
        <v>42</v>
      </c>
      <c r="K54" s="38" t="str">
        <f>"185,0"</f>
        <v>185,0</v>
      </c>
      <c r="L54" s="39" t="str">
        <f>"200,5105"</f>
        <v>200,5105</v>
      </c>
      <c r="M54" s="14" t="s">
        <v>1801</v>
      </c>
    </row>
    <row r="55" spans="1:13" x14ac:dyDescent="0.2">
      <c r="A55" s="33" t="s">
        <v>1210</v>
      </c>
      <c r="B55" s="11" t="s">
        <v>1211</v>
      </c>
      <c r="C55" s="11" t="s">
        <v>79</v>
      </c>
      <c r="D55" s="11" t="str">
        <f>"0,7264"</f>
        <v>0,7264</v>
      </c>
      <c r="E55" s="11" t="s">
        <v>17</v>
      </c>
      <c r="F55" s="11" t="s">
        <v>459</v>
      </c>
      <c r="G55" s="12" t="s">
        <v>20</v>
      </c>
      <c r="H55" s="12" t="s">
        <v>34</v>
      </c>
      <c r="I55" s="12" t="s">
        <v>53</v>
      </c>
      <c r="J55" s="13"/>
      <c r="K55" s="33" t="str">
        <f>"145,0"</f>
        <v>145,0</v>
      </c>
      <c r="L55" s="36" t="str">
        <f>"184,9560"</f>
        <v>184,9560</v>
      </c>
      <c r="M55" s="11" t="s">
        <v>1212</v>
      </c>
    </row>
    <row r="57" spans="1:13" ht="15" x14ac:dyDescent="0.2">
      <c r="A57" s="44" t="s">
        <v>59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</row>
    <row r="58" spans="1:13" x14ac:dyDescent="0.2">
      <c r="A58" s="32" t="s">
        <v>1802</v>
      </c>
      <c r="B58" s="8" t="s">
        <v>1803</v>
      </c>
      <c r="C58" s="8" t="s">
        <v>92</v>
      </c>
      <c r="D58" s="8" t="str">
        <f>"0,6764"</f>
        <v>0,6764</v>
      </c>
      <c r="E58" s="8" t="s">
        <v>17</v>
      </c>
      <c r="F58" s="8" t="s">
        <v>152</v>
      </c>
      <c r="G58" s="9" t="s">
        <v>186</v>
      </c>
      <c r="H58" s="9" t="s">
        <v>64</v>
      </c>
      <c r="I58" s="10" t="s">
        <v>73</v>
      </c>
      <c r="J58" s="10"/>
      <c r="K58" s="32" t="str">
        <f>"200,0"</f>
        <v>200,0</v>
      </c>
      <c r="L58" s="35" t="str">
        <f>"135,2800"</f>
        <v>135,2800</v>
      </c>
      <c r="M58" s="8" t="s">
        <v>1755</v>
      </c>
    </row>
    <row r="59" spans="1:13" x14ac:dyDescent="0.2">
      <c r="A59" s="38" t="s">
        <v>1805</v>
      </c>
      <c r="B59" s="14" t="s">
        <v>1806</v>
      </c>
      <c r="C59" s="14" t="s">
        <v>1807</v>
      </c>
      <c r="D59" s="14" t="str">
        <f>"0,7042"</f>
        <v>0,7042</v>
      </c>
      <c r="E59" s="14" t="s">
        <v>17</v>
      </c>
      <c r="F59" s="14" t="s">
        <v>486</v>
      </c>
      <c r="G59" s="16" t="s">
        <v>153</v>
      </c>
      <c r="H59" s="15" t="s">
        <v>153</v>
      </c>
      <c r="I59" s="15" t="s">
        <v>120</v>
      </c>
      <c r="J59" s="16"/>
      <c r="K59" s="38" t="str">
        <f>"285,0"</f>
        <v>285,0</v>
      </c>
      <c r="L59" s="39" t="str">
        <f>"200,6970"</f>
        <v>200,6970</v>
      </c>
      <c r="M59" s="14"/>
    </row>
    <row r="60" spans="1:13" x14ac:dyDescent="0.2">
      <c r="A60" s="38" t="s">
        <v>1809</v>
      </c>
      <c r="B60" s="14" t="s">
        <v>1810</v>
      </c>
      <c r="C60" s="14" t="s">
        <v>1811</v>
      </c>
      <c r="D60" s="14" t="str">
        <f>"0,6795"</f>
        <v>0,6795</v>
      </c>
      <c r="E60" s="14" t="s">
        <v>2201</v>
      </c>
      <c r="F60" s="14" t="s">
        <v>1812</v>
      </c>
      <c r="G60" s="15" t="s">
        <v>181</v>
      </c>
      <c r="H60" s="16" t="s">
        <v>105</v>
      </c>
      <c r="I60" s="16"/>
      <c r="J60" s="16"/>
      <c r="K60" s="38" t="str">
        <f>"265,0"</f>
        <v>265,0</v>
      </c>
      <c r="L60" s="39" t="str">
        <f>"180,0675"</f>
        <v>180,0675</v>
      </c>
      <c r="M60" s="14" t="s">
        <v>1813</v>
      </c>
    </row>
    <row r="61" spans="1:13" x14ac:dyDescent="0.2">
      <c r="A61" s="38" t="s">
        <v>1815</v>
      </c>
      <c r="B61" s="14" t="s">
        <v>1816</v>
      </c>
      <c r="C61" s="14" t="s">
        <v>750</v>
      </c>
      <c r="D61" s="14" t="str">
        <f>"0,6754"</f>
        <v>0,6754</v>
      </c>
      <c r="E61" s="14" t="s">
        <v>17</v>
      </c>
      <c r="F61" s="14" t="s">
        <v>1817</v>
      </c>
      <c r="G61" s="15" t="s">
        <v>108</v>
      </c>
      <c r="H61" s="15" t="s">
        <v>508</v>
      </c>
      <c r="I61" s="15" t="s">
        <v>127</v>
      </c>
      <c r="J61" s="16"/>
      <c r="K61" s="38" t="str">
        <f>"257,5"</f>
        <v>257,5</v>
      </c>
      <c r="L61" s="39" t="str">
        <f>"173,9155"</f>
        <v>173,9155</v>
      </c>
      <c r="M61" s="14" t="s">
        <v>1818</v>
      </c>
    </row>
    <row r="62" spans="1:13" x14ac:dyDescent="0.2">
      <c r="A62" s="38" t="s">
        <v>1820</v>
      </c>
      <c r="B62" s="14" t="s">
        <v>1821</v>
      </c>
      <c r="C62" s="14" t="s">
        <v>750</v>
      </c>
      <c r="D62" s="14" t="str">
        <f>"0,6754"</f>
        <v>0,6754</v>
      </c>
      <c r="E62" s="14" t="s">
        <v>17</v>
      </c>
      <c r="F62" s="14" t="s">
        <v>40</v>
      </c>
      <c r="G62" s="15" t="s">
        <v>65</v>
      </c>
      <c r="H62" s="15" t="s">
        <v>73</v>
      </c>
      <c r="I62" s="15" t="s">
        <v>134</v>
      </c>
      <c r="J62" s="16"/>
      <c r="K62" s="38" t="str">
        <f>"230,0"</f>
        <v>230,0</v>
      </c>
      <c r="L62" s="39" t="str">
        <f>"155,3420"</f>
        <v>155,3420</v>
      </c>
      <c r="M62" s="14" t="s">
        <v>1122</v>
      </c>
    </row>
    <row r="63" spans="1:13" x14ac:dyDescent="0.2">
      <c r="A63" s="38" t="s">
        <v>1822</v>
      </c>
      <c r="B63" s="14" t="s">
        <v>664</v>
      </c>
      <c r="C63" s="14" t="s">
        <v>1823</v>
      </c>
      <c r="D63" s="14" t="str">
        <f>"0,6699"</f>
        <v>0,6699</v>
      </c>
      <c r="E63" s="14" t="s">
        <v>17</v>
      </c>
      <c r="F63" s="14" t="s">
        <v>40</v>
      </c>
      <c r="G63" s="15" t="s">
        <v>65</v>
      </c>
      <c r="H63" s="15" t="s">
        <v>73</v>
      </c>
      <c r="I63" s="16" t="s">
        <v>74</v>
      </c>
      <c r="J63" s="16"/>
      <c r="K63" s="38" t="str">
        <f>"220,0"</f>
        <v>220,0</v>
      </c>
      <c r="L63" s="39" t="str">
        <f>"147,3780"</f>
        <v>147,3780</v>
      </c>
      <c r="M63" s="14" t="s">
        <v>565</v>
      </c>
    </row>
    <row r="64" spans="1:13" x14ac:dyDescent="0.2">
      <c r="A64" s="38" t="s">
        <v>1825</v>
      </c>
      <c r="B64" s="14" t="s">
        <v>1826</v>
      </c>
      <c r="C64" s="14" t="s">
        <v>1827</v>
      </c>
      <c r="D64" s="14" t="str">
        <f>"0,6709"</f>
        <v>0,6709</v>
      </c>
      <c r="E64" s="14" t="s">
        <v>17</v>
      </c>
      <c r="F64" s="14" t="s">
        <v>40</v>
      </c>
      <c r="G64" s="15" t="s">
        <v>42</v>
      </c>
      <c r="H64" s="15" t="s">
        <v>64</v>
      </c>
      <c r="I64" s="16" t="s">
        <v>65</v>
      </c>
      <c r="J64" s="16"/>
      <c r="K64" s="38" t="str">
        <f>"200,0"</f>
        <v>200,0</v>
      </c>
      <c r="L64" s="39" t="str">
        <f>"151,6234"</f>
        <v>151,6234</v>
      </c>
      <c r="M64" s="14" t="s">
        <v>1828</v>
      </c>
    </row>
    <row r="65" spans="1:13" x14ac:dyDescent="0.2">
      <c r="A65" s="33" t="s">
        <v>1830</v>
      </c>
      <c r="B65" s="11" t="s">
        <v>1831</v>
      </c>
      <c r="C65" s="11" t="s">
        <v>1832</v>
      </c>
      <c r="D65" s="11" t="str">
        <f>"0,7080"</f>
        <v>0,7080</v>
      </c>
      <c r="E65" s="11" t="s">
        <v>17</v>
      </c>
      <c r="F65" s="11" t="s">
        <v>40</v>
      </c>
      <c r="G65" s="12" t="s">
        <v>64</v>
      </c>
      <c r="H65" s="12" t="s">
        <v>65</v>
      </c>
      <c r="I65" s="13" t="s">
        <v>48</v>
      </c>
      <c r="J65" s="13"/>
      <c r="K65" s="33" t="str">
        <f>"210,0"</f>
        <v>210,0</v>
      </c>
      <c r="L65" s="36" t="str">
        <f>"191,9459"</f>
        <v>191,9459</v>
      </c>
      <c r="M65" s="11"/>
    </row>
    <row r="67" spans="1:13" ht="15" x14ac:dyDescent="0.2">
      <c r="A67" s="44" t="s">
        <v>96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</row>
    <row r="68" spans="1:13" x14ac:dyDescent="0.2">
      <c r="A68" s="32" t="s">
        <v>1834</v>
      </c>
      <c r="B68" s="8" t="s">
        <v>1835</v>
      </c>
      <c r="C68" s="8" t="s">
        <v>478</v>
      </c>
      <c r="D68" s="8" t="str">
        <f>"0,6421"</f>
        <v>0,6421</v>
      </c>
      <c r="E68" s="8" t="s">
        <v>17</v>
      </c>
      <c r="F68" s="8" t="s">
        <v>1179</v>
      </c>
      <c r="G68" s="9" t="s">
        <v>73</v>
      </c>
      <c r="H68" s="9" t="s">
        <v>303</v>
      </c>
      <c r="I68" s="10" t="s">
        <v>118</v>
      </c>
      <c r="J68" s="10"/>
      <c r="K68" s="32" t="str">
        <f>"242,5"</f>
        <v>242,5</v>
      </c>
      <c r="L68" s="35" t="str">
        <f>"155,7092"</f>
        <v>155,7092</v>
      </c>
      <c r="M68" s="8" t="s">
        <v>158</v>
      </c>
    </row>
    <row r="69" spans="1:13" x14ac:dyDescent="0.2">
      <c r="A69" s="33" t="s">
        <v>1292</v>
      </c>
      <c r="B69" s="11" t="s">
        <v>1293</v>
      </c>
      <c r="C69" s="11" t="s">
        <v>114</v>
      </c>
      <c r="D69" s="11" t="str">
        <f>"0,6432"</f>
        <v>0,6432</v>
      </c>
      <c r="E69" s="11" t="s">
        <v>17</v>
      </c>
      <c r="F69" s="11" t="s">
        <v>1294</v>
      </c>
      <c r="G69" s="12" t="s">
        <v>63</v>
      </c>
      <c r="H69" s="12" t="s">
        <v>64</v>
      </c>
      <c r="I69" s="13" t="s">
        <v>65</v>
      </c>
      <c r="J69" s="13"/>
      <c r="K69" s="33" t="str">
        <f>"200,0"</f>
        <v>200,0</v>
      </c>
      <c r="L69" s="36" t="str">
        <f>"172,3776"</f>
        <v>172,3776</v>
      </c>
      <c r="M69" s="11" t="s">
        <v>1295</v>
      </c>
    </row>
    <row r="71" spans="1:13" ht="15" x14ac:dyDescent="0.2">
      <c r="A71" s="44" t="s">
        <v>139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</row>
    <row r="72" spans="1:13" x14ac:dyDescent="0.2">
      <c r="A72" s="32" t="s">
        <v>1836</v>
      </c>
      <c r="B72" s="8" t="s">
        <v>1837</v>
      </c>
      <c r="C72" s="8" t="s">
        <v>841</v>
      </c>
      <c r="D72" s="8" t="str">
        <f>"0,6147"</f>
        <v>0,6147</v>
      </c>
      <c r="E72" s="8" t="s">
        <v>17</v>
      </c>
      <c r="F72" s="8" t="s">
        <v>474</v>
      </c>
      <c r="G72" s="9" t="s">
        <v>63</v>
      </c>
      <c r="H72" s="10" t="s">
        <v>47</v>
      </c>
      <c r="I72" s="10" t="s">
        <v>65</v>
      </c>
      <c r="J72" s="10"/>
      <c r="K72" s="32" t="str">
        <f>"190,0"</f>
        <v>190,0</v>
      </c>
      <c r="L72" s="35" t="str">
        <f>"116,7930"</f>
        <v>116,7930</v>
      </c>
      <c r="M72" s="8" t="s">
        <v>1786</v>
      </c>
    </row>
    <row r="73" spans="1:13" x14ac:dyDescent="0.2">
      <c r="A73" s="38" t="s">
        <v>1839</v>
      </c>
      <c r="B73" s="14" t="s">
        <v>1840</v>
      </c>
      <c r="C73" s="14" t="s">
        <v>1841</v>
      </c>
      <c r="D73" s="14" t="str">
        <f>"0,6288"</f>
        <v>0,6288</v>
      </c>
      <c r="E73" s="14" t="s">
        <v>17</v>
      </c>
      <c r="F73" s="14" t="s">
        <v>339</v>
      </c>
      <c r="G73" s="15" t="s">
        <v>126</v>
      </c>
      <c r="H73" s="15" t="s">
        <v>109</v>
      </c>
      <c r="I73" s="16" t="s">
        <v>127</v>
      </c>
      <c r="J73" s="16"/>
      <c r="K73" s="38" t="str">
        <f>"255,0"</f>
        <v>255,0</v>
      </c>
      <c r="L73" s="39" t="str">
        <f>"160,3440"</f>
        <v>160,3440</v>
      </c>
      <c r="M73" s="14"/>
    </row>
    <row r="74" spans="1:13" x14ac:dyDescent="0.2">
      <c r="A74" s="38" t="s">
        <v>1843</v>
      </c>
      <c r="B74" s="14" t="s">
        <v>1844</v>
      </c>
      <c r="C74" s="14" t="s">
        <v>1324</v>
      </c>
      <c r="D74" s="14" t="str">
        <f>"0,6103"</f>
        <v>0,6103</v>
      </c>
      <c r="E74" s="14" t="s">
        <v>17</v>
      </c>
      <c r="F74" s="14" t="s">
        <v>339</v>
      </c>
      <c r="G74" s="15" t="s">
        <v>318</v>
      </c>
      <c r="H74" s="16" t="s">
        <v>127</v>
      </c>
      <c r="I74" s="16"/>
      <c r="J74" s="16"/>
      <c r="K74" s="38" t="str">
        <f>"245,0"</f>
        <v>245,0</v>
      </c>
      <c r="L74" s="39" t="str">
        <f>"149,5235"</f>
        <v>149,5235</v>
      </c>
      <c r="M74" s="14"/>
    </row>
    <row r="75" spans="1:13" x14ac:dyDescent="0.2">
      <c r="A75" s="38" t="s">
        <v>1846</v>
      </c>
      <c r="B75" s="14" t="s">
        <v>1847</v>
      </c>
      <c r="C75" s="14" t="s">
        <v>1848</v>
      </c>
      <c r="D75" s="14" t="str">
        <f>"0,6155"</f>
        <v>0,6155</v>
      </c>
      <c r="E75" s="14" t="s">
        <v>17</v>
      </c>
      <c r="F75" s="14" t="s">
        <v>40</v>
      </c>
      <c r="G75" s="15" t="s">
        <v>64</v>
      </c>
      <c r="H75" s="15" t="s">
        <v>73</v>
      </c>
      <c r="I75" s="15" t="s">
        <v>134</v>
      </c>
      <c r="J75" s="16"/>
      <c r="K75" s="38" t="str">
        <f>"230,0"</f>
        <v>230,0</v>
      </c>
      <c r="L75" s="39" t="str">
        <f>"141,5650"</f>
        <v>141,5650</v>
      </c>
      <c r="M75" s="14" t="s">
        <v>1849</v>
      </c>
    </row>
    <row r="76" spans="1:13" x14ac:dyDescent="0.2">
      <c r="A76" s="38" t="s">
        <v>1851</v>
      </c>
      <c r="B76" s="14" t="s">
        <v>1852</v>
      </c>
      <c r="C76" s="14" t="s">
        <v>317</v>
      </c>
      <c r="D76" s="14" t="str">
        <f>"0,6086"</f>
        <v>0,6086</v>
      </c>
      <c r="E76" s="14" t="s">
        <v>17</v>
      </c>
      <c r="F76" s="14" t="s">
        <v>40</v>
      </c>
      <c r="G76" s="15" t="s">
        <v>134</v>
      </c>
      <c r="H76" s="16" t="s">
        <v>116</v>
      </c>
      <c r="I76" s="16" t="s">
        <v>116</v>
      </c>
      <c r="J76" s="16"/>
      <c r="K76" s="38" t="str">
        <f>"230,0"</f>
        <v>230,0</v>
      </c>
      <c r="L76" s="39" t="str">
        <f>"139,9780"</f>
        <v>139,9780</v>
      </c>
      <c r="M76" s="14"/>
    </row>
    <row r="77" spans="1:13" x14ac:dyDescent="0.2">
      <c r="A77" s="38" t="s">
        <v>1854</v>
      </c>
      <c r="B77" s="14" t="s">
        <v>1855</v>
      </c>
      <c r="C77" s="14" t="s">
        <v>142</v>
      </c>
      <c r="D77" s="14" t="str">
        <f>"0,6121"</f>
        <v>0,6121</v>
      </c>
      <c r="E77" s="14" t="s">
        <v>17</v>
      </c>
      <c r="F77" s="14" t="s">
        <v>40</v>
      </c>
      <c r="G77" s="15" t="s">
        <v>63</v>
      </c>
      <c r="H77" s="16" t="s">
        <v>64</v>
      </c>
      <c r="I77" s="16" t="s">
        <v>470</v>
      </c>
      <c r="J77" s="16"/>
      <c r="K77" s="38" t="str">
        <f>"190,0"</f>
        <v>190,0</v>
      </c>
      <c r="L77" s="39" t="str">
        <f>"116,2990"</f>
        <v>116,2990</v>
      </c>
      <c r="M77" s="14" t="s">
        <v>1856</v>
      </c>
    </row>
    <row r="78" spans="1:13" x14ac:dyDescent="0.2">
      <c r="A78" s="38" t="s">
        <v>1857</v>
      </c>
      <c r="B78" s="14" t="s">
        <v>1858</v>
      </c>
      <c r="C78" s="14" t="s">
        <v>1848</v>
      </c>
      <c r="D78" s="14" t="str">
        <f>"0,6155"</f>
        <v>0,6155</v>
      </c>
      <c r="E78" s="14" t="s">
        <v>17</v>
      </c>
      <c r="F78" s="14" t="s">
        <v>40</v>
      </c>
      <c r="G78" s="15" t="s">
        <v>64</v>
      </c>
      <c r="H78" s="15" t="s">
        <v>73</v>
      </c>
      <c r="I78" s="15" t="s">
        <v>134</v>
      </c>
      <c r="J78" s="16"/>
      <c r="K78" s="38" t="str">
        <f>"230,0"</f>
        <v>230,0</v>
      </c>
      <c r="L78" s="39" t="str">
        <f>"142,9806"</f>
        <v>142,9806</v>
      </c>
      <c r="M78" s="14" t="s">
        <v>1849</v>
      </c>
    </row>
    <row r="79" spans="1:13" x14ac:dyDescent="0.2">
      <c r="A79" s="38" t="s">
        <v>1859</v>
      </c>
      <c r="B79" s="14" t="s">
        <v>1860</v>
      </c>
      <c r="C79" s="14" t="s">
        <v>317</v>
      </c>
      <c r="D79" s="14" t="str">
        <f>"0,6086"</f>
        <v>0,6086</v>
      </c>
      <c r="E79" s="14" t="s">
        <v>17</v>
      </c>
      <c r="F79" s="14" t="s">
        <v>40</v>
      </c>
      <c r="G79" s="15" t="s">
        <v>134</v>
      </c>
      <c r="H79" s="16" t="s">
        <v>116</v>
      </c>
      <c r="I79" s="16" t="s">
        <v>116</v>
      </c>
      <c r="J79" s="16"/>
      <c r="K79" s="38" t="str">
        <f>"230,0"</f>
        <v>230,0</v>
      </c>
      <c r="L79" s="39" t="str">
        <f>"155,7955"</f>
        <v>155,7955</v>
      </c>
      <c r="M79" s="14"/>
    </row>
    <row r="80" spans="1:13" x14ac:dyDescent="0.2">
      <c r="A80" s="38" t="s">
        <v>1862</v>
      </c>
      <c r="B80" s="14" t="s">
        <v>1863</v>
      </c>
      <c r="C80" s="14" t="s">
        <v>1359</v>
      </c>
      <c r="D80" s="14" t="str">
        <f>"0,6123"</f>
        <v>0,6123</v>
      </c>
      <c r="E80" s="14" t="s">
        <v>2200</v>
      </c>
      <c r="F80" s="14" t="s">
        <v>1648</v>
      </c>
      <c r="G80" s="15" t="s">
        <v>63</v>
      </c>
      <c r="H80" s="15" t="s">
        <v>47</v>
      </c>
      <c r="I80" s="16" t="s">
        <v>453</v>
      </c>
      <c r="J80" s="16"/>
      <c r="K80" s="38" t="str">
        <f>"205,0"</f>
        <v>205,0</v>
      </c>
      <c r="L80" s="39" t="str">
        <f>"135,8143"</f>
        <v>135,8143</v>
      </c>
      <c r="M80" s="14" t="s">
        <v>741</v>
      </c>
    </row>
    <row r="81" spans="1:13" x14ac:dyDescent="0.2">
      <c r="A81" s="33" t="s">
        <v>1864</v>
      </c>
      <c r="B81" s="11" t="s">
        <v>1365</v>
      </c>
      <c r="C81" s="11" t="s">
        <v>1865</v>
      </c>
      <c r="D81" s="11" t="str">
        <f>"0,6244"</f>
        <v>0,6244</v>
      </c>
      <c r="E81" s="11" t="s">
        <v>17</v>
      </c>
      <c r="F81" s="11" t="s">
        <v>1367</v>
      </c>
      <c r="G81" s="12" t="s">
        <v>64</v>
      </c>
      <c r="H81" s="12" t="s">
        <v>65</v>
      </c>
      <c r="I81" s="12" t="s">
        <v>48</v>
      </c>
      <c r="J81" s="13"/>
      <c r="K81" s="33" t="str">
        <f>"215,0"</f>
        <v>215,0</v>
      </c>
      <c r="L81" s="36" t="str">
        <f>"161,6322"</f>
        <v>161,6322</v>
      </c>
      <c r="M81" s="11"/>
    </row>
    <row r="83" spans="1:13" ht="15" x14ac:dyDescent="0.2">
      <c r="A83" s="44" t="s">
        <v>175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3" x14ac:dyDescent="0.2">
      <c r="A84" s="32" t="s">
        <v>1867</v>
      </c>
      <c r="B84" s="8" t="s">
        <v>1868</v>
      </c>
      <c r="C84" s="8" t="s">
        <v>1869</v>
      </c>
      <c r="D84" s="8" t="str">
        <f>"0,6044"</f>
        <v>0,6044</v>
      </c>
      <c r="E84" s="8" t="s">
        <v>2200</v>
      </c>
      <c r="F84" s="8" t="s">
        <v>1870</v>
      </c>
      <c r="G84" s="9" t="s">
        <v>126</v>
      </c>
      <c r="H84" s="9" t="s">
        <v>118</v>
      </c>
      <c r="I84" s="10" t="s">
        <v>181</v>
      </c>
      <c r="J84" s="10"/>
      <c r="K84" s="32" t="str">
        <f>"260,0"</f>
        <v>260,0</v>
      </c>
      <c r="L84" s="35" t="str">
        <f>"157,1440"</f>
        <v>157,1440</v>
      </c>
      <c r="M84" s="8" t="s">
        <v>158</v>
      </c>
    </row>
    <row r="85" spans="1:13" x14ac:dyDescent="0.2">
      <c r="A85" s="38" t="s">
        <v>1872</v>
      </c>
      <c r="B85" s="14" t="s">
        <v>1873</v>
      </c>
      <c r="C85" s="14" t="s">
        <v>1874</v>
      </c>
      <c r="D85" s="14" t="str">
        <f>"0,5923"</f>
        <v>0,5923</v>
      </c>
      <c r="E85" s="14" t="s">
        <v>2200</v>
      </c>
      <c r="F85" s="14" t="s">
        <v>474</v>
      </c>
      <c r="G85" s="15" t="s">
        <v>116</v>
      </c>
      <c r="H85" s="16" t="s">
        <v>181</v>
      </c>
      <c r="I85" s="16" t="s">
        <v>105</v>
      </c>
      <c r="J85" s="16"/>
      <c r="K85" s="38" t="str">
        <f>"240,0"</f>
        <v>240,0</v>
      </c>
      <c r="L85" s="39" t="str">
        <f>"142,1520"</f>
        <v>142,1520</v>
      </c>
      <c r="M85" s="14" t="s">
        <v>1786</v>
      </c>
    </row>
    <row r="86" spans="1:13" x14ac:dyDescent="0.2">
      <c r="A86" s="38" t="s">
        <v>1875</v>
      </c>
      <c r="B86" s="14" t="s">
        <v>1415</v>
      </c>
      <c r="C86" s="14" t="s">
        <v>1876</v>
      </c>
      <c r="D86" s="14" t="str">
        <f>"0,5966"</f>
        <v>0,5966</v>
      </c>
      <c r="E86" s="14" t="s">
        <v>17</v>
      </c>
      <c r="F86" s="14" t="s">
        <v>40</v>
      </c>
      <c r="G86" s="15" t="s">
        <v>108</v>
      </c>
      <c r="H86" s="15" t="s">
        <v>318</v>
      </c>
      <c r="I86" s="15" t="s">
        <v>109</v>
      </c>
      <c r="J86" s="16"/>
      <c r="K86" s="38" t="str">
        <f>"255,0"</f>
        <v>255,0</v>
      </c>
      <c r="L86" s="39" t="str">
        <f>"166,8899"</f>
        <v>166,8899</v>
      </c>
      <c r="M86" s="14"/>
    </row>
    <row r="87" spans="1:13" x14ac:dyDescent="0.2">
      <c r="A87" s="38" t="s">
        <v>1878</v>
      </c>
      <c r="B87" s="14" t="s">
        <v>1879</v>
      </c>
      <c r="C87" s="14" t="s">
        <v>872</v>
      </c>
      <c r="D87" s="14" t="str">
        <f>"0,5972"</f>
        <v>0,5972</v>
      </c>
      <c r="E87" s="14" t="s">
        <v>17</v>
      </c>
      <c r="F87" s="14" t="s">
        <v>489</v>
      </c>
      <c r="G87" s="15" t="s">
        <v>108</v>
      </c>
      <c r="H87" s="16" t="s">
        <v>318</v>
      </c>
      <c r="I87" s="16" t="s">
        <v>318</v>
      </c>
      <c r="J87" s="16"/>
      <c r="K87" s="38" t="str">
        <f>"235,0"</f>
        <v>235,0</v>
      </c>
      <c r="L87" s="39" t="str">
        <f>"148,0608"</f>
        <v>148,0608</v>
      </c>
      <c r="M87" s="14" t="s">
        <v>1880</v>
      </c>
    </row>
    <row r="88" spans="1:13" x14ac:dyDescent="0.2">
      <c r="A88" s="38" t="s">
        <v>1882</v>
      </c>
      <c r="B88" s="14" t="s">
        <v>1883</v>
      </c>
      <c r="C88" s="14" t="s">
        <v>1876</v>
      </c>
      <c r="D88" s="14" t="str">
        <f>"0,5966"</f>
        <v>0,5966</v>
      </c>
      <c r="E88" s="14" t="s">
        <v>2200</v>
      </c>
      <c r="F88" s="14" t="s">
        <v>40</v>
      </c>
      <c r="G88" s="15" t="s">
        <v>82</v>
      </c>
      <c r="H88" s="16" t="s">
        <v>57</v>
      </c>
      <c r="I88" s="16" t="s">
        <v>57</v>
      </c>
      <c r="J88" s="16"/>
      <c r="K88" s="38" t="str">
        <f>"160,0"</f>
        <v>160,0</v>
      </c>
      <c r="L88" s="39" t="str">
        <f>"103,2834"</f>
        <v>103,2834</v>
      </c>
      <c r="M88" s="14"/>
    </row>
    <row r="89" spans="1:13" x14ac:dyDescent="0.2">
      <c r="A89" s="38" t="s">
        <v>511</v>
      </c>
      <c r="B89" s="14" t="s">
        <v>512</v>
      </c>
      <c r="C89" s="14" t="s">
        <v>513</v>
      </c>
      <c r="D89" s="14" t="str">
        <f>"0,5960"</f>
        <v>0,5960</v>
      </c>
      <c r="E89" s="14" t="s">
        <v>17</v>
      </c>
      <c r="F89" s="14" t="s">
        <v>514</v>
      </c>
      <c r="G89" s="15" t="s">
        <v>64</v>
      </c>
      <c r="H89" s="15" t="s">
        <v>65</v>
      </c>
      <c r="I89" s="15" t="s">
        <v>48</v>
      </c>
      <c r="J89" s="16"/>
      <c r="K89" s="38" t="str">
        <f>"215,0"</f>
        <v>215,0</v>
      </c>
      <c r="L89" s="39" t="str">
        <f>"162,4815"</f>
        <v>162,4815</v>
      </c>
      <c r="M89" s="14"/>
    </row>
    <row r="90" spans="1:13" x14ac:dyDescent="0.2">
      <c r="A90" s="33" t="s">
        <v>1885</v>
      </c>
      <c r="B90" s="11" t="s">
        <v>1886</v>
      </c>
      <c r="C90" s="11" t="s">
        <v>991</v>
      </c>
      <c r="D90" s="11" t="str">
        <f>"0,5939"</f>
        <v>0,5939</v>
      </c>
      <c r="E90" s="11" t="s">
        <v>17</v>
      </c>
      <c r="F90" s="11" t="s">
        <v>1887</v>
      </c>
      <c r="G90" s="12" t="s">
        <v>470</v>
      </c>
      <c r="H90" s="12" t="s">
        <v>74</v>
      </c>
      <c r="I90" s="12" t="s">
        <v>108</v>
      </c>
      <c r="J90" s="13"/>
      <c r="K90" s="33" t="str">
        <f>"235,0"</f>
        <v>235,0</v>
      </c>
      <c r="L90" s="36" t="str">
        <f>"194,4161"</f>
        <v>194,4161</v>
      </c>
      <c r="M90" s="11"/>
    </row>
    <row r="92" spans="1:13" ht="15" x14ac:dyDescent="0.2">
      <c r="E92" s="17" t="s">
        <v>206</v>
      </c>
    </row>
    <row r="93" spans="1:13" ht="15" x14ac:dyDescent="0.2">
      <c r="E93" s="17" t="s">
        <v>207</v>
      </c>
    </row>
    <row r="94" spans="1:13" ht="15" x14ac:dyDescent="0.2">
      <c r="E94" s="17" t="s">
        <v>208</v>
      </c>
    </row>
    <row r="95" spans="1:13" ht="15" x14ac:dyDescent="0.2">
      <c r="E95" s="17" t="s">
        <v>209</v>
      </c>
    </row>
    <row r="96" spans="1:13" ht="15" x14ac:dyDescent="0.2">
      <c r="E96" s="17" t="s">
        <v>209</v>
      </c>
    </row>
    <row r="97" spans="1:5" ht="15" x14ac:dyDescent="0.2">
      <c r="E97" s="17" t="s">
        <v>210</v>
      </c>
    </row>
    <row r="98" spans="1:5" ht="15" x14ac:dyDescent="0.2">
      <c r="E98" s="17"/>
    </row>
    <row r="100" spans="1:5" ht="18" x14ac:dyDescent="0.25">
      <c r="A100" s="18" t="s">
        <v>211</v>
      </c>
      <c r="B100" s="18"/>
    </row>
    <row r="101" spans="1:5" ht="15" x14ac:dyDescent="0.2">
      <c r="A101" s="19" t="s">
        <v>212</v>
      </c>
      <c r="B101" s="19"/>
    </row>
    <row r="102" spans="1:5" ht="14.25" x14ac:dyDescent="0.2">
      <c r="A102" s="21"/>
      <c r="B102" s="22" t="s">
        <v>1468</v>
      </c>
    </row>
    <row r="103" spans="1:5" ht="15" x14ac:dyDescent="0.2">
      <c r="A103" s="23" t="s">
        <v>213</v>
      </c>
      <c r="B103" s="23" t="s">
        <v>214</v>
      </c>
      <c r="C103" s="23" t="s">
        <v>215</v>
      </c>
      <c r="D103" s="23" t="s">
        <v>216</v>
      </c>
      <c r="E103" s="23" t="s">
        <v>217</v>
      </c>
    </row>
    <row r="104" spans="1:5" x14ac:dyDescent="0.2">
      <c r="A104" s="20" t="s">
        <v>1726</v>
      </c>
      <c r="B104" s="4" t="s">
        <v>228</v>
      </c>
      <c r="C104" s="4" t="s">
        <v>517</v>
      </c>
      <c r="D104" s="4" t="s">
        <v>20</v>
      </c>
      <c r="E104" s="24" t="s">
        <v>1888</v>
      </c>
    </row>
    <row r="105" spans="1:5" x14ac:dyDescent="0.2">
      <c r="A105" s="20" t="s">
        <v>1751</v>
      </c>
      <c r="B105" s="4" t="s">
        <v>228</v>
      </c>
      <c r="C105" s="4" t="s">
        <v>224</v>
      </c>
      <c r="D105" s="4" t="s">
        <v>29</v>
      </c>
      <c r="E105" s="24" t="s">
        <v>1889</v>
      </c>
    </row>
    <row r="106" spans="1:5" x14ac:dyDescent="0.2">
      <c r="A106" s="20" t="s">
        <v>1707</v>
      </c>
      <c r="B106" s="4" t="s">
        <v>228</v>
      </c>
      <c r="C106" s="4" t="s">
        <v>520</v>
      </c>
      <c r="D106" s="4" t="s">
        <v>43</v>
      </c>
      <c r="E106" s="24" t="s">
        <v>1890</v>
      </c>
    </row>
    <row r="107" spans="1:5" x14ac:dyDescent="0.2">
      <c r="A107" s="20" t="s">
        <v>1761</v>
      </c>
      <c r="B107" s="4" t="s">
        <v>228</v>
      </c>
      <c r="C107" s="4" t="s">
        <v>219</v>
      </c>
      <c r="D107" s="4" t="s">
        <v>93</v>
      </c>
      <c r="E107" s="24" t="s">
        <v>1891</v>
      </c>
    </row>
    <row r="108" spans="1:5" x14ac:dyDescent="0.2">
      <c r="A108" s="20" t="s">
        <v>1756</v>
      </c>
      <c r="B108" s="4" t="s">
        <v>228</v>
      </c>
      <c r="C108" s="4" t="s">
        <v>224</v>
      </c>
      <c r="D108" s="4" t="s">
        <v>45</v>
      </c>
      <c r="E108" s="24" t="s">
        <v>1892</v>
      </c>
    </row>
    <row r="110" spans="1:5" ht="14.25" x14ac:dyDescent="0.2">
      <c r="A110" s="21"/>
      <c r="B110" s="22" t="s">
        <v>220</v>
      </c>
    </row>
    <row r="111" spans="1:5" ht="15" x14ac:dyDescent="0.2">
      <c r="A111" s="23" t="s">
        <v>213</v>
      </c>
      <c r="B111" s="23" t="s">
        <v>214</v>
      </c>
      <c r="C111" s="23" t="s">
        <v>215</v>
      </c>
      <c r="D111" s="23" t="s">
        <v>216</v>
      </c>
      <c r="E111" s="23" t="s">
        <v>217</v>
      </c>
    </row>
    <row r="112" spans="1:5" x14ac:dyDescent="0.2">
      <c r="A112" s="20" t="s">
        <v>1702</v>
      </c>
      <c r="B112" s="4" t="s">
        <v>220</v>
      </c>
      <c r="C112" s="4" t="s">
        <v>526</v>
      </c>
      <c r="D112" s="4" t="s">
        <v>29</v>
      </c>
      <c r="E112" s="24" t="s">
        <v>1893</v>
      </c>
    </row>
    <row r="113" spans="1:5" x14ac:dyDescent="0.2">
      <c r="A113" s="20" t="s">
        <v>1732</v>
      </c>
      <c r="B113" s="4" t="s">
        <v>220</v>
      </c>
      <c r="C113" s="4" t="s">
        <v>517</v>
      </c>
      <c r="D113" s="4" t="s">
        <v>94</v>
      </c>
      <c r="E113" s="24" t="s">
        <v>1894</v>
      </c>
    </row>
    <row r="114" spans="1:5" x14ac:dyDescent="0.2">
      <c r="A114" s="20" t="s">
        <v>1726</v>
      </c>
      <c r="B114" s="4" t="s">
        <v>220</v>
      </c>
      <c r="C114" s="4" t="s">
        <v>517</v>
      </c>
      <c r="D114" s="4" t="s">
        <v>20</v>
      </c>
      <c r="E114" s="24" t="s">
        <v>1888</v>
      </c>
    </row>
    <row r="115" spans="1:5" x14ac:dyDescent="0.2">
      <c r="A115" s="20" t="s">
        <v>1738</v>
      </c>
      <c r="B115" s="4" t="s">
        <v>220</v>
      </c>
      <c r="C115" s="4" t="s">
        <v>517</v>
      </c>
      <c r="D115" s="4" t="s">
        <v>33</v>
      </c>
      <c r="E115" s="24" t="s">
        <v>1895</v>
      </c>
    </row>
    <row r="116" spans="1:5" x14ac:dyDescent="0.2">
      <c r="A116" s="20" t="s">
        <v>1051</v>
      </c>
      <c r="B116" s="4" t="s">
        <v>220</v>
      </c>
      <c r="C116" s="4" t="s">
        <v>517</v>
      </c>
      <c r="D116" s="4" t="s">
        <v>93</v>
      </c>
      <c r="E116" s="24" t="s">
        <v>1896</v>
      </c>
    </row>
    <row r="117" spans="1:5" x14ac:dyDescent="0.2">
      <c r="A117" s="20" t="s">
        <v>1743</v>
      </c>
      <c r="B117" s="4" t="s">
        <v>220</v>
      </c>
      <c r="C117" s="4" t="s">
        <v>516</v>
      </c>
      <c r="D117" s="4" t="s">
        <v>93</v>
      </c>
      <c r="E117" s="24" t="s">
        <v>1897</v>
      </c>
    </row>
    <row r="118" spans="1:5" x14ac:dyDescent="0.2">
      <c r="A118" s="20" t="s">
        <v>570</v>
      </c>
      <c r="B118" s="4" t="s">
        <v>220</v>
      </c>
      <c r="C118" s="4" t="s">
        <v>516</v>
      </c>
      <c r="D118" s="4" t="s">
        <v>408</v>
      </c>
      <c r="E118" s="24" t="s">
        <v>1898</v>
      </c>
    </row>
    <row r="119" spans="1:5" x14ac:dyDescent="0.2">
      <c r="A119" s="20" t="s">
        <v>1714</v>
      </c>
      <c r="B119" s="4" t="s">
        <v>220</v>
      </c>
      <c r="C119" s="4" t="s">
        <v>520</v>
      </c>
      <c r="D119" s="4" t="s">
        <v>44</v>
      </c>
      <c r="E119" s="24" t="s">
        <v>1899</v>
      </c>
    </row>
    <row r="120" spans="1:5" x14ac:dyDescent="0.2">
      <c r="A120" s="20" t="s">
        <v>1719</v>
      </c>
      <c r="B120" s="4" t="s">
        <v>220</v>
      </c>
      <c r="C120" s="4" t="s">
        <v>520</v>
      </c>
      <c r="D120" s="4" t="s">
        <v>81</v>
      </c>
      <c r="E120" s="24" t="s">
        <v>1900</v>
      </c>
    </row>
    <row r="121" spans="1:5" x14ac:dyDescent="0.2">
      <c r="A121" s="20" t="s">
        <v>1767</v>
      </c>
      <c r="B121" s="4" t="s">
        <v>220</v>
      </c>
      <c r="C121" s="4" t="s">
        <v>229</v>
      </c>
      <c r="D121" s="4" t="s">
        <v>54</v>
      </c>
      <c r="E121" s="24" t="s">
        <v>1901</v>
      </c>
    </row>
    <row r="122" spans="1:5" x14ac:dyDescent="0.2">
      <c r="A122" s="20" t="s">
        <v>1748</v>
      </c>
      <c r="B122" s="4" t="s">
        <v>220</v>
      </c>
      <c r="C122" s="4" t="s">
        <v>516</v>
      </c>
      <c r="D122" s="4" t="s">
        <v>45</v>
      </c>
      <c r="E122" s="24" t="s">
        <v>1902</v>
      </c>
    </row>
    <row r="123" spans="1:5" x14ac:dyDescent="0.2">
      <c r="A123" s="20" t="s">
        <v>1723</v>
      </c>
      <c r="B123" s="4" t="s">
        <v>220</v>
      </c>
      <c r="C123" s="4" t="s">
        <v>520</v>
      </c>
      <c r="D123" s="4" t="s">
        <v>31</v>
      </c>
      <c r="E123" s="24" t="s">
        <v>1903</v>
      </c>
    </row>
    <row r="126" spans="1:5" ht="15" x14ac:dyDescent="0.2">
      <c r="A126" s="19" t="s">
        <v>226</v>
      </c>
      <c r="B126" s="19"/>
    </row>
    <row r="128" spans="1:5" ht="14.25" x14ac:dyDescent="0.2">
      <c r="A128" s="21"/>
      <c r="B128" s="22" t="s">
        <v>220</v>
      </c>
    </row>
    <row r="129" spans="1:5" ht="15" x14ac:dyDescent="0.2">
      <c r="A129" s="23" t="s">
        <v>213</v>
      </c>
      <c r="B129" s="23" t="s">
        <v>214</v>
      </c>
      <c r="C129" s="23" t="s">
        <v>215</v>
      </c>
      <c r="D129" s="23" t="s">
        <v>216</v>
      </c>
      <c r="E129" s="23" t="s">
        <v>217</v>
      </c>
    </row>
    <row r="130" spans="1:5" x14ac:dyDescent="0.2">
      <c r="A130" s="20" t="s">
        <v>1804</v>
      </c>
      <c r="B130" s="4" t="s">
        <v>220</v>
      </c>
      <c r="C130" s="4" t="s">
        <v>219</v>
      </c>
      <c r="D130" s="4" t="s">
        <v>120</v>
      </c>
      <c r="E130" s="24" t="s">
        <v>1904</v>
      </c>
    </row>
    <row r="131" spans="1:5" x14ac:dyDescent="0.2">
      <c r="A131" s="20" t="s">
        <v>1808</v>
      </c>
      <c r="B131" s="4" t="s">
        <v>220</v>
      </c>
      <c r="C131" s="4" t="s">
        <v>219</v>
      </c>
      <c r="D131" s="4" t="s">
        <v>181</v>
      </c>
      <c r="E131" s="24" t="s">
        <v>1905</v>
      </c>
    </row>
    <row r="132" spans="1:5" x14ac:dyDescent="0.2">
      <c r="A132" s="20" t="s">
        <v>621</v>
      </c>
      <c r="B132" s="4" t="s">
        <v>220</v>
      </c>
      <c r="C132" s="4" t="s">
        <v>221</v>
      </c>
      <c r="D132" s="4" t="s">
        <v>126</v>
      </c>
      <c r="E132" s="24" t="s">
        <v>1906</v>
      </c>
    </row>
    <row r="133" spans="1:5" x14ac:dyDescent="0.2">
      <c r="A133" s="20" t="s">
        <v>1814</v>
      </c>
      <c r="B133" s="4" t="s">
        <v>220</v>
      </c>
      <c r="C133" s="4" t="s">
        <v>219</v>
      </c>
      <c r="D133" s="4" t="s">
        <v>127</v>
      </c>
      <c r="E133" s="24" t="s">
        <v>1907</v>
      </c>
    </row>
    <row r="134" spans="1:5" x14ac:dyDescent="0.2">
      <c r="A134" s="20" t="s">
        <v>1778</v>
      </c>
      <c r="B134" s="4" t="s">
        <v>220</v>
      </c>
      <c r="C134" s="4" t="s">
        <v>224</v>
      </c>
      <c r="D134" s="4" t="s">
        <v>914</v>
      </c>
      <c r="E134" s="24" t="s">
        <v>1908</v>
      </c>
    </row>
    <row r="135" spans="1:5" x14ac:dyDescent="0.2">
      <c r="A135" s="20" t="s">
        <v>1838</v>
      </c>
      <c r="B135" s="4" t="s">
        <v>220</v>
      </c>
      <c r="C135" s="4" t="s">
        <v>231</v>
      </c>
      <c r="D135" s="4" t="s">
        <v>109</v>
      </c>
      <c r="E135" s="24" t="s">
        <v>1909</v>
      </c>
    </row>
    <row r="136" spans="1:5" x14ac:dyDescent="0.2">
      <c r="A136" s="20" t="s">
        <v>1866</v>
      </c>
      <c r="B136" s="4" t="s">
        <v>220</v>
      </c>
      <c r="C136" s="4" t="s">
        <v>235</v>
      </c>
      <c r="D136" s="4" t="s">
        <v>118</v>
      </c>
      <c r="E136" s="24" t="s">
        <v>1910</v>
      </c>
    </row>
    <row r="137" spans="1:5" x14ac:dyDescent="0.2">
      <c r="A137" s="20" t="s">
        <v>1833</v>
      </c>
      <c r="B137" s="4" t="s">
        <v>220</v>
      </c>
      <c r="C137" s="4" t="s">
        <v>229</v>
      </c>
      <c r="D137" s="4" t="s">
        <v>303</v>
      </c>
      <c r="E137" s="24" t="s">
        <v>1911</v>
      </c>
    </row>
    <row r="138" spans="1:5" x14ac:dyDescent="0.2">
      <c r="A138" s="20" t="s">
        <v>1819</v>
      </c>
      <c r="B138" s="4" t="s">
        <v>220</v>
      </c>
      <c r="C138" s="4" t="s">
        <v>219</v>
      </c>
      <c r="D138" s="4" t="s">
        <v>134</v>
      </c>
      <c r="E138" s="24" t="s">
        <v>1912</v>
      </c>
    </row>
    <row r="139" spans="1:5" x14ac:dyDescent="0.2">
      <c r="A139" s="20" t="s">
        <v>1842</v>
      </c>
      <c r="B139" s="4" t="s">
        <v>220</v>
      </c>
      <c r="C139" s="4" t="s">
        <v>231</v>
      </c>
      <c r="D139" s="4" t="s">
        <v>318</v>
      </c>
      <c r="E139" s="24" t="s">
        <v>1913</v>
      </c>
    </row>
    <row r="140" spans="1:5" x14ac:dyDescent="0.2">
      <c r="A140" s="20" t="s">
        <v>1795</v>
      </c>
      <c r="B140" s="4" t="s">
        <v>220</v>
      </c>
      <c r="C140" s="4" t="s">
        <v>221</v>
      </c>
      <c r="D140" s="4" t="s">
        <v>470</v>
      </c>
      <c r="E140" s="24" t="s">
        <v>1914</v>
      </c>
    </row>
    <row r="141" spans="1:5" x14ac:dyDescent="0.2">
      <c r="A141" s="20" t="s">
        <v>662</v>
      </c>
      <c r="B141" s="4" t="s">
        <v>220</v>
      </c>
      <c r="C141" s="4" t="s">
        <v>219</v>
      </c>
      <c r="D141" s="4" t="s">
        <v>73</v>
      </c>
      <c r="E141" s="24" t="s">
        <v>1915</v>
      </c>
    </row>
    <row r="142" spans="1:5" x14ac:dyDescent="0.2">
      <c r="A142" s="20" t="s">
        <v>1871</v>
      </c>
      <c r="B142" s="4" t="s">
        <v>220</v>
      </c>
      <c r="C142" s="4" t="s">
        <v>235</v>
      </c>
      <c r="D142" s="4" t="s">
        <v>116</v>
      </c>
      <c r="E142" s="24" t="s">
        <v>1916</v>
      </c>
    </row>
    <row r="143" spans="1:5" x14ac:dyDescent="0.2">
      <c r="A143" s="20" t="s">
        <v>1845</v>
      </c>
      <c r="B143" s="4" t="s">
        <v>220</v>
      </c>
      <c r="C143" s="4" t="s">
        <v>231</v>
      </c>
      <c r="D143" s="4" t="s">
        <v>134</v>
      </c>
      <c r="E143" s="24" t="s">
        <v>1917</v>
      </c>
    </row>
    <row r="144" spans="1:5" x14ac:dyDescent="0.2">
      <c r="A144" s="20" t="s">
        <v>1850</v>
      </c>
      <c r="B144" s="4" t="s">
        <v>220</v>
      </c>
      <c r="C144" s="4" t="s">
        <v>231</v>
      </c>
      <c r="D144" s="4" t="s">
        <v>134</v>
      </c>
      <c r="E144" s="24" t="s">
        <v>1918</v>
      </c>
    </row>
    <row r="145" spans="1:5" x14ac:dyDescent="0.2">
      <c r="A145" s="20" t="s">
        <v>1782</v>
      </c>
      <c r="B145" s="4" t="s">
        <v>220</v>
      </c>
      <c r="C145" s="4" t="s">
        <v>224</v>
      </c>
      <c r="D145" s="4" t="s">
        <v>54</v>
      </c>
      <c r="E145" s="24" t="s">
        <v>1919</v>
      </c>
    </row>
    <row r="146" spans="1:5" x14ac:dyDescent="0.2">
      <c r="A146" s="20" t="s">
        <v>1853</v>
      </c>
      <c r="B146" s="4" t="s">
        <v>220</v>
      </c>
      <c r="C146" s="4" t="s">
        <v>231</v>
      </c>
      <c r="D146" s="4" t="s">
        <v>63</v>
      </c>
      <c r="E146" s="24" t="s">
        <v>1920</v>
      </c>
    </row>
    <row r="148" spans="1:5" ht="14.25" x14ac:dyDescent="0.2">
      <c r="A148" s="21"/>
      <c r="B148" s="22" t="s">
        <v>222</v>
      </c>
    </row>
    <row r="149" spans="1:5" ht="15" x14ac:dyDescent="0.2">
      <c r="A149" s="23" t="s">
        <v>213</v>
      </c>
      <c r="B149" s="23" t="s">
        <v>214</v>
      </c>
      <c r="C149" s="23" t="s">
        <v>215</v>
      </c>
      <c r="D149" s="23" t="s">
        <v>216</v>
      </c>
      <c r="E149" s="23" t="s">
        <v>217</v>
      </c>
    </row>
    <row r="150" spans="1:5" x14ac:dyDescent="0.2">
      <c r="A150" s="20" t="s">
        <v>1798</v>
      </c>
      <c r="B150" s="4" t="s">
        <v>729</v>
      </c>
      <c r="C150" s="4" t="s">
        <v>221</v>
      </c>
      <c r="D150" s="4" t="s">
        <v>41</v>
      </c>
      <c r="E150" s="24" t="s">
        <v>1921</v>
      </c>
    </row>
    <row r="151" spans="1:5" x14ac:dyDescent="0.2">
      <c r="A151" s="20" t="s">
        <v>1884</v>
      </c>
      <c r="B151" s="4" t="s">
        <v>367</v>
      </c>
      <c r="C151" s="4" t="s">
        <v>235</v>
      </c>
      <c r="D151" s="4" t="s">
        <v>108</v>
      </c>
      <c r="E151" s="24" t="s">
        <v>1922</v>
      </c>
    </row>
    <row r="152" spans="1:5" x14ac:dyDescent="0.2">
      <c r="A152" s="20" t="s">
        <v>1829</v>
      </c>
      <c r="B152" s="4" t="s">
        <v>391</v>
      </c>
      <c r="C152" s="4" t="s">
        <v>219</v>
      </c>
      <c r="D152" s="4" t="s">
        <v>65</v>
      </c>
      <c r="E152" s="24" t="s">
        <v>1923</v>
      </c>
    </row>
    <row r="153" spans="1:5" x14ac:dyDescent="0.2">
      <c r="A153" s="20" t="s">
        <v>1209</v>
      </c>
      <c r="B153" s="4" t="s">
        <v>543</v>
      </c>
      <c r="C153" s="4" t="s">
        <v>221</v>
      </c>
      <c r="D153" s="4" t="s">
        <v>53</v>
      </c>
      <c r="E153" s="24" t="s">
        <v>1924</v>
      </c>
    </row>
    <row r="154" spans="1:5" x14ac:dyDescent="0.2">
      <c r="A154" s="20" t="s">
        <v>1291</v>
      </c>
      <c r="B154" s="4" t="s">
        <v>367</v>
      </c>
      <c r="C154" s="4" t="s">
        <v>229</v>
      </c>
      <c r="D154" s="4" t="s">
        <v>64</v>
      </c>
      <c r="E154" s="24" t="s">
        <v>1925</v>
      </c>
    </row>
    <row r="155" spans="1:5" x14ac:dyDescent="0.2">
      <c r="A155" s="20" t="s">
        <v>1413</v>
      </c>
      <c r="B155" s="4" t="s">
        <v>261</v>
      </c>
      <c r="C155" s="4" t="s">
        <v>235</v>
      </c>
      <c r="D155" s="4" t="s">
        <v>109</v>
      </c>
      <c r="E155" s="24" t="s">
        <v>1926</v>
      </c>
    </row>
    <row r="156" spans="1:5" x14ac:dyDescent="0.2">
      <c r="A156" s="20" t="s">
        <v>510</v>
      </c>
      <c r="B156" s="4" t="s">
        <v>391</v>
      </c>
      <c r="C156" s="4" t="s">
        <v>235</v>
      </c>
      <c r="D156" s="4" t="s">
        <v>48</v>
      </c>
      <c r="E156" s="24" t="s">
        <v>1927</v>
      </c>
    </row>
    <row r="157" spans="1:5" x14ac:dyDescent="0.2">
      <c r="A157" s="20" t="s">
        <v>1363</v>
      </c>
      <c r="B157" s="4" t="s">
        <v>223</v>
      </c>
      <c r="C157" s="4" t="s">
        <v>231</v>
      </c>
      <c r="D157" s="4" t="s">
        <v>48</v>
      </c>
      <c r="E157" s="24" t="s">
        <v>1928</v>
      </c>
    </row>
    <row r="158" spans="1:5" x14ac:dyDescent="0.2">
      <c r="A158" s="20" t="s">
        <v>1850</v>
      </c>
      <c r="B158" s="4" t="s">
        <v>261</v>
      </c>
      <c r="C158" s="4" t="s">
        <v>231</v>
      </c>
      <c r="D158" s="4" t="s">
        <v>134</v>
      </c>
      <c r="E158" s="24" t="s">
        <v>1929</v>
      </c>
    </row>
    <row r="159" spans="1:5" x14ac:dyDescent="0.2">
      <c r="A159" s="20" t="s">
        <v>1824</v>
      </c>
      <c r="B159" s="4" t="s">
        <v>223</v>
      </c>
      <c r="C159" s="4" t="s">
        <v>219</v>
      </c>
      <c r="D159" s="4" t="s">
        <v>64</v>
      </c>
      <c r="E159" s="24" t="s">
        <v>1930</v>
      </c>
    </row>
    <row r="160" spans="1:5" x14ac:dyDescent="0.2">
      <c r="A160" s="20" t="s">
        <v>1877</v>
      </c>
      <c r="B160" s="4" t="s">
        <v>261</v>
      </c>
      <c r="C160" s="4" t="s">
        <v>235</v>
      </c>
      <c r="D160" s="4" t="s">
        <v>108</v>
      </c>
      <c r="E160" s="24" t="s">
        <v>1931</v>
      </c>
    </row>
    <row r="161" spans="1:5" x14ac:dyDescent="0.2">
      <c r="A161" s="20" t="s">
        <v>1845</v>
      </c>
      <c r="B161" s="4" t="s">
        <v>370</v>
      </c>
      <c r="C161" s="4" t="s">
        <v>231</v>
      </c>
      <c r="D161" s="4" t="s">
        <v>134</v>
      </c>
      <c r="E161" s="24" t="s">
        <v>1932</v>
      </c>
    </row>
    <row r="162" spans="1:5" x14ac:dyDescent="0.2">
      <c r="A162" s="20" t="s">
        <v>1861</v>
      </c>
      <c r="B162" s="4" t="s">
        <v>261</v>
      </c>
      <c r="C162" s="4" t="s">
        <v>231</v>
      </c>
      <c r="D162" s="4" t="s">
        <v>47</v>
      </c>
      <c r="E162" s="24" t="s">
        <v>1933</v>
      </c>
    </row>
    <row r="163" spans="1:5" x14ac:dyDescent="0.2">
      <c r="A163" s="20" t="s">
        <v>1881</v>
      </c>
      <c r="B163" s="4" t="s">
        <v>261</v>
      </c>
      <c r="C163" s="4" t="s">
        <v>235</v>
      </c>
      <c r="D163" s="4" t="s">
        <v>82</v>
      </c>
      <c r="E163" s="24" t="s">
        <v>1934</v>
      </c>
    </row>
  </sheetData>
  <mergeCells count="25">
    <mergeCell ref="A1:M2"/>
    <mergeCell ref="A3:A4"/>
    <mergeCell ref="B3:B4"/>
    <mergeCell ref="C3:C4"/>
    <mergeCell ref="D3:D4"/>
    <mergeCell ref="E3:E4"/>
    <mergeCell ref="F3:F4"/>
    <mergeCell ref="G3:J3"/>
    <mergeCell ref="A42:L42"/>
    <mergeCell ref="K3:K4"/>
    <mergeCell ref="L3:L4"/>
    <mergeCell ref="M3:M4"/>
    <mergeCell ref="A5:L5"/>
    <mergeCell ref="A8:L8"/>
    <mergeCell ref="A15:L15"/>
    <mergeCell ref="A23:L23"/>
    <mergeCell ref="A28:L28"/>
    <mergeCell ref="A32:L32"/>
    <mergeCell ref="A35:L35"/>
    <mergeCell ref="A39:L39"/>
    <mergeCell ref="A48:L48"/>
    <mergeCell ref="A57:L57"/>
    <mergeCell ref="A67:L67"/>
    <mergeCell ref="A71:L71"/>
    <mergeCell ref="A83:L8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9.71093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0" t="s">
        <v>2249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12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34.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196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4" t="s">
        <v>1935</v>
      </c>
      <c r="B6" s="5" t="s">
        <v>1936</v>
      </c>
      <c r="C6" s="5" t="s">
        <v>1937</v>
      </c>
      <c r="D6" s="5" t="str">
        <f>"0,5703"</f>
        <v>0,5703</v>
      </c>
      <c r="E6" s="5" t="s">
        <v>17</v>
      </c>
      <c r="F6" s="5" t="s">
        <v>1071</v>
      </c>
      <c r="G6" s="6" t="s">
        <v>126</v>
      </c>
      <c r="H6" s="6" t="s">
        <v>109</v>
      </c>
      <c r="I6" s="6" t="s">
        <v>118</v>
      </c>
      <c r="J6" s="7"/>
      <c r="K6" s="34" t="str">
        <f>"260,0"</f>
        <v>260,0</v>
      </c>
      <c r="L6" s="37" t="str">
        <f>"154,6539"</f>
        <v>154,6539</v>
      </c>
      <c r="M6" s="5"/>
    </row>
    <row r="8" spans="1:13" ht="15" x14ac:dyDescent="0.2">
      <c r="E8" s="17" t="s">
        <v>206</v>
      </c>
    </row>
    <row r="9" spans="1:13" ht="15" x14ac:dyDescent="0.2">
      <c r="E9" s="17" t="s">
        <v>207</v>
      </c>
    </row>
    <row r="10" spans="1:13" ht="15" x14ac:dyDescent="0.2">
      <c r="E10" s="17" t="s">
        <v>208</v>
      </c>
    </row>
    <row r="11" spans="1:13" ht="15" x14ac:dyDescent="0.2">
      <c r="E11" s="17" t="s">
        <v>209</v>
      </c>
    </row>
    <row r="12" spans="1:13" ht="15" x14ac:dyDescent="0.2">
      <c r="E12" s="17" t="s">
        <v>209</v>
      </c>
    </row>
    <row r="13" spans="1:13" ht="15" x14ac:dyDescent="0.2">
      <c r="E13" s="17" t="s">
        <v>210</v>
      </c>
    </row>
    <row r="14" spans="1:13" ht="15" x14ac:dyDescent="0.2">
      <c r="E14" s="17"/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8.85546875" style="4" bestFit="1" customWidth="1"/>
    <col min="7" max="7" width="5" style="3" bestFit="1" customWidth="1"/>
    <col min="8" max="8" width="10.42578125" style="29" bestFit="1" customWidth="1"/>
    <col min="9" max="9" width="8.85546875" style="4" bestFit="1" customWidth="1"/>
    <col min="10" max="10" width="9.5703125" style="3" bestFit="1" customWidth="1"/>
    <col min="11" max="11" width="10.5703125" style="4" customWidth="1"/>
    <col min="12" max="16384" width="9.140625" style="3"/>
  </cols>
  <sheetData>
    <row r="1" spans="1:11" s="2" customFormat="1" ht="29.1" customHeight="1" x14ac:dyDescent="0.2">
      <c r="A1" s="50" t="s">
        <v>2250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1938</v>
      </c>
      <c r="E3" s="45" t="s">
        <v>4</v>
      </c>
      <c r="F3" s="45" t="s">
        <v>8</v>
      </c>
      <c r="G3" s="45" t="s">
        <v>2010</v>
      </c>
      <c r="H3" s="45"/>
      <c r="I3" s="45" t="s">
        <v>2013</v>
      </c>
      <c r="J3" s="45" t="s">
        <v>3</v>
      </c>
      <c r="K3" s="47" t="s">
        <v>2</v>
      </c>
    </row>
    <row r="4" spans="1:11" s="1" customFormat="1" ht="33" customHeight="1" thickBot="1" x14ac:dyDescent="0.25">
      <c r="A4" s="57"/>
      <c r="B4" s="46"/>
      <c r="C4" s="46"/>
      <c r="D4" s="46"/>
      <c r="E4" s="46"/>
      <c r="F4" s="46"/>
      <c r="G4" s="30" t="s">
        <v>2011</v>
      </c>
      <c r="H4" s="31" t="s">
        <v>2012</v>
      </c>
      <c r="I4" s="46"/>
      <c r="J4" s="46"/>
      <c r="K4" s="48"/>
    </row>
    <row r="5" spans="1:11" ht="15" x14ac:dyDescent="0.2">
      <c r="A5" s="49" t="s">
        <v>13</v>
      </c>
      <c r="B5" s="49"/>
      <c r="C5" s="49"/>
      <c r="D5" s="49"/>
      <c r="E5" s="49"/>
      <c r="F5" s="49"/>
      <c r="G5" s="49"/>
      <c r="H5" s="49"/>
      <c r="I5" s="49"/>
      <c r="J5" s="49"/>
    </row>
    <row r="6" spans="1:11" x14ac:dyDescent="0.2">
      <c r="A6" s="32" t="s">
        <v>2014</v>
      </c>
      <c r="B6" s="8" t="s">
        <v>2015</v>
      </c>
      <c r="C6" s="8" t="s">
        <v>2016</v>
      </c>
      <c r="D6" s="8" t="str">
        <f>"1,0248"</f>
        <v>1,0248</v>
      </c>
      <c r="E6" s="8" t="s">
        <v>17</v>
      </c>
      <c r="F6" s="8" t="s">
        <v>40</v>
      </c>
      <c r="G6" s="9" t="s">
        <v>548</v>
      </c>
      <c r="H6" s="26" t="s">
        <v>2017</v>
      </c>
      <c r="I6" s="32" t="str">
        <f>"1590,0"</f>
        <v>1590,0</v>
      </c>
      <c r="J6" s="35" t="str">
        <f>"1629,4319"</f>
        <v>1629,4319</v>
      </c>
      <c r="K6" s="8"/>
    </row>
    <row r="7" spans="1:11" x14ac:dyDescent="0.2">
      <c r="A7" s="33" t="s">
        <v>2018</v>
      </c>
      <c r="B7" s="11" t="s">
        <v>2019</v>
      </c>
      <c r="C7" s="11" t="s">
        <v>2020</v>
      </c>
      <c r="D7" s="11" t="str">
        <f>"1,0177"</f>
        <v>1,0177</v>
      </c>
      <c r="E7" s="11" t="s">
        <v>17</v>
      </c>
      <c r="F7" s="11" t="s">
        <v>1964</v>
      </c>
      <c r="G7" s="12" t="s">
        <v>548</v>
      </c>
      <c r="H7" s="28" t="s">
        <v>2021</v>
      </c>
      <c r="I7" s="33" t="str">
        <f>"1020,0"</f>
        <v>1020,0</v>
      </c>
      <c r="J7" s="36" t="str">
        <f>"1048,4345"</f>
        <v>1048,4345</v>
      </c>
      <c r="K7" s="11"/>
    </row>
    <row r="9" spans="1:11" ht="15" x14ac:dyDescent="0.2">
      <c r="E9" s="17" t="s">
        <v>206</v>
      </c>
    </row>
    <row r="10" spans="1:11" ht="15" x14ac:dyDescent="0.2">
      <c r="E10" s="17" t="s">
        <v>207</v>
      </c>
    </row>
    <row r="11" spans="1:11" ht="15" x14ac:dyDescent="0.2">
      <c r="E11" s="17" t="s">
        <v>208</v>
      </c>
    </row>
    <row r="12" spans="1:11" ht="15" x14ac:dyDescent="0.2">
      <c r="E12" s="17" t="s">
        <v>209</v>
      </c>
    </row>
    <row r="13" spans="1:11" ht="15" x14ac:dyDescent="0.2">
      <c r="E13" s="17" t="s">
        <v>209</v>
      </c>
    </row>
    <row r="14" spans="1:11" ht="15" x14ac:dyDescent="0.2">
      <c r="E14" s="17" t="s">
        <v>210</v>
      </c>
    </row>
    <row r="15" spans="1:11" ht="14.25" customHeight="1" x14ac:dyDescent="0.2">
      <c r="E15" s="17"/>
    </row>
  </sheetData>
  <mergeCells count="12">
    <mergeCell ref="I3:I4"/>
    <mergeCell ref="J3:J4"/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opLeftCell="A13" workbookViewId="0">
      <selection activeCell="F13" sqref="F13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710937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6.140625" style="4" bestFit="1" customWidth="1"/>
    <col min="22" max="16384" width="9.140625" style="3"/>
  </cols>
  <sheetData>
    <row r="1" spans="1:21" s="2" customFormat="1" ht="29.1" customHeight="1" x14ac:dyDescent="0.2">
      <c r="A1" s="50" t="s">
        <v>2233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7" t="s">
        <v>2</v>
      </c>
    </row>
    <row r="4" spans="1:21" s="1" customFormat="1" ht="33.7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30">
        <v>1</v>
      </c>
      <c r="L4" s="30">
        <v>2</v>
      </c>
      <c r="M4" s="30">
        <v>3</v>
      </c>
      <c r="N4" s="30" t="s">
        <v>5</v>
      </c>
      <c r="O4" s="30">
        <v>1</v>
      </c>
      <c r="P4" s="30">
        <v>2</v>
      </c>
      <c r="Q4" s="30">
        <v>3</v>
      </c>
      <c r="R4" s="30" t="s">
        <v>5</v>
      </c>
      <c r="S4" s="46"/>
      <c r="T4" s="46"/>
      <c r="U4" s="48"/>
    </row>
    <row r="5" spans="1:21" ht="15" x14ac:dyDescent="0.2">
      <c r="A5" s="49" t="s">
        <v>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 x14ac:dyDescent="0.2">
      <c r="A6" s="34" t="s">
        <v>262</v>
      </c>
      <c r="B6" s="5" t="s">
        <v>263</v>
      </c>
      <c r="C6" s="5" t="s">
        <v>39</v>
      </c>
      <c r="D6" s="5" t="str">
        <f>"0,9681"</f>
        <v>0,9681</v>
      </c>
      <c r="E6" s="5" t="s">
        <v>17</v>
      </c>
      <c r="F6" s="5" t="s">
        <v>133</v>
      </c>
      <c r="G6" s="6" t="s">
        <v>82</v>
      </c>
      <c r="H6" s="7" t="s">
        <v>56</v>
      </c>
      <c r="I6" s="7" t="s">
        <v>56</v>
      </c>
      <c r="J6" s="7"/>
      <c r="K6" s="6" t="s">
        <v>30</v>
      </c>
      <c r="L6" s="6" t="s">
        <v>21</v>
      </c>
      <c r="M6" s="7" t="s">
        <v>264</v>
      </c>
      <c r="N6" s="7"/>
      <c r="O6" s="6" t="s">
        <v>57</v>
      </c>
      <c r="P6" s="6" t="s">
        <v>58</v>
      </c>
      <c r="Q6" s="7" t="s">
        <v>63</v>
      </c>
      <c r="R6" s="7"/>
      <c r="S6" s="34" t="str">
        <f>"410,0"</f>
        <v>410,0</v>
      </c>
      <c r="T6" s="37" t="str">
        <f>"396,9210"</f>
        <v>396,9210</v>
      </c>
      <c r="U6" s="5" t="s">
        <v>265</v>
      </c>
    </row>
    <row r="8" spans="1:21" ht="15" x14ac:dyDescent="0.2">
      <c r="A8" s="44" t="s">
        <v>59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x14ac:dyDescent="0.2">
      <c r="A9" s="34" t="s">
        <v>266</v>
      </c>
      <c r="B9" s="5" t="s">
        <v>267</v>
      </c>
      <c r="C9" s="5" t="s">
        <v>268</v>
      </c>
      <c r="D9" s="5" t="str">
        <f>"0,9384"</f>
        <v>0,9384</v>
      </c>
      <c r="E9" s="5" t="s">
        <v>17</v>
      </c>
      <c r="F9" s="5" t="s">
        <v>40</v>
      </c>
      <c r="G9" s="6" t="s">
        <v>269</v>
      </c>
      <c r="H9" s="6" t="s">
        <v>32</v>
      </c>
      <c r="I9" s="6" t="s">
        <v>270</v>
      </c>
      <c r="J9" s="7"/>
      <c r="K9" s="6" t="s">
        <v>271</v>
      </c>
      <c r="L9" s="6" t="s">
        <v>272</v>
      </c>
      <c r="M9" s="6" t="s">
        <v>100</v>
      </c>
      <c r="N9" s="7"/>
      <c r="O9" s="6" t="s">
        <v>19</v>
      </c>
      <c r="P9" s="6" t="s">
        <v>29</v>
      </c>
      <c r="Q9" s="7" t="s">
        <v>33</v>
      </c>
      <c r="R9" s="7"/>
      <c r="S9" s="34" t="str">
        <f>"285,0"</f>
        <v>285,0</v>
      </c>
      <c r="T9" s="37" t="str">
        <f>"267,4440"</f>
        <v>267,4440</v>
      </c>
      <c r="U9" s="5" t="s">
        <v>273</v>
      </c>
    </row>
    <row r="11" spans="1:21" ht="15" x14ac:dyDescent="0.2">
      <c r="A11" s="44" t="s">
        <v>36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1" x14ac:dyDescent="0.2">
      <c r="A12" s="32" t="s">
        <v>274</v>
      </c>
      <c r="B12" s="8" t="s">
        <v>275</v>
      </c>
      <c r="C12" s="8" t="s">
        <v>276</v>
      </c>
      <c r="D12" s="8" t="str">
        <f>"0,7146"</f>
        <v>0,7146</v>
      </c>
      <c r="E12" s="8" t="s">
        <v>17</v>
      </c>
      <c r="F12" s="8" t="s">
        <v>277</v>
      </c>
      <c r="G12" s="9" t="s">
        <v>58</v>
      </c>
      <c r="H12" s="9" t="s">
        <v>41</v>
      </c>
      <c r="I12" s="10" t="s">
        <v>63</v>
      </c>
      <c r="J12" s="10"/>
      <c r="K12" s="10" t="s">
        <v>34</v>
      </c>
      <c r="L12" s="10"/>
      <c r="M12" s="10"/>
      <c r="N12" s="10"/>
      <c r="O12" s="10" t="s">
        <v>64</v>
      </c>
      <c r="P12" s="10"/>
      <c r="Q12" s="10"/>
      <c r="R12" s="10"/>
      <c r="S12" s="32" t="str">
        <f>"0.00"</f>
        <v>0.00</v>
      </c>
      <c r="T12" s="35" t="str">
        <f>"0,0000"</f>
        <v>0,0000</v>
      </c>
      <c r="U12" s="8" t="s">
        <v>278</v>
      </c>
    </row>
    <row r="13" spans="1:21" x14ac:dyDescent="0.2">
      <c r="A13" s="33" t="s">
        <v>280</v>
      </c>
      <c r="B13" s="11" t="s">
        <v>281</v>
      </c>
      <c r="C13" s="11" t="s">
        <v>282</v>
      </c>
      <c r="D13" s="11" t="str">
        <f>"0,7278"</f>
        <v>0,7278</v>
      </c>
      <c r="E13" s="11" t="s">
        <v>17</v>
      </c>
      <c r="F13" s="11" t="s">
        <v>2255</v>
      </c>
      <c r="G13" s="13" t="s">
        <v>54</v>
      </c>
      <c r="H13" s="12" t="s">
        <v>54</v>
      </c>
      <c r="I13" s="12" t="s">
        <v>82</v>
      </c>
      <c r="J13" s="13"/>
      <c r="K13" s="12" t="s">
        <v>33</v>
      </c>
      <c r="L13" s="12" t="s">
        <v>94</v>
      </c>
      <c r="M13" s="13" t="s">
        <v>34</v>
      </c>
      <c r="N13" s="13"/>
      <c r="O13" s="13" t="s">
        <v>67</v>
      </c>
      <c r="P13" s="12" t="s">
        <v>67</v>
      </c>
      <c r="Q13" s="12" t="s">
        <v>63</v>
      </c>
      <c r="R13" s="13"/>
      <c r="S13" s="33" t="str">
        <f>"487,5"</f>
        <v>487,5</v>
      </c>
      <c r="T13" s="36" t="str">
        <f>"484,6602"</f>
        <v>484,6602</v>
      </c>
      <c r="U13" s="11"/>
    </row>
    <row r="15" spans="1:21" ht="15" x14ac:dyDescent="0.2">
      <c r="A15" s="44" t="s">
        <v>59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1" x14ac:dyDescent="0.2">
      <c r="A16" s="34" t="s">
        <v>284</v>
      </c>
      <c r="B16" s="5" t="s">
        <v>285</v>
      </c>
      <c r="C16" s="5" t="s">
        <v>286</v>
      </c>
      <c r="D16" s="5" t="str">
        <f>"0,6749"</f>
        <v>0,6749</v>
      </c>
      <c r="E16" s="5" t="s">
        <v>17</v>
      </c>
      <c r="F16" s="5" t="s">
        <v>287</v>
      </c>
      <c r="G16" s="6" t="s">
        <v>74</v>
      </c>
      <c r="H16" s="6" t="s">
        <v>116</v>
      </c>
      <c r="I16" s="6" t="s">
        <v>126</v>
      </c>
      <c r="J16" s="7"/>
      <c r="K16" s="6" t="s">
        <v>54</v>
      </c>
      <c r="L16" s="6" t="s">
        <v>82</v>
      </c>
      <c r="M16" s="7" t="s">
        <v>169</v>
      </c>
      <c r="N16" s="7"/>
      <c r="O16" s="6" t="s">
        <v>288</v>
      </c>
      <c r="P16" s="6" t="s">
        <v>289</v>
      </c>
      <c r="Q16" s="6" t="s">
        <v>180</v>
      </c>
      <c r="R16" s="7"/>
      <c r="S16" s="34" t="str">
        <f>"725,0"</f>
        <v>725,0</v>
      </c>
      <c r="T16" s="37" t="str">
        <f>"489,3025"</f>
        <v>489,3025</v>
      </c>
      <c r="U16" s="5" t="s">
        <v>158</v>
      </c>
    </row>
    <row r="18" spans="1:21" ht="15" x14ac:dyDescent="0.2">
      <c r="A18" s="44" t="s">
        <v>96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1" x14ac:dyDescent="0.2">
      <c r="A19" s="32" t="s">
        <v>291</v>
      </c>
      <c r="B19" s="8" t="s">
        <v>292</v>
      </c>
      <c r="C19" s="8" t="s">
        <v>293</v>
      </c>
      <c r="D19" s="8" t="str">
        <f>"0,6424"</f>
        <v>0,6424</v>
      </c>
      <c r="E19" s="8" t="s">
        <v>17</v>
      </c>
      <c r="F19" s="8" t="s">
        <v>294</v>
      </c>
      <c r="G19" s="9" t="s">
        <v>295</v>
      </c>
      <c r="H19" s="10" t="s">
        <v>170</v>
      </c>
      <c r="I19" s="10" t="s">
        <v>170</v>
      </c>
      <c r="J19" s="10"/>
      <c r="K19" s="10" t="s">
        <v>57</v>
      </c>
      <c r="L19" s="9" t="s">
        <v>296</v>
      </c>
      <c r="M19" s="9" t="s">
        <v>67</v>
      </c>
      <c r="N19" s="10"/>
      <c r="O19" s="9" t="s">
        <v>74</v>
      </c>
      <c r="P19" s="9" t="s">
        <v>116</v>
      </c>
      <c r="Q19" s="10" t="s">
        <v>126</v>
      </c>
      <c r="R19" s="10"/>
      <c r="S19" s="32" t="str">
        <f>"632,5"</f>
        <v>632,5</v>
      </c>
      <c r="T19" s="35" t="str">
        <f>"406,3180"</f>
        <v>406,3180</v>
      </c>
      <c r="U19" s="8"/>
    </row>
    <row r="20" spans="1:21" x14ac:dyDescent="0.2">
      <c r="A20" s="38" t="s">
        <v>298</v>
      </c>
      <c r="B20" s="14" t="s">
        <v>299</v>
      </c>
      <c r="C20" s="14" t="s">
        <v>300</v>
      </c>
      <c r="D20" s="14" t="str">
        <f>"0,6406"</f>
        <v>0,6406</v>
      </c>
      <c r="E20" s="14" t="s">
        <v>17</v>
      </c>
      <c r="F20" s="14" t="s">
        <v>301</v>
      </c>
      <c r="G20" s="15" t="s">
        <v>48</v>
      </c>
      <c r="H20" s="15" t="s">
        <v>74</v>
      </c>
      <c r="I20" s="15" t="s">
        <v>108</v>
      </c>
      <c r="J20" s="16"/>
      <c r="K20" s="15" t="s">
        <v>53</v>
      </c>
      <c r="L20" s="15" t="s">
        <v>169</v>
      </c>
      <c r="M20" s="16" t="s">
        <v>302</v>
      </c>
      <c r="N20" s="16"/>
      <c r="O20" s="15" t="s">
        <v>48</v>
      </c>
      <c r="P20" s="15" t="s">
        <v>108</v>
      </c>
      <c r="Q20" s="15" t="s">
        <v>303</v>
      </c>
      <c r="R20" s="16"/>
      <c r="S20" s="38" t="str">
        <f>"640,0"</f>
        <v>640,0</v>
      </c>
      <c r="T20" s="39" t="str">
        <f>"422,6935"</f>
        <v>422,6935</v>
      </c>
      <c r="U20" s="14" t="s">
        <v>304</v>
      </c>
    </row>
    <row r="21" spans="1:21" x14ac:dyDescent="0.2">
      <c r="A21" s="33" t="s">
        <v>306</v>
      </c>
      <c r="B21" s="11" t="s">
        <v>307</v>
      </c>
      <c r="C21" s="11" t="s">
        <v>308</v>
      </c>
      <c r="D21" s="11" t="str">
        <f>"0,6471"</f>
        <v>0,6471</v>
      </c>
      <c r="E21" s="11" t="s">
        <v>17</v>
      </c>
      <c r="F21" s="11" t="s">
        <v>40</v>
      </c>
      <c r="G21" s="13" t="s">
        <v>28</v>
      </c>
      <c r="H21" s="13" t="s">
        <v>28</v>
      </c>
      <c r="I21" s="13" t="s">
        <v>28</v>
      </c>
      <c r="J21" s="13"/>
      <c r="K21" s="13"/>
      <c r="L21" s="13"/>
      <c r="M21" s="13"/>
      <c r="N21" s="13"/>
      <c r="O21" s="13"/>
      <c r="P21" s="13"/>
      <c r="Q21" s="13"/>
      <c r="R21" s="13"/>
      <c r="S21" s="33" t="str">
        <f>"0.00"</f>
        <v>0.00</v>
      </c>
      <c r="T21" s="36" t="str">
        <f>"0,0000"</f>
        <v>0,0000</v>
      </c>
      <c r="U21" s="11"/>
    </row>
    <row r="23" spans="1:21" ht="15" x14ac:dyDescent="0.2">
      <c r="A23" s="44" t="s">
        <v>139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1" x14ac:dyDescent="0.2">
      <c r="A24" s="32" t="s">
        <v>310</v>
      </c>
      <c r="B24" s="8" t="s">
        <v>311</v>
      </c>
      <c r="C24" s="8" t="s">
        <v>312</v>
      </c>
      <c r="D24" s="8" t="str">
        <f>"0,6126"</f>
        <v>0,6126</v>
      </c>
      <c r="E24" s="8" t="s">
        <v>17</v>
      </c>
      <c r="F24" s="8" t="s">
        <v>40</v>
      </c>
      <c r="G24" s="9" t="s">
        <v>181</v>
      </c>
      <c r="H24" s="10" t="s">
        <v>153</v>
      </c>
      <c r="I24" s="10" t="s">
        <v>153</v>
      </c>
      <c r="J24" s="10"/>
      <c r="K24" s="9" t="s">
        <v>67</v>
      </c>
      <c r="L24" s="10" t="s">
        <v>63</v>
      </c>
      <c r="M24" s="10" t="s">
        <v>63</v>
      </c>
      <c r="N24" s="10"/>
      <c r="O24" s="9" t="s">
        <v>120</v>
      </c>
      <c r="P24" s="9" t="s">
        <v>145</v>
      </c>
      <c r="Q24" s="10" t="s">
        <v>313</v>
      </c>
      <c r="R24" s="10"/>
      <c r="S24" s="32" t="str">
        <f>"745,0"</f>
        <v>745,0</v>
      </c>
      <c r="T24" s="35" t="str">
        <f>"456,3870"</f>
        <v>456,3870</v>
      </c>
      <c r="U24" s="8"/>
    </row>
    <row r="25" spans="1:21" x14ac:dyDescent="0.2">
      <c r="A25" s="38" t="s">
        <v>315</v>
      </c>
      <c r="B25" s="14" t="s">
        <v>316</v>
      </c>
      <c r="C25" s="14" t="s">
        <v>317</v>
      </c>
      <c r="D25" s="14" t="str">
        <f>"0,6086"</f>
        <v>0,6086</v>
      </c>
      <c r="E25" s="14" t="s">
        <v>17</v>
      </c>
      <c r="F25" s="14" t="s">
        <v>40</v>
      </c>
      <c r="G25" s="15" t="s">
        <v>48</v>
      </c>
      <c r="H25" s="15" t="s">
        <v>134</v>
      </c>
      <c r="I25" s="15" t="s">
        <v>318</v>
      </c>
      <c r="J25" s="16"/>
      <c r="K25" s="15" t="s">
        <v>80</v>
      </c>
      <c r="L25" s="15" t="s">
        <v>56</v>
      </c>
      <c r="M25" s="15" t="s">
        <v>58</v>
      </c>
      <c r="N25" s="16"/>
      <c r="O25" s="15" t="s">
        <v>126</v>
      </c>
      <c r="P25" s="15" t="s">
        <v>181</v>
      </c>
      <c r="Q25" s="15" t="s">
        <v>153</v>
      </c>
      <c r="R25" s="16"/>
      <c r="S25" s="38" t="str">
        <f>"700,0"</f>
        <v>700,0</v>
      </c>
      <c r="T25" s="39" t="str">
        <f>"426,0200"</f>
        <v>426,0200</v>
      </c>
      <c r="U25" s="14" t="s">
        <v>319</v>
      </c>
    </row>
    <row r="26" spans="1:21" x14ac:dyDescent="0.2">
      <c r="A26" s="38" t="s">
        <v>321</v>
      </c>
      <c r="B26" s="14" t="s">
        <v>322</v>
      </c>
      <c r="C26" s="14" t="s">
        <v>323</v>
      </c>
      <c r="D26" s="14" t="str">
        <f>"0,6139"</f>
        <v>0,6139</v>
      </c>
      <c r="E26" s="14" t="s">
        <v>17</v>
      </c>
      <c r="F26" s="14" t="s">
        <v>324</v>
      </c>
      <c r="G26" s="15" t="s">
        <v>126</v>
      </c>
      <c r="H26" s="15" t="s">
        <v>109</v>
      </c>
      <c r="I26" s="15" t="s">
        <v>118</v>
      </c>
      <c r="J26" s="16"/>
      <c r="K26" s="15" t="s">
        <v>54</v>
      </c>
      <c r="L26" s="15" t="s">
        <v>169</v>
      </c>
      <c r="M26" s="15" t="s">
        <v>57</v>
      </c>
      <c r="N26" s="16"/>
      <c r="O26" s="15" t="s">
        <v>118</v>
      </c>
      <c r="P26" s="16" t="s">
        <v>105</v>
      </c>
      <c r="Q26" s="16" t="s">
        <v>105</v>
      </c>
      <c r="R26" s="16"/>
      <c r="S26" s="38" t="str">
        <f>"690,0"</f>
        <v>690,0</v>
      </c>
      <c r="T26" s="39" t="str">
        <f>"423,5910"</f>
        <v>423,5910</v>
      </c>
      <c r="U26" s="14" t="s">
        <v>325</v>
      </c>
    </row>
    <row r="27" spans="1:21" x14ac:dyDescent="0.2">
      <c r="A27" s="33" t="s">
        <v>327</v>
      </c>
      <c r="B27" s="11" t="s">
        <v>328</v>
      </c>
      <c r="C27" s="11" t="s">
        <v>329</v>
      </c>
      <c r="D27" s="11" t="str">
        <f>"0,6150"</f>
        <v>0,6150</v>
      </c>
      <c r="E27" s="11" t="s">
        <v>17</v>
      </c>
      <c r="F27" s="11" t="s">
        <v>152</v>
      </c>
      <c r="G27" s="13" t="s">
        <v>73</v>
      </c>
      <c r="H27" s="13" t="s">
        <v>73</v>
      </c>
      <c r="I27" s="13" t="s">
        <v>73</v>
      </c>
      <c r="J27" s="13"/>
      <c r="K27" s="13"/>
      <c r="L27" s="13"/>
      <c r="M27" s="13"/>
      <c r="N27" s="13"/>
      <c r="O27" s="13"/>
      <c r="P27" s="13"/>
      <c r="Q27" s="13"/>
      <c r="R27" s="13"/>
      <c r="S27" s="33" t="str">
        <f>"0.00"</f>
        <v>0.00</v>
      </c>
      <c r="T27" s="36" t="str">
        <f>"0,0000"</f>
        <v>0,0000</v>
      </c>
      <c r="U27" s="11"/>
    </row>
    <row r="29" spans="1:21" ht="15" x14ac:dyDescent="0.2">
      <c r="A29" s="44" t="s">
        <v>175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1:21" x14ac:dyDescent="0.2">
      <c r="A30" s="32" t="s">
        <v>331</v>
      </c>
      <c r="B30" s="8" t="s">
        <v>332</v>
      </c>
      <c r="C30" s="8" t="s">
        <v>333</v>
      </c>
      <c r="D30" s="8" t="str">
        <f>"0,5909"</f>
        <v>0,5909</v>
      </c>
      <c r="E30" s="8" t="s">
        <v>17</v>
      </c>
      <c r="F30" s="8" t="s">
        <v>40</v>
      </c>
      <c r="G30" s="10" t="s">
        <v>105</v>
      </c>
      <c r="H30" s="10" t="s">
        <v>105</v>
      </c>
      <c r="I30" s="9" t="s">
        <v>105</v>
      </c>
      <c r="J30" s="10"/>
      <c r="K30" s="9" t="s">
        <v>63</v>
      </c>
      <c r="L30" s="9" t="s">
        <v>64</v>
      </c>
      <c r="M30" s="9" t="s">
        <v>47</v>
      </c>
      <c r="N30" s="10"/>
      <c r="O30" s="9" t="s">
        <v>145</v>
      </c>
      <c r="P30" s="9" t="s">
        <v>313</v>
      </c>
      <c r="Q30" s="10" t="s">
        <v>334</v>
      </c>
      <c r="R30" s="10"/>
      <c r="S30" s="32" t="str">
        <f>"780,0"</f>
        <v>780,0</v>
      </c>
      <c r="T30" s="35" t="str">
        <f>"460,9020"</f>
        <v>460,9020</v>
      </c>
      <c r="U30" s="8"/>
    </row>
    <row r="31" spans="1:21" x14ac:dyDescent="0.2">
      <c r="A31" s="33" t="s">
        <v>336</v>
      </c>
      <c r="B31" s="11" t="s">
        <v>337</v>
      </c>
      <c r="C31" s="11" t="s">
        <v>338</v>
      </c>
      <c r="D31" s="11" t="str">
        <f>"0,6067"</f>
        <v>0,6067</v>
      </c>
      <c r="E31" s="11" t="s">
        <v>17</v>
      </c>
      <c r="F31" s="11" t="s">
        <v>339</v>
      </c>
      <c r="G31" s="12" t="s">
        <v>57</v>
      </c>
      <c r="H31" s="12" t="s">
        <v>67</v>
      </c>
      <c r="I31" s="13" t="s">
        <v>63</v>
      </c>
      <c r="J31" s="13"/>
      <c r="K31" s="12" t="s">
        <v>82</v>
      </c>
      <c r="L31" s="12" t="s">
        <v>56</v>
      </c>
      <c r="M31" s="12" t="s">
        <v>57</v>
      </c>
      <c r="N31" s="13"/>
      <c r="O31" s="12" t="s">
        <v>64</v>
      </c>
      <c r="P31" s="12" t="s">
        <v>65</v>
      </c>
      <c r="Q31" s="12" t="s">
        <v>73</v>
      </c>
      <c r="R31" s="13"/>
      <c r="S31" s="33" t="str">
        <f>"570,0"</f>
        <v>570,0</v>
      </c>
      <c r="T31" s="36" t="str">
        <f>"345,8190"</f>
        <v>345,8190</v>
      </c>
      <c r="U31" s="11"/>
    </row>
    <row r="33" spans="1:21" ht="15" x14ac:dyDescent="0.2">
      <c r="A33" s="44" t="s">
        <v>196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1" x14ac:dyDescent="0.2">
      <c r="A34" s="32" t="s">
        <v>341</v>
      </c>
      <c r="B34" s="8" t="s">
        <v>342</v>
      </c>
      <c r="C34" s="8" t="s">
        <v>343</v>
      </c>
      <c r="D34" s="8" t="str">
        <f>"0,5731"</f>
        <v>0,5731</v>
      </c>
      <c r="E34" s="8" t="s">
        <v>17</v>
      </c>
      <c r="F34" s="8" t="s">
        <v>40</v>
      </c>
      <c r="G34" s="9" t="s">
        <v>73</v>
      </c>
      <c r="H34" s="9" t="s">
        <v>116</v>
      </c>
      <c r="I34" s="9" t="s">
        <v>118</v>
      </c>
      <c r="J34" s="10"/>
      <c r="K34" s="9" t="s">
        <v>54</v>
      </c>
      <c r="L34" s="9" t="s">
        <v>169</v>
      </c>
      <c r="M34" s="10" t="s">
        <v>296</v>
      </c>
      <c r="N34" s="10"/>
      <c r="O34" s="9" t="s">
        <v>134</v>
      </c>
      <c r="P34" s="9" t="s">
        <v>109</v>
      </c>
      <c r="Q34" s="10" t="s">
        <v>119</v>
      </c>
      <c r="R34" s="10"/>
      <c r="S34" s="32" t="str">
        <f>"677,5"</f>
        <v>677,5</v>
      </c>
      <c r="T34" s="35" t="str">
        <f>"388,2752"</f>
        <v>388,2752</v>
      </c>
      <c r="U34" s="8" t="s">
        <v>344</v>
      </c>
    </row>
    <row r="35" spans="1:21" x14ac:dyDescent="0.2">
      <c r="A35" s="38" t="s">
        <v>346</v>
      </c>
      <c r="B35" s="14" t="s">
        <v>347</v>
      </c>
      <c r="C35" s="14" t="s">
        <v>348</v>
      </c>
      <c r="D35" s="14" t="str">
        <f>"0,5858"</f>
        <v>0,5858</v>
      </c>
      <c r="E35" s="14" t="s">
        <v>17</v>
      </c>
      <c r="F35" s="14" t="s">
        <v>349</v>
      </c>
      <c r="G35" s="16" t="s">
        <v>64</v>
      </c>
      <c r="H35" s="15" t="s">
        <v>64</v>
      </c>
      <c r="I35" s="15" t="s">
        <v>65</v>
      </c>
      <c r="J35" s="16"/>
      <c r="K35" s="15" t="s">
        <v>57</v>
      </c>
      <c r="L35" s="15" t="s">
        <v>67</v>
      </c>
      <c r="M35" s="16" t="s">
        <v>63</v>
      </c>
      <c r="N35" s="16"/>
      <c r="O35" s="15" t="s">
        <v>116</v>
      </c>
      <c r="P35" s="15" t="s">
        <v>109</v>
      </c>
      <c r="Q35" s="16" t="s">
        <v>105</v>
      </c>
      <c r="R35" s="16"/>
      <c r="S35" s="38" t="str">
        <f>"645,0"</f>
        <v>645,0</v>
      </c>
      <c r="T35" s="39" t="str">
        <f>"408,8240"</f>
        <v>408,8240</v>
      </c>
      <c r="U35" s="14"/>
    </row>
    <row r="36" spans="1:21" x14ac:dyDescent="0.2">
      <c r="A36" s="33" t="s">
        <v>351</v>
      </c>
      <c r="B36" s="11" t="s">
        <v>352</v>
      </c>
      <c r="C36" s="11" t="s">
        <v>353</v>
      </c>
      <c r="D36" s="11" t="str">
        <f>"0,5765"</f>
        <v>0,5765</v>
      </c>
      <c r="E36" s="11" t="s">
        <v>17</v>
      </c>
      <c r="F36" s="11" t="s">
        <v>40</v>
      </c>
      <c r="G36" s="12" t="s">
        <v>134</v>
      </c>
      <c r="H36" s="13"/>
      <c r="I36" s="13"/>
      <c r="J36" s="13"/>
      <c r="K36" s="12" t="s">
        <v>56</v>
      </c>
      <c r="L36" s="13" t="s">
        <v>296</v>
      </c>
      <c r="M36" s="12" t="s">
        <v>58</v>
      </c>
      <c r="N36" s="13"/>
      <c r="O36" s="12" t="s">
        <v>73</v>
      </c>
      <c r="P36" s="13"/>
      <c r="Q36" s="13"/>
      <c r="R36" s="13"/>
      <c r="S36" s="33" t="str">
        <f>"625,0"</f>
        <v>625,0</v>
      </c>
      <c r="T36" s="36" t="str">
        <f>"384,8137"</f>
        <v>384,8137</v>
      </c>
      <c r="U36" s="11" t="s">
        <v>273</v>
      </c>
    </row>
    <row r="38" spans="1:21" ht="15" x14ac:dyDescent="0.2">
      <c r="E38" s="17" t="s">
        <v>206</v>
      </c>
    </row>
    <row r="39" spans="1:21" ht="15" x14ac:dyDescent="0.2">
      <c r="E39" s="17" t="s">
        <v>207</v>
      </c>
    </row>
    <row r="40" spans="1:21" ht="15" x14ac:dyDescent="0.2">
      <c r="E40" s="17" t="s">
        <v>208</v>
      </c>
    </row>
    <row r="41" spans="1:21" ht="15" x14ac:dyDescent="0.2">
      <c r="E41" s="17" t="s">
        <v>209</v>
      </c>
    </row>
    <row r="42" spans="1:21" ht="15" x14ac:dyDescent="0.2">
      <c r="E42" s="17" t="s">
        <v>209</v>
      </c>
    </row>
    <row r="43" spans="1:21" ht="15" x14ac:dyDescent="0.2">
      <c r="E43" s="17" t="s">
        <v>210</v>
      </c>
    </row>
    <row r="44" spans="1:21" ht="15" x14ac:dyDescent="0.2">
      <c r="E44" s="17"/>
    </row>
    <row r="46" spans="1:21" ht="18" x14ac:dyDescent="0.25">
      <c r="A46" s="18" t="s">
        <v>211</v>
      </c>
      <c r="B46" s="18"/>
    </row>
    <row r="47" spans="1:21" ht="15" x14ac:dyDescent="0.2">
      <c r="A47" s="19" t="s">
        <v>226</v>
      </c>
      <c r="B47" s="19"/>
    </row>
    <row r="48" spans="1:21" ht="14.25" x14ac:dyDescent="0.2">
      <c r="A48" s="21"/>
      <c r="B48" s="22" t="s">
        <v>220</v>
      </c>
    </row>
    <row r="49" spans="1:5" ht="15" x14ac:dyDescent="0.2">
      <c r="A49" s="23" t="s">
        <v>213</v>
      </c>
      <c r="B49" s="23" t="s">
        <v>214</v>
      </c>
      <c r="C49" s="23" t="s">
        <v>215</v>
      </c>
      <c r="D49" s="23" t="s">
        <v>216</v>
      </c>
      <c r="E49" s="23" t="s">
        <v>217</v>
      </c>
    </row>
    <row r="50" spans="1:5" x14ac:dyDescent="0.2">
      <c r="A50" s="20" t="s">
        <v>283</v>
      </c>
      <c r="B50" s="4" t="s">
        <v>220</v>
      </c>
      <c r="C50" s="4" t="s">
        <v>219</v>
      </c>
      <c r="D50" s="4" t="s">
        <v>354</v>
      </c>
      <c r="E50" s="24" t="s">
        <v>355</v>
      </c>
    </row>
    <row r="51" spans="1:5" x14ac:dyDescent="0.2">
      <c r="A51" s="20" t="s">
        <v>330</v>
      </c>
      <c r="B51" s="4" t="s">
        <v>220</v>
      </c>
      <c r="C51" s="4" t="s">
        <v>235</v>
      </c>
      <c r="D51" s="4" t="s">
        <v>232</v>
      </c>
      <c r="E51" s="24" t="s">
        <v>356</v>
      </c>
    </row>
    <row r="52" spans="1:5" x14ac:dyDescent="0.2">
      <c r="A52" s="20" t="s">
        <v>309</v>
      </c>
      <c r="B52" s="4" t="s">
        <v>220</v>
      </c>
      <c r="C52" s="4" t="s">
        <v>231</v>
      </c>
      <c r="D52" s="4" t="s">
        <v>357</v>
      </c>
      <c r="E52" s="24" t="s">
        <v>358</v>
      </c>
    </row>
    <row r="53" spans="1:5" x14ac:dyDescent="0.2">
      <c r="A53" s="20" t="s">
        <v>314</v>
      </c>
      <c r="B53" s="4" t="s">
        <v>220</v>
      </c>
      <c r="C53" s="4" t="s">
        <v>231</v>
      </c>
      <c r="D53" s="4" t="s">
        <v>359</v>
      </c>
      <c r="E53" s="24" t="s">
        <v>360</v>
      </c>
    </row>
    <row r="54" spans="1:5" x14ac:dyDescent="0.2">
      <c r="A54" s="20" t="s">
        <v>320</v>
      </c>
      <c r="B54" s="4" t="s">
        <v>220</v>
      </c>
      <c r="C54" s="4" t="s">
        <v>231</v>
      </c>
      <c r="D54" s="4" t="s">
        <v>361</v>
      </c>
      <c r="E54" s="24" t="s">
        <v>362</v>
      </c>
    </row>
    <row r="55" spans="1:5" x14ac:dyDescent="0.2">
      <c r="A55" s="20" t="s">
        <v>290</v>
      </c>
      <c r="B55" s="4" t="s">
        <v>220</v>
      </c>
      <c r="C55" s="4" t="s">
        <v>229</v>
      </c>
      <c r="D55" s="4" t="s">
        <v>363</v>
      </c>
      <c r="E55" s="24" t="s">
        <v>364</v>
      </c>
    </row>
    <row r="56" spans="1:5" x14ac:dyDescent="0.2">
      <c r="A56" s="20" t="s">
        <v>340</v>
      </c>
      <c r="B56" s="4" t="s">
        <v>220</v>
      </c>
      <c r="C56" s="4" t="s">
        <v>244</v>
      </c>
      <c r="D56" s="4" t="s">
        <v>365</v>
      </c>
      <c r="E56" s="24" t="s">
        <v>366</v>
      </c>
    </row>
    <row r="58" spans="1:5" ht="14.25" x14ac:dyDescent="0.2">
      <c r="A58" s="21"/>
      <c r="B58" s="22" t="s">
        <v>222</v>
      </c>
    </row>
    <row r="59" spans="1:5" ht="15" x14ac:dyDescent="0.2">
      <c r="A59" s="23" t="s">
        <v>213</v>
      </c>
      <c r="B59" s="23" t="s">
        <v>214</v>
      </c>
      <c r="C59" s="23" t="s">
        <v>215</v>
      </c>
      <c r="D59" s="23" t="s">
        <v>216</v>
      </c>
      <c r="E59" s="23" t="s">
        <v>217</v>
      </c>
    </row>
    <row r="60" spans="1:5" x14ac:dyDescent="0.2">
      <c r="A60" s="20" t="s">
        <v>279</v>
      </c>
      <c r="B60" s="4" t="s">
        <v>367</v>
      </c>
      <c r="C60" s="4" t="s">
        <v>221</v>
      </c>
      <c r="D60" s="4" t="s">
        <v>368</v>
      </c>
      <c r="E60" s="24" t="s">
        <v>369</v>
      </c>
    </row>
    <row r="61" spans="1:5" x14ac:dyDescent="0.2">
      <c r="A61" s="20" t="s">
        <v>297</v>
      </c>
      <c r="B61" s="4" t="s">
        <v>370</v>
      </c>
      <c r="C61" s="4" t="s">
        <v>229</v>
      </c>
      <c r="D61" s="4" t="s">
        <v>371</v>
      </c>
      <c r="E61" s="24" t="s">
        <v>372</v>
      </c>
    </row>
    <row r="62" spans="1:5" x14ac:dyDescent="0.2">
      <c r="A62" s="20" t="s">
        <v>345</v>
      </c>
      <c r="B62" s="4" t="s">
        <v>261</v>
      </c>
      <c r="C62" s="4" t="s">
        <v>244</v>
      </c>
      <c r="D62" s="4" t="s">
        <v>373</v>
      </c>
      <c r="E62" s="24" t="s">
        <v>374</v>
      </c>
    </row>
    <row r="63" spans="1:5" x14ac:dyDescent="0.2">
      <c r="A63" s="20" t="s">
        <v>350</v>
      </c>
      <c r="B63" s="4" t="s">
        <v>261</v>
      </c>
      <c r="C63" s="4" t="s">
        <v>244</v>
      </c>
      <c r="D63" s="4" t="s">
        <v>375</v>
      </c>
      <c r="E63" s="24" t="s">
        <v>376</v>
      </c>
    </row>
    <row r="64" spans="1:5" x14ac:dyDescent="0.2">
      <c r="A64" s="20" t="s">
        <v>335</v>
      </c>
      <c r="B64" s="4" t="s">
        <v>370</v>
      </c>
      <c r="C64" s="4" t="s">
        <v>235</v>
      </c>
      <c r="D64" s="4" t="s">
        <v>377</v>
      </c>
      <c r="E64" s="24" t="s">
        <v>378</v>
      </c>
    </row>
  </sheetData>
  <mergeCells count="21"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  <mergeCell ref="A15:T15"/>
    <mergeCell ref="A18:T18"/>
    <mergeCell ref="A23:T23"/>
    <mergeCell ref="A29:T29"/>
    <mergeCell ref="A33:T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28515625" style="4" bestFit="1" customWidth="1"/>
    <col min="7" max="7" width="5.5703125" style="3" bestFit="1" customWidth="1"/>
    <col min="8" max="8" width="4.5703125" style="29" bestFit="1" customWidth="1"/>
    <col min="9" max="9" width="7.85546875" style="4" bestFit="1" customWidth="1"/>
    <col min="10" max="10" width="9.5703125" style="3" bestFit="1" customWidth="1"/>
    <col min="11" max="11" width="14" style="4" bestFit="1" customWidth="1"/>
    <col min="12" max="16384" width="9.140625" style="3"/>
  </cols>
  <sheetData>
    <row r="1" spans="1:11" s="2" customFormat="1" ht="29.1" customHeight="1" x14ac:dyDescent="0.2">
      <c r="A1" s="50" t="s">
        <v>2251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1938</v>
      </c>
      <c r="E3" s="45" t="s">
        <v>4</v>
      </c>
      <c r="F3" s="45" t="s">
        <v>8</v>
      </c>
      <c r="G3" s="45" t="s">
        <v>2010</v>
      </c>
      <c r="H3" s="45"/>
      <c r="I3" s="45" t="s">
        <v>2013</v>
      </c>
      <c r="J3" s="45" t="s">
        <v>3</v>
      </c>
      <c r="K3" s="47" t="s">
        <v>2</v>
      </c>
    </row>
    <row r="4" spans="1:11" s="1" customFormat="1" ht="30.75" customHeight="1" thickBot="1" x14ac:dyDescent="0.25">
      <c r="A4" s="57"/>
      <c r="B4" s="46"/>
      <c r="C4" s="46"/>
      <c r="D4" s="46"/>
      <c r="E4" s="46"/>
      <c r="F4" s="46"/>
      <c r="G4" s="30" t="s">
        <v>2011</v>
      </c>
      <c r="H4" s="31" t="s">
        <v>2012</v>
      </c>
      <c r="I4" s="46"/>
      <c r="J4" s="46"/>
      <c r="K4" s="48"/>
    </row>
    <row r="5" spans="1:11" ht="15" x14ac:dyDescent="0.2">
      <c r="A5" s="49" t="s">
        <v>402</v>
      </c>
      <c r="B5" s="49"/>
      <c r="C5" s="49"/>
      <c r="D5" s="49"/>
      <c r="E5" s="49"/>
      <c r="F5" s="49"/>
      <c r="G5" s="49"/>
      <c r="H5" s="49"/>
      <c r="I5" s="49"/>
      <c r="J5" s="49"/>
    </row>
    <row r="6" spans="1:11" x14ac:dyDescent="0.2">
      <c r="A6" s="34" t="s">
        <v>1939</v>
      </c>
      <c r="B6" s="5" t="s">
        <v>1940</v>
      </c>
      <c r="C6" s="5" t="s">
        <v>1941</v>
      </c>
      <c r="D6" s="5" t="str">
        <f>"1,1110"</f>
        <v>1,1110</v>
      </c>
      <c r="E6" s="5" t="s">
        <v>17</v>
      </c>
      <c r="F6" s="5" t="s">
        <v>40</v>
      </c>
      <c r="G6" s="6" t="s">
        <v>431</v>
      </c>
      <c r="H6" s="25" t="s">
        <v>1942</v>
      </c>
      <c r="I6" s="34" t="str">
        <f>"1260,0"</f>
        <v>1260,0</v>
      </c>
      <c r="J6" s="37" t="str">
        <f>"1495,0504"</f>
        <v>1495,0504</v>
      </c>
      <c r="K6" s="5" t="s">
        <v>1943</v>
      </c>
    </row>
    <row r="8" spans="1:11" ht="15" x14ac:dyDescent="0.2">
      <c r="A8" s="44" t="s">
        <v>59</v>
      </c>
      <c r="B8" s="44"/>
      <c r="C8" s="44"/>
      <c r="D8" s="44"/>
      <c r="E8" s="44"/>
      <c r="F8" s="44"/>
      <c r="G8" s="44"/>
      <c r="H8" s="44"/>
      <c r="I8" s="44"/>
      <c r="J8" s="44"/>
    </row>
    <row r="9" spans="1:11" x14ac:dyDescent="0.2">
      <c r="A9" s="34" t="s">
        <v>1945</v>
      </c>
      <c r="B9" s="5" t="s">
        <v>1946</v>
      </c>
      <c r="C9" s="5" t="s">
        <v>1947</v>
      </c>
      <c r="D9" s="5" t="str">
        <f>"0,6737"</f>
        <v>0,6737</v>
      </c>
      <c r="E9" s="5" t="s">
        <v>17</v>
      </c>
      <c r="F9" s="5" t="s">
        <v>585</v>
      </c>
      <c r="G9" s="6" t="s">
        <v>264</v>
      </c>
      <c r="H9" s="25" t="s">
        <v>549</v>
      </c>
      <c r="I9" s="34" t="str">
        <f>"2712,5"</f>
        <v>2712,5</v>
      </c>
      <c r="J9" s="37" t="str">
        <f>"1827,2757"</f>
        <v>1827,2757</v>
      </c>
      <c r="K9" s="5" t="s">
        <v>158</v>
      </c>
    </row>
    <row r="11" spans="1:11" ht="15" x14ac:dyDescent="0.2">
      <c r="A11" s="44" t="s">
        <v>96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">
      <c r="A12" s="32" t="s">
        <v>1949</v>
      </c>
      <c r="B12" s="8" t="s">
        <v>1950</v>
      </c>
      <c r="C12" s="8" t="s">
        <v>1951</v>
      </c>
      <c r="D12" s="8" t="str">
        <f>"0,6126"</f>
        <v>0,6126</v>
      </c>
      <c r="E12" s="8" t="s">
        <v>17</v>
      </c>
      <c r="F12" s="8" t="s">
        <v>115</v>
      </c>
      <c r="G12" s="9" t="s">
        <v>32</v>
      </c>
      <c r="H12" s="26" t="s">
        <v>1952</v>
      </c>
      <c r="I12" s="32" t="str">
        <f>"3420,0"</f>
        <v>3420,0</v>
      </c>
      <c r="J12" s="35" t="str">
        <f>"2095,0921"</f>
        <v>2095,0921</v>
      </c>
      <c r="K12" s="8" t="s">
        <v>1953</v>
      </c>
    </row>
    <row r="13" spans="1:11" x14ac:dyDescent="0.2">
      <c r="A13" s="38" t="s">
        <v>1955</v>
      </c>
      <c r="B13" s="14" t="s">
        <v>1956</v>
      </c>
      <c r="C13" s="14" t="s">
        <v>680</v>
      </c>
      <c r="D13" s="14" t="str">
        <f>"0,6263"</f>
        <v>0,6263</v>
      </c>
      <c r="E13" s="14" t="s">
        <v>17</v>
      </c>
      <c r="F13" s="14" t="s">
        <v>40</v>
      </c>
      <c r="G13" s="15" t="s">
        <v>1159</v>
      </c>
      <c r="H13" s="27" t="s">
        <v>549</v>
      </c>
      <c r="I13" s="38" t="str">
        <f>"3062,5"</f>
        <v>3062,5</v>
      </c>
      <c r="J13" s="39" t="str">
        <f>"1918,1968"</f>
        <v>1918,1968</v>
      </c>
      <c r="K13" s="14" t="s">
        <v>1957</v>
      </c>
    </row>
    <row r="14" spans="1:11" x14ac:dyDescent="0.2">
      <c r="A14" s="33" t="s">
        <v>1958</v>
      </c>
      <c r="B14" s="11" t="s">
        <v>1959</v>
      </c>
      <c r="C14" s="11" t="s">
        <v>680</v>
      </c>
      <c r="D14" s="11" t="str">
        <f>"0,6263"</f>
        <v>0,6263</v>
      </c>
      <c r="E14" s="11" t="s">
        <v>17</v>
      </c>
      <c r="F14" s="11" t="s">
        <v>40</v>
      </c>
      <c r="G14" s="12" t="s">
        <v>1159</v>
      </c>
      <c r="H14" s="28" t="s">
        <v>549</v>
      </c>
      <c r="I14" s="33" t="str">
        <f>"3062,5"</f>
        <v>3062,5</v>
      </c>
      <c r="J14" s="36" t="str">
        <f>"2048,6342"</f>
        <v>2048,6342</v>
      </c>
      <c r="K14" s="11" t="s">
        <v>1957</v>
      </c>
    </row>
    <row r="16" spans="1:11" ht="15" x14ac:dyDescent="0.2">
      <c r="A16" s="44" t="s">
        <v>139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1" x14ac:dyDescent="0.2">
      <c r="A17" s="34" t="s">
        <v>1961</v>
      </c>
      <c r="B17" s="5" t="s">
        <v>1962</v>
      </c>
      <c r="C17" s="5" t="s">
        <v>1963</v>
      </c>
      <c r="D17" s="5" t="str">
        <f>"0,5894"</f>
        <v>0,5894</v>
      </c>
      <c r="E17" s="5" t="s">
        <v>17</v>
      </c>
      <c r="F17" s="5" t="s">
        <v>1964</v>
      </c>
      <c r="G17" s="6" t="s">
        <v>416</v>
      </c>
      <c r="H17" s="25" t="s">
        <v>1965</v>
      </c>
      <c r="I17" s="34" t="str">
        <f>"2047,5"</f>
        <v>2047,5</v>
      </c>
      <c r="J17" s="37" t="str">
        <f>"1323,8557"</f>
        <v>1323,8557</v>
      </c>
      <c r="K17" s="5" t="s">
        <v>1966</v>
      </c>
    </row>
    <row r="19" spans="1:11" ht="15" x14ac:dyDescent="0.2">
      <c r="A19" s="44" t="s">
        <v>175</v>
      </c>
      <c r="B19" s="44"/>
      <c r="C19" s="44"/>
      <c r="D19" s="44"/>
      <c r="E19" s="44"/>
      <c r="F19" s="44"/>
      <c r="G19" s="44"/>
      <c r="H19" s="44"/>
      <c r="I19" s="44"/>
      <c r="J19" s="44"/>
    </row>
    <row r="20" spans="1:11" x14ac:dyDescent="0.2">
      <c r="A20" s="32" t="s">
        <v>1968</v>
      </c>
      <c r="B20" s="8" t="s">
        <v>1969</v>
      </c>
      <c r="C20" s="8" t="s">
        <v>1400</v>
      </c>
      <c r="D20" s="8" t="str">
        <f>"0,5735"</f>
        <v>0,5735</v>
      </c>
      <c r="E20" s="8" t="s">
        <v>17</v>
      </c>
      <c r="F20" s="8" t="s">
        <v>1970</v>
      </c>
      <c r="G20" s="9" t="s">
        <v>401</v>
      </c>
      <c r="H20" s="26" t="s">
        <v>1971</v>
      </c>
      <c r="I20" s="32" t="str">
        <f>"2415,0"</f>
        <v>2415,0</v>
      </c>
      <c r="J20" s="35" t="str">
        <f>"1385,1232"</f>
        <v>1385,1232</v>
      </c>
      <c r="K20" s="8"/>
    </row>
    <row r="21" spans="1:11" x14ac:dyDescent="0.2">
      <c r="A21" s="33" t="s">
        <v>1973</v>
      </c>
      <c r="B21" s="11" t="s">
        <v>1974</v>
      </c>
      <c r="C21" s="11" t="s">
        <v>1975</v>
      </c>
      <c r="D21" s="11" t="str">
        <f>"0,5725"</f>
        <v>0,5725</v>
      </c>
      <c r="E21" s="11" t="s">
        <v>17</v>
      </c>
      <c r="F21" s="11" t="s">
        <v>1976</v>
      </c>
      <c r="G21" s="12" t="s">
        <v>401</v>
      </c>
      <c r="H21" s="28" t="s">
        <v>1977</v>
      </c>
      <c r="I21" s="33" t="str">
        <f>"3255,0"</f>
        <v>3255,0</v>
      </c>
      <c r="J21" s="36" t="str">
        <f>"1900,9233"</f>
        <v>1900,9233</v>
      </c>
      <c r="K21" s="11"/>
    </row>
    <row r="23" spans="1:11" ht="15" x14ac:dyDescent="0.2">
      <c r="A23" s="44" t="s">
        <v>196</v>
      </c>
      <c r="B23" s="44"/>
      <c r="C23" s="44"/>
      <c r="D23" s="44"/>
      <c r="E23" s="44"/>
      <c r="F23" s="44"/>
      <c r="G23" s="44"/>
      <c r="H23" s="44"/>
      <c r="I23" s="44"/>
      <c r="J23" s="44"/>
    </row>
    <row r="24" spans="1:11" x14ac:dyDescent="0.2">
      <c r="A24" s="32" t="s">
        <v>1979</v>
      </c>
      <c r="B24" s="8" t="s">
        <v>1980</v>
      </c>
      <c r="C24" s="8" t="s">
        <v>1981</v>
      </c>
      <c r="D24" s="8" t="str">
        <f>"0,5580"</f>
        <v>0,5580</v>
      </c>
      <c r="E24" s="8" t="s">
        <v>17</v>
      </c>
      <c r="F24" s="8" t="s">
        <v>1007</v>
      </c>
      <c r="G24" s="9" t="s">
        <v>66</v>
      </c>
      <c r="H24" s="26" t="s">
        <v>1942</v>
      </c>
      <c r="I24" s="32" t="str">
        <f>"2760,0"</f>
        <v>2760,0</v>
      </c>
      <c r="J24" s="35" t="str">
        <f>"1540,2179"</f>
        <v>1540,2179</v>
      </c>
      <c r="K24" s="8"/>
    </row>
    <row r="25" spans="1:11" x14ac:dyDescent="0.2">
      <c r="A25" s="33" t="s">
        <v>1983</v>
      </c>
      <c r="B25" s="11" t="s">
        <v>1984</v>
      </c>
      <c r="C25" s="11" t="s">
        <v>1985</v>
      </c>
      <c r="D25" s="11" t="str">
        <f>"0,5592"</f>
        <v>0,5592</v>
      </c>
      <c r="E25" s="11" t="s">
        <v>17</v>
      </c>
      <c r="F25" s="11" t="s">
        <v>1964</v>
      </c>
      <c r="G25" s="12" t="s">
        <v>45</v>
      </c>
      <c r="H25" s="28" t="s">
        <v>1986</v>
      </c>
      <c r="I25" s="33" t="str">
        <f>"2137,5"</f>
        <v>2137,5</v>
      </c>
      <c r="J25" s="36" t="str">
        <f>"1232,4542"</f>
        <v>1232,4542</v>
      </c>
      <c r="K25" s="11"/>
    </row>
    <row r="27" spans="1:11" ht="15" x14ac:dyDescent="0.2">
      <c r="A27" s="44" t="s">
        <v>920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11" x14ac:dyDescent="0.2">
      <c r="A28" s="34" t="s">
        <v>922</v>
      </c>
      <c r="B28" s="5" t="s">
        <v>923</v>
      </c>
      <c r="C28" s="5" t="s">
        <v>924</v>
      </c>
      <c r="D28" s="5" t="str">
        <f>"0,5438"</f>
        <v>0,5438</v>
      </c>
      <c r="E28" s="5" t="s">
        <v>17</v>
      </c>
      <c r="F28" s="5" t="s">
        <v>324</v>
      </c>
      <c r="G28" s="6" t="s">
        <v>409</v>
      </c>
      <c r="H28" s="25" t="s">
        <v>1987</v>
      </c>
      <c r="I28" s="34" t="str">
        <f>"2295,0"</f>
        <v>2295,0</v>
      </c>
      <c r="J28" s="37" t="str">
        <f>"1247,9292"</f>
        <v>1247,9292</v>
      </c>
      <c r="K28" s="5"/>
    </row>
    <row r="30" spans="1:11" ht="15" x14ac:dyDescent="0.2">
      <c r="E30" s="17" t="s">
        <v>206</v>
      </c>
    </row>
    <row r="31" spans="1:11" ht="15" x14ac:dyDescent="0.2">
      <c r="E31" s="17" t="s">
        <v>207</v>
      </c>
    </row>
    <row r="32" spans="1:11" ht="15" x14ac:dyDescent="0.2">
      <c r="E32" s="17" t="s">
        <v>208</v>
      </c>
    </row>
    <row r="33" spans="1:5" ht="15" x14ac:dyDescent="0.2">
      <c r="E33" s="17" t="s">
        <v>209</v>
      </c>
    </row>
    <row r="34" spans="1:5" ht="15" x14ac:dyDescent="0.2">
      <c r="E34" s="17" t="s">
        <v>209</v>
      </c>
    </row>
    <row r="35" spans="1:5" ht="15" x14ac:dyDescent="0.2">
      <c r="E35" s="17" t="s">
        <v>210</v>
      </c>
    </row>
    <row r="36" spans="1:5" ht="15" x14ac:dyDescent="0.2">
      <c r="E36" s="17"/>
    </row>
    <row r="38" spans="1:5" ht="18" x14ac:dyDescent="0.25">
      <c r="A38" s="18" t="s">
        <v>211</v>
      </c>
      <c r="B38" s="18"/>
    </row>
    <row r="39" spans="1:5" ht="15" x14ac:dyDescent="0.2">
      <c r="A39" s="19" t="s">
        <v>212</v>
      </c>
      <c r="B39" s="19"/>
    </row>
    <row r="40" spans="1:5" ht="14.25" x14ac:dyDescent="0.2">
      <c r="A40" s="21"/>
      <c r="B40" s="22" t="s">
        <v>1988</v>
      </c>
    </row>
    <row r="41" spans="1:5" ht="15" x14ac:dyDescent="0.2">
      <c r="A41" s="23" t="s">
        <v>213</v>
      </c>
      <c r="B41" s="23" t="s">
        <v>214</v>
      </c>
      <c r="C41" s="23" t="s">
        <v>215</v>
      </c>
      <c r="D41" s="23" t="s">
        <v>216</v>
      </c>
      <c r="E41" s="23" t="s">
        <v>1989</v>
      </c>
    </row>
    <row r="42" spans="1:5" x14ac:dyDescent="0.2">
      <c r="A42" s="20" t="s">
        <v>2229</v>
      </c>
      <c r="B42" s="4" t="s">
        <v>1990</v>
      </c>
      <c r="C42" s="4" t="s">
        <v>520</v>
      </c>
      <c r="D42" s="4" t="s">
        <v>2230</v>
      </c>
      <c r="E42" s="24" t="s">
        <v>2231</v>
      </c>
    </row>
    <row r="44" spans="1:5" ht="15" x14ac:dyDescent="0.2">
      <c r="A44" s="19" t="s">
        <v>226</v>
      </c>
      <c r="B44" s="19"/>
    </row>
    <row r="45" spans="1:5" ht="14.25" x14ac:dyDescent="0.2">
      <c r="A45" s="21"/>
      <c r="B45" s="22" t="s">
        <v>220</v>
      </c>
    </row>
    <row r="46" spans="1:5" ht="15" x14ac:dyDescent="0.2">
      <c r="A46" s="23" t="s">
        <v>213</v>
      </c>
      <c r="B46" s="23" t="s">
        <v>214</v>
      </c>
      <c r="C46" s="23" t="s">
        <v>215</v>
      </c>
      <c r="D46" s="23" t="s">
        <v>216</v>
      </c>
      <c r="E46" s="23" t="s">
        <v>1989</v>
      </c>
    </row>
    <row r="47" spans="1:5" x14ac:dyDescent="0.2">
      <c r="A47" s="20" t="s">
        <v>1948</v>
      </c>
      <c r="B47" s="4" t="s">
        <v>220</v>
      </c>
      <c r="C47" s="4" t="s">
        <v>229</v>
      </c>
      <c r="D47" s="4" t="s">
        <v>1991</v>
      </c>
      <c r="E47" s="24" t="s">
        <v>1992</v>
      </c>
    </row>
    <row r="48" spans="1:5" x14ac:dyDescent="0.2">
      <c r="A48" s="20" t="s">
        <v>1954</v>
      </c>
      <c r="B48" s="4" t="s">
        <v>220</v>
      </c>
      <c r="C48" s="4" t="s">
        <v>229</v>
      </c>
      <c r="D48" s="4" t="s">
        <v>1993</v>
      </c>
      <c r="E48" s="24" t="s">
        <v>1994</v>
      </c>
    </row>
    <row r="49" spans="1:5" x14ac:dyDescent="0.2">
      <c r="A49" s="20" t="s">
        <v>1944</v>
      </c>
      <c r="B49" s="4" t="s">
        <v>220</v>
      </c>
      <c r="C49" s="4" t="s">
        <v>219</v>
      </c>
      <c r="D49" s="4" t="s">
        <v>1995</v>
      </c>
      <c r="E49" s="24" t="s">
        <v>1996</v>
      </c>
    </row>
    <row r="50" spans="1:5" x14ac:dyDescent="0.2">
      <c r="A50" s="20" t="s">
        <v>1978</v>
      </c>
      <c r="B50" s="4" t="s">
        <v>220</v>
      </c>
      <c r="C50" s="4" t="s">
        <v>244</v>
      </c>
      <c r="D50" s="4" t="s">
        <v>1997</v>
      </c>
      <c r="E50" s="24" t="s">
        <v>1998</v>
      </c>
    </row>
    <row r="51" spans="1:5" x14ac:dyDescent="0.2">
      <c r="A51" s="20" t="s">
        <v>1967</v>
      </c>
      <c r="B51" s="4" t="s">
        <v>220</v>
      </c>
      <c r="C51" s="4" t="s">
        <v>235</v>
      </c>
      <c r="D51" s="4" t="s">
        <v>1999</v>
      </c>
      <c r="E51" s="24" t="s">
        <v>2000</v>
      </c>
    </row>
    <row r="52" spans="1:5" x14ac:dyDescent="0.2">
      <c r="A52" s="20" t="s">
        <v>921</v>
      </c>
      <c r="B52" s="4" t="s">
        <v>220</v>
      </c>
      <c r="C52" s="4" t="s">
        <v>944</v>
      </c>
      <c r="D52" s="4" t="s">
        <v>2001</v>
      </c>
      <c r="E52" s="24" t="s">
        <v>2002</v>
      </c>
    </row>
    <row r="54" spans="1:5" ht="14.25" x14ac:dyDescent="0.2">
      <c r="A54" s="21"/>
      <c r="B54" s="22" t="s">
        <v>1988</v>
      </c>
    </row>
    <row r="55" spans="1:5" ht="15" x14ac:dyDescent="0.2">
      <c r="A55" s="23" t="s">
        <v>213</v>
      </c>
      <c r="B55" s="23" t="s">
        <v>214</v>
      </c>
      <c r="C55" s="23" t="s">
        <v>215</v>
      </c>
      <c r="D55" s="23" t="s">
        <v>216</v>
      </c>
      <c r="E55" s="23" t="s">
        <v>1989</v>
      </c>
    </row>
    <row r="56" spans="1:5" x14ac:dyDescent="0.2">
      <c r="A56" s="20" t="s">
        <v>1954</v>
      </c>
      <c r="B56" s="4" t="s">
        <v>1990</v>
      </c>
      <c r="C56" s="4" t="s">
        <v>229</v>
      </c>
      <c r="D56" s="4" t="s">
        <v>1993</v>
      </c>
      <c r="E56" s="24" t="s">
        <v>2003</v>
      </c>
    </row>
    <row r="57" spans="1:5" x14ac:dyDescent="0.2">
      <c r="A57" s="20" t="s">
        <v>1972</v>
      </c>
      <c r="B57" s="4" t="s">
        <v>1990</v>
      </c>
      <c r="C57" s="4" t="s">
        <v>235</v>
      </c>
      <c r="D57" s="4" t="s">
        <v>2004</v>
      </c>
      <c r="E57" s="24" t="s">
        <v>2005</v>
      </c>
    </row>
    <row r="58" spans="1:5" x14ac:dyDescent="0.2">
      <c r="A58" s="20" t="s">
        <v>1960</v>
      </c>
      <c r="B58" s="4" t="s">
        <v>1990</v>
      </c>
      <c r="C58" s="4" t="s">
        <v>231</v>
      </c>
      <c r="D58" s="4" t="s">
        <v>2006</v>
      </c>
      <c r="E58" s="24" t="s">
        <v>2007</v>
      </c>
    </row>
    <row r="59" spans="1:5" x14ac:dyDescent="0.2">
      <c r="A59" s="20" t="s">
        <v>1982</v>
      </c>
      <c r="B59" s="4" t="s">
        <v>1990</v>
      </c>
      <c r="C59" s="4" t="s">
        <v>244</v>
      </c>
      <c r="D59" s="4" t="s">
        <v>2008</v>
      </c>
      <c r="E59" s="24" t="s">
        <v>2009</v>
      </c>
    </row>
    <row r="60" spans="1:5" x14ac:dyDescent="0.2">
      <c r="A60" s="3"/>
      <c r="B60" s="3"/>
      <c r="C60" s="3"/>
      <c r="D60" s="3"/>
      <c r="E60" s="3"/>
    </row>
    <row r="61" spans="1:5" x14ac:dyDescent="0.2">
      <c r="A61" s="3"/>
      <c r="B61" s="3"/>
      <c r="C61" s="3"/>
      <c r="D61" s="3"/>
      <c r="E61" s="3"/>
    </row>
    <row r="62" spans="1:5" x14ac:dyDescent="0.2">
      <c r="A62" s="3"/>
      <c r="B62" s="3"/>
      <c r="C62" s="3"/>
      <c r="D62" s="3"/>
      <c r="E62" s="3"/>
    </row>
    <row r="63" spans="1:5" x14ac:dyDescent="0.2">
      <c r="A63" s="3"/>
      <c r="B63" s="3"/>
      <c r="C63" s="3"/>
      <c r="D63" s="3"/>
      <c r="E63" s="3"/>
    </row>
    <row r="64" spans="1:5" x14ac:dyDescent="0.2">
      <c r="A64" s="3"/>
      <c r="B64" s="3"/>
      <c r="C64" s="3"/>
      <c r="D64" s="3"/>
      <c r="E64" s="3"/>
    </row>
    <row r="65" spans="1:5" x14ac:dyDescent="0.2">
      <c r="A65" s="3"/>
      <c r="B65" s="3"/>
      <c r="C65" s="3"/>
      <c r="D65" s="3"/>
      <c r="E65" s="3"/>
    </row>
    <row r="66" spans="1:5" x14ac:dyDescent="0.2">
      <c r="A66" s="3"/>
      <c r="B66" s="3"/>
      <c r="C66" s="3"/>
      <c r="D66" s="3"/>
      <c r="E66" s="3"/>
    </row>
    <row r="67" spans="1:5" x14ac:dyDescent="0.2">
      <c r="A67" s="3"/>
      <c r="B67" s="3"/>
      <c r="C67" s="3"/>
      <c r="D67" s="3"/>
      <c r="E67" s="3"/>
    </row>
    <row r="68" spans="1:5" x14ac:dyDescent="0.2">
      <c r="A68" s="3"/>
      <c r="B68" s="3"/>
      <c r="C68" s="3"/>
      <c r="D68" s="3"/>
      <c r="E68" s="3"/>
    </row>
    <row r="69" spans="1:5" x14ac:dyDescent="0.2">
      <c r="A69" s="3"/>
      <c r="B69" s="3"/>
      <c r="C69" s="3"/>
      <c r="D69" s="3"/>
      <c r="E69" s="3"/>
    </row>
    <row r="70" spans="1:5" x14ac:dyDescent="0.2">
      <c r="A70" s="3"/>
      <c r="B70" s="3"/>
      <c r="C70" s="3"/>
      <c r="D70" s="3"/>
      <c r="E70" s="3"/>
    </row>
    <row r="71" spans="1:5" x14ac:dyDescent="0.2">
      <c r="A71" s="3"/>
      <c r="B71" s="3"/>
      <c r="C71" s="3"/>
      <c r="D71" s="3"/>
      <c r="E71" s="3"/>
    </row>
  </sheetData>
  <mergeCells count="18">
    <mergeCell ref="K3:K4"/>
    <mergeCell ref="A5:J5"/>
    <mergeCell ref="A8:J8"/>
    <mergeCell ref="A11:J11"/>
    <mergeCell ref="A1:K2"/>
    <mergeCell ref="A3:A4"/>
    <mergeCell ref="B3:B4"/>
    <mergeCell ref="C3:C4"/>
    <mergeCell ref="D3:D4"/>
    <mergeCell ref="E3:E4"/>
    <mergeCell ref="F3:F4"/>
    <mergeCell ref="G3:H3"/>
    <mergeCell ref="A16:J16"/>
    <mergeCell ref="A19:J19"/>
    <mergeCell ref="A23:J23"/>
    <mergeCell ref="A27:J27"/>
    <mergeCell ref="I3:I4"/>
    <mergeCell ref="J3:J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9.85546875" style="4" bestFit="1" customWidth="1"/>
    <col min="7" max="7" width="4.5703125" style="3" bestFit="1" customWidth="1"/>
    <col min="8" max="8" width="4.5703125" style="29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50" t="s">
        <v>2252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1938</v>
      </c>
      <c r="E3" s="45" t="s">
        <v>4</v>
      </c>
      <c r="F3" s="45" t="s">
        <v>8</v>
      </c>
      <c r="G3" s="45" t="s">
        <v>2010</v>
      </c>
      <c r="H3" s="45"/>
      <c r="I3" s="45" t="s">
        <v>2013</v>
      </c>
      <c r="J3" s="45" t="s">
        <v>3</v>
      </c>
      <c r="K3" s="47" t="s">
        <v>2</v>
      </c>
    </row>
    <row r="4" spans="1:11" s="1" customFormat="1" ht="31.5" customHeight="1" thickBot="1" x14ac:dyDescent="0.25">
      <c r="A4" s="57"/>
      <c r="B4" s="46"/>
      <c r="C4" s="46"/>
      <c r="D4" s="46"/>
      <c r="E4" s="46"/>
      <c r="F4" s="46"/>
      <c r="G4" s="30" t="s">
        <v>2011</v>
      </c>
      <c r="H4" s="31" t="s">
        <v>2012</v>
      </c>
      <c r="I4" s="46"/>
      <c r="J4" s="46"/>
      <c r="K4" s="48"/>
    </row>
    <row r="5" spans="1:11" ht="15" x14ac:dyDescent="0.2">
      <c r="A5" s="49" t="s">
        <v>402</v>
      </c>
      <c r="B5" s="49"/>
      <c r="C5" s="49"/>
      <c r="D5" s="49"/>
      <c r="E5" s="49"/>
      <c r="F5" s="49"/>
      <c r="G5" s="49"/>
      <c r="H5" s="49"/>
      <c r="I5" s="49"/>
      <c r="J5" s="49"/>
    </row>
    <row r="6" spans="1:11" x14ac:dyDescent="0.2">
      <c r="A6" s="34" t="s">
        <v>2153</v>
      </c>
      <c r="B6" s="5" t="s">
        <v>2154</v>
      </c>
      <c r="C6" s="5" t="s">
        <v>2155</v>
      </c>
      <c r="D6" s="5" t="str">
        <f>"1,1144"</f>
        <v>1,1144</v>
      </c>
      <c r="E6" s="5" t="s">
        <v>17</v>
      </c>
      <c r="F6" s="5" t="s">
        <v>40</v>
      </c>
      <c r="G6" s="6" t="s">
        <v>2156</v>
      </c>
      <c r="H6" s="25" t="s">
        <v>2157</v>
      </c>
      <c r="I6" s="34" t="str">
        <f>"1210,0"</f>
        <v>1210,0</v>
      </c>
      <c r="J6" s="37" t="str">
        <f>"1348,4240"</f>
        <v>1348,4240</v>
      </c>
      <c r="K6" s="5" t="s">
        <v>158</v>
      </c>
    </row>
    <row r="8" spans="1:11" ht="15" x14ac:dyDescent="0.2">
      <c r="A8" s="44" t="s">
        <v>13</v>
      </c>
      <c r="B8" s="44"/>
      <c r="C8" s="44"/>
      <c r="D8" s="44"/>
      <c r="E8" s="44"/>
      <c r="F8" s="44"/>
      <c r="G8" s="44"/>
      <c r="H8" s="44"/>
      <c r="I8" s="44"/>
      <c r="J8" s="44"/>
    </row>
    <row r="9" spans="1:11" x14ac:dyDescent="0.2">
      <c r="A9" s="34" t="s">
        <v>2158</v>
      </c>
      <c r="B9" s="5" t="s">
        <v>2159</v>
      </c>
      <c r="C9" s="5" t="s">
        <v>2020</v>
      </c>
      <c r="D9" s="5" t="str">
        <f>"1,0177"</f>
        <v>1,0177</v>
      </c>
      <c r="E9" s="5" t="s">
        <v>17</v>
      </c>
      <c r="F9" s="5" t="s">
        <v>87</v>
      </c>
      <c r="G9" s="6" t="s">
        <v>548</v>
      </c>
      <c r="H9" s="25" t="s">
        <v>417</v>
      </c>
      <c r="I9" s="34" t="str">
        <f>"1500,0"</f>
        <v>1500,0</v>
      </c>
      <c r="J9" s="37" t="str">
        <f>"1573,8730"</f>
        <v>1573,8730</v>
      </c>
      <c r="K9" s="5" t="s">
        <v>158</v>
      </c>
    </row>
    <row r="11" spans="1:11" ht="15" x14ac:dyDescent="0.2">
      <c r="E11" s="17" t="s">
        <v>206</v>
      </c>
    </row>
    <row r="12" spans="1:11" ht="15" x14ac:dyDescent="0.2">
      <c r="E12" s="17" t="s">
        <v>207</v>
      </c>
    </row>
    <row r="13" spans="1:11" ht="15" x14ac:dyDescent="0.2">
      <c r="E13" s="17" t="s">
        <v>208</v>
      </c>
    </row>
    <row r="14" spans="1:11" ht="15" x14ac:dyDescent="0.2">
      <c r="E14" s="17" t="s">
        <v>209</v>
      </c>
    </row>
    <row r="15" spans="1:11" ht="15" x14ac:dyDescent="0.2">
      <c r="E15" s="17" t="s">
        <v>209</v>
      </c>
    </row>
    <row r="16" spans="1:11" ht="15" x14ac:dyDescent="0.2">
      <c r="E16" s="17" t="s">
        <v>210</v>
      </c>
    </row>
    <row r="17" spans="1:11" ht="15" x14ac:dyDescent="0.2">
      <c r="E17" s="17"/>
    </row>
    <row r="19" spans="1:11" x14ac:dyDescent="0.2">
      <c r="A19" s="3"/>
      <c r="B19" s="29"/>
      <c r="D19" s="3"/>
      <c r="F19" s="3"/>
      <c r="H19" s="3"/>
      <c r="I19" s="3"/>
      <c r="K19" s="3"/>
    </row>
    <row r="20" spans="1:11" x14ac:dyDescent="0.2">
      <c r="A20" s="3"/>
      <c r="B20" s="29"/>
      <c r="D20" s="3"/>
      <c r="F20" s="3"/>
      <c r="H20" s="3"/>
      <c r="I20" s="3"/>
      <c r="K20" s="3"/>
    </row>
    <row r="21" spans="1:11" x14ac:dyDescent="0.2">
      <c r="A21" s="3"/>
      <c r="B21" s="29"/>
      <c r="D21" s="3"/>
      <c r="F21" s="3"/>
      <c r="H21" s="3"/>
      <c r="I21" s="3"/>
      <c r="K21" s="3"/>
    </row>
    <row r="22" spans="1:11" x14ac:dyDescent="0.2">
      <c r="A22" s="3"/>
      <c r="B22" s="29"/>
      <c r="D22" s="3"/>
      <c r="F22" s="3"/>
      <c r="H22" s="3"/>
      <c r="I22" s="3"/>
      <c r="K22" s="3"/>
    </row>
    <row r="23" spans="1:11" x14ac:dyDescent="0.2">
      <c r="A23" s="3"/>
      <c r="B23" s="29"/>
      <c r="D23" s="3"/>
      <c r="F23" s="3"/>
      <c r="H23" s="3"/>
      <c r="I23" s="3"/>
      <c r="K23" s="3"/>
    </row>
    <row r="24" spans="1:11" x14ac:dyDescent="0.2">
      <c r="A24" s="3"/>
      <c r="B24" s="29"/>
      <c r="D24" s="3"/>
      <c r="F24" s="3"/>
      <c r="H24" s="3"/>
      <c r="I24" s="3"/>
      <c r="K24" s="3"/>
    </row>
    <row r="25" spans="1:11" x14ac:dyDescent="0.2">
      <c r="A25" s="3"/>
      <c r="B25" s="29"/>
      <c r="D25" s="3"/>
      <c r="F25" s="3"/>
      <c r="H25" s="3"/>
      <c r="I25" s="3"/>
      <c r="K25" s="3"/>
    </row>
    <row r="26" spans="1:11" x14ac:dyDescent="0.2">
      <c r="A26" s="3"/>
      <c r="B26" s="29"/>
      <c r="D26" s="3"/>
      <c r="F26" s="3"/>
      <c r="H26" s="3"/>
      <c r="I26" s="3"/>
      <c r="K26" s="3"/>
    </row>
    <row r="27" spans="1:11" x14ac:dyDescent="0.2">
      <c r="A27" s="3"/>
      <c r="B27" s="29"/>
      <c r="D27" s="3"/>
      <c r="F27" s="3"/>
      <c r="H27" s="3"/>
      <c r="I27" s="3"/>
      <c r="K27" s="3"/>
    </row>
    <row r="28" spans="1:11" x14ac:dyDescent="0.2">
      <c r="A28" s="3"/>
      <c r="B28" s="29"/>
      <c r="D28" s="3"/>
      <c r="F28" s="3"/>
      <c r="H28" s="3"/>
      <c r="I28" s="3"/>
      <c r="K28" s="3"/>
    </row>
    <row r="29" spans="1:11" x14ac:dyDescent="0.2">
      <c r="A29" s="3"/>
      <c r="B29" s="29"/>
      <c r="D29" s="3"/>
      <c r="F29" s="3"/>
      <c r="H29" s="3"/>
      <c r="I29" s="3"/>
      <c r="K29" s="3"/>
    </row>
  </sheetData>
  <mergeCells count="13"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topLeftCell="A22" workbookViewId="0">
      <selection activeCell="F55" sqref="F55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2.85546875" style="4" bestFit="1" customWidth="1"/>
    <col min="7" max="7" width="5.5703125" style="3" bestFit="1" customWidth="1"/>
    <col min="8" max="8" width="10.42578125" style="29" bestFit="1" customWidth="1"/>
    <col min="9" max="9" width="8.85546875" style="4" bestFit="1" customWidth="1"/>
    <col min="10" max="10" width="9.5703125" style="3" bestFit="1" customWidth="1"/>
    <col min="11" max="11" width="24.5703125" style="4" bestFit="1" customWidth="1"/>
    <col min="12" max="16384" width="9.140625" style="3"/>
  </cols>
  <sheetData>
    <row r="1" spans="1:11" s="2" customFormat="1" ht="29.1" customHeight="1" x14ac:dyDescent="0.2">
      <c r="A1" s="50" t="s">
        <v>2253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5"/>
    </row>
    <row r="3" spans="1:1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1938</v>
      </c>
      <c r="E3" s="45" t="s">
        <v>4</v>
      </c>
      <c r="F3" s="45" t="s">
        <v>8</v>
      </c>
      <c r="G3" s="45" t="s">
        <v>2010</v>
      </c>
      <c r="H3" s="45"/>
      <c r="I3" s="45" t="s">
        <v>2013</v>
      </c>
      <c r="J3" s="45" t="s">
        <v>3</v>
      </c>
      <c r="K3" s="47" t="s">
        <v>2</v>
      </c>
    </row>
    <row r="4" spans="1:11" s="1" customFormat="1" ht="32.25" customHeight="1" thickBot="1" x14ac:dyDescent="0.25">
      <c r="A4" s="57"/>
      <c r="B4" s="46"/>
      <c r="C4" s="46"/>
      <c r="D4" s="46"/>
      <c r="E4" s="46"/>
      <c r="F4" s="46"/>
      <c r="G4" s="30" t="s">
        <v>2011</v>
      </c>
      <c r="H4" s="31" t="s">
        <v>2012</v>
      </c>
      <c r="I4" s="46"/>
      <c r="J4" s="46"/>
      <c r="K4" s="48"/>
    </row>
    <row r="5" spans="1:11" ht="15" x14ac:dyDescent="0.2">
      <c r="A5" s="49" t="s">
        <v>425</v>
      </c>
      <c r="B5" s="49"/>
      <c r="C5" s="49"/>
      <c r="D5" s="49"/>
      <c r="E5" s="49"/>
      <c r="F5" s="49"/>
      <c r="G5" s="49"/>
      <c r="H5" s="49"/>
      <c r="I5" s="49"/>
      <c r="J5" s="49"/>
    </row>
    <row r="6" spans="1:11" x14ac:dyDescent="0.2">
      <c r="A6" s="34" t="s">
        <v>2022</v>
      </c>
      <c r="B6" s="5" t="s">
        <v>1331</v>
      </c>
      <c r="C6" s="5" t="s">
        <v>2023</v>
      </c>
      <c r="D6" s="5" t="str">
        <f>"1,0591"</f>
        <v>1,0591</v>
      </c>
      <c r="E6" s="5" t="s">
        <v>17</v>
      </c>
      <c r="F6" s="5" t="s">
        <v>40</v>
      </c>
      <c r="G6" s="6" t="s">
        <v>432</v>
      </c>
      <c r="H6" s="25" t="s">
        <v>2024</v>
      </c>
      <c r="I6" s="34" t="str">
        <f>"935,0"</f>
        <v>935,0</v>
      </c>
      <c r="J6" s="37" t="str">
        <f>"990,2585"</f>
        <v>990,2585</v>
      </c>
      <c r="K6" s="5" t="s">
        <v>158</v>
      </c>
    </row>
    <row r="8" spans="1:11" ht="15" x14ac:dyDescent="0.2">
      <c r="A8" s="44" t="s">
        <v>425</v>
      </c>
      <c r="B8" s="44"/>
      <c r="C8" s="44"/>
      <c r="D8" s="44"/>
      <c r="E8" s="44"/>
      <c r="F8" s="44"/>
      <c r="G8" s="44"/>
      <c r="H8" s="44"/>
      <c r="I8" s="44"/>
      <c r="J8" s="44"/>
    </row>
    <row r="9" spans="1:11" x14ac:dyDescent="0.2">
      <c r="A9" s="34" t="s">
        <v>2026</v>
      </c>
      <c r="B9" s="5" t="s">
        <v>2027</v>
      </c>
      <c r="C9" s="5" t="s">
        <v>1054</v>
      </c>
      <c r="D9" s="5" t="str">
        <f>"0,8959"</f>
        <v>0,8959</v>
      </c>
      <c r="E9" s="5" t="s">
        <v>17</v>
      </c>
      <c r="F9" s="5" t="s">
        <v>40</v>
      </c>
      <c r="G9" s="6" t="s">
        <v>564</v>
      </c>
      <c r="H9" s="25" t="s">
        <v>549</v>
      </c>
      <c r="I9" s="34" t="str">
        <f>"2012,5"</f>
        <v>2012,5</v>
      </c>
      <c r="J9" s="37" t="str">
        <f>"2327,5415"</f>
        <v>2327,5415</v>
      </c>
      <c r="K9" s="5"/>
    </row>
    <row r="11" spans="1:11" ht="15" x14ac:dyDescent="0.2">
      <c r="A11" s="44" t="s">
        <v>13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">
      <c r="A12" s="34" t="s">
        <v>2029</v>
      </c>
      <c r="B12" s="5" t="s">
        <v>2030</v>
      </c>
      <c r="C12" s="5" t="s">
        <v>1080</v>
      </c>
      <c r="D12" s="5" t="str">
        <f>"0,8734"</f>
        <v>0,8734</v>
      </c>
      <c r="E12" s="5" t="s">
        <v>17</v>
      </c>
      <c r="F12" s="5" t="s">
        <v>40</v>
      </c>
      <c r="G12" s="6" t="s">
        <v>564</v>
      </c>
      <c r="H12" s="25" t="s">
        <v>1965</v>
      </c>
      <c r="I12" s="34" t="str">
        <f>"1207,5"</f>
        <v>1207,5</v>
      </c>
      <c r="J12" s="37" t="str">
        <f>"1054,5702"</f>
        <v>1054,5702</v>
      </c>
      <c r="K12" s="5"/>
    </row>
    <row r="14" spans="1:11" ht="15" x14ac:dyDescent="0.2">
      <c r="A14" s="44" t="s">
        <v>23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1" x14ac:dyDescent="0.2">
      <c r="A15" s="34" t="s">
        <v>2032</v>
      </c>
      <c r="B15" s="5" t="s">
        <v>2033</v>
      </c>
      <c r="C15" s="5" t="s">
        <v>2034</v>
      </c>
      <c r="D15" s="5" t="str">
        <f>"0,7522"</f>
        <v>0,7522</v>
      </c>
      <c r="E15" s="5" t="s">
        <v>17</v>
      </c>
      <c r="F15" s="5" t="s">
        <v>459</v>
      </c>
      <c r="G15" s="6" t="s">
        <v>407</v>
      </c>
      <c r="H15" s="25" t="s">
        <v>81</v>
      </c>
      <c r="I15" s="34" t="str">
        <f>"6750,0"</f>
        <v>6750,0</v>
      </c>
      <c r="J15" s="37" t="str">
        <f>"5077,3501"</f>
        <v>5077,3501</v>
      </c>
      <c r="K15" s="5" t="s">
        <v>2035</v>
      </c>
    </row>
    <row r="17" spans="1:11" ht="15" x14ac:dyDescent="0.2">
      <c r="A17" s="44" t="s">
        <v>36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1" x14ac:dyDescent="0.2">
      <c r="A18" s="32" t="s">
        <v>2037</v>
      </c>
      <c r="B18" s="8" t="s">
        <v>2038</v>
      </c>
      <c r="C18" s="8" t="s">
        <v>2039</v>
      </c>
      <c r="D18" s="8" t="str">
        <f>"0,7340"</f>
        <v>0,7340</v>
      </c>
      <c r="E18" s="8" t="s">
        <v>17</v>
      </c>
      <c r="F18" s="8" t="s">
        <v>459</v>
      </c>
      <c r="G18" s="9" t="s">
        <v>30</v>
      </c>
      <c r="H18" s="26" t="s">
        <v>1986</v>
      </c>
      <c r="I18" s="32" t="str">
        <f>"1330,0"</f>
        <v>1330,0</v>
      </c>
      <c r="J18" s="35" t="str">
        <f>"976,1535"</f>
        <v>976,1535</v>
      </c>
      <c r="K18" s="8"/>
    </row>
    <row r="19" spans="1:11" x14ac:dyDescent="0.2">
      <c r="A19" s="33" t="s">
        <v>1195</v>
      </c>
      <c r="B19" s="11" t="s">
        <v>2040</v>
      </c>
      <c r="C19" s="11" t="s">
        <v>747</v>
      </c>
      <c r="D19" s="11" t="str">
        <f>"0,6940"</f>
        <v>0,6940</v>
      </c>
      <c r="E19" s="11" t="s">
        <v>17</v>
      </c>
      <c r="F19" s="11" t="s">
        <v>40</v>
      </c>
      <c r="G19" s="12" t="s">
        <v>21</v>
      </c>
      <c r="H19" s="28" t="s">
        <v>2041</v>
      </c>
      <c r="I19" s="33" t="str">
        <f>"2400,0"</f>
        <v>2400,0</v>
      </c>
      <c r="J19" s="36" t="str">
        <f>"1717,2336"</f>
        <v>1717,2336</v>
      </c>
      <c r="K19" s="11" t="s">
        <v>2199</v>
      </c>
    </row>
    <row r="21" spans="1:11" ht="15" x14ac:dyDescent="0.2">
      <c r="A21" s="44" t="s">
        <v>59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1" x14ac:dyDescent="0.2">
      <c r="A22" s="32" t="s">
        <v>1219</v>
      </c>
      <c r="B22" s="8" t="s">
        <v>1220</v>
      </c>
      <c r="C22" s="8" t="s">
        <v>646</v>
      </c>
      <c r="D22" s="8" t="str">
        <f>"0,6724"</f>
        <v>0,6724</v>
      </c>
      <c r="E22" s="8" t="s">
        <v>17</v>
      </c>
      <c r="F22" s="8" t="s">
        <v>1221</v>
      </c>
      <c r="G22" s="9" t="s">
        <v>264</v>
      </c>
      <c r="H22" s="26" t="s">
        <v>2042</v>
      </c>
      <c r="I22" s="32" t="str">
        <f>"2092,5"</f>
        <v>2092,5</v>
      </c>
      <c r="J22" s="35" t="str">
        <f>"1406,9970"</f>
        <v>1406,9970</v>
      </c>
      <c r="K22" s="8"/>
    </row>
    <row r="23" spans="1:11" x14ac:dyDescent="0.2">
      <c r="A23" s="38" t="s">
        <v>2044</v>
      </c>
      <c r="B23" s="14" t="s">
        <v>2045</v>
      </c>
      <c r="C23" s="14" t="s">
        <v>2046</v>
      </c>
      <c r="D23" s="14" t="str">
        <f>"0,6730"</f>
        <v>0,6730</v>
      </c>
      <c r="E23" s="14" t="s">
        <v>17</v>
      </c>
      <c r="F23" s="14" t="s">
        <v>40</v>
      </c>
      <c r="G23" s="15" t="s">
        <v>264</v>
      </c>
      <c r="H23" s="27" t="s">
        <v>2047</v>
      </c>
      <c r="I23" s="38" t="str">
        <f>"2790,0"</f>
        <v>2790,0</v>
      </c>
      <c r="J23" s="39" t="str">
        <f>"1877,8095"</f>
        <v>1877,8095</v>
      </c>
      <c r="K23" s="14" t="s">
        <v>2048</v>
      </c>
    </row>
    <row r="24" spans="1:11" x14ac:dyDescent="0.2">
      <c r="A24" s="38" t="s">
        <v>2050</v>
      </c>
      <c r="B24" s="14" t="s">
        <v>2051</v>
      </c>
      <c r="C24" s="14" t="s">
        <v>62</v>
      </c>
      <c r="D24" s="14" t="str">
        <f>"0,6749"</f>
        <v>0,6749</v>
      </c>
      <c r="E24" s="14" t="s">
        <v>17</v>
      </c>
      <c r="F24" s="14" t="s">
        <v>908</v>
      </c>
      <c r="G24" s="15" t="s">
        <v>264</v>
      </c>
      <c r="H24" s="27" t="s">
        <v>2052</v>
      </c>
      <c r="I24" s="38" t="str">
        <f>"2015,0"</f>
        <v>2015,0</v>
      </c>
      <c r="J24" s="39" t="str">
        <f>"1359,9235"</f>
        <v>1359,9235</v>
      </c>
      <c r="K24" s="14"/>
    </row>
    <row r="25" spans="1:11" x14ac:dyDescent="0.2">
      <c r="A25" s="38" t="s">
        <v>2054</v>
      </c>
      <c r="B25" s="14" t="s">
        <v>2055</v>
      </c>
      <c r="C25" s="14" t="s">
        <v>2056</v>
      </c>
      <c r="D25" s="14" t="str">
        <f>"0,6832"</f>
        <v>0,6832</v>
      </c>
      <c r="E25" s="14" t="s">
        <v>17</v>
      </c>
      <c r="F25" s="14" t="s">
        <v>1179</v>
      </c>
      <c r="G25" s="15" t="s">
        <v>264</v>
      </c>
      <c r="H25" s="27" t="s">
        <v>1942</v>
      </c>
      <c r="I25" s="38" t="str">
        <f>"1860,0"</f>
        <v>1860,0</v>
      </c>
      <c r="J25" s="39" t="str">
        <f>"1270,7520"</f>
        <v>1270,7520</v>
      </c>
      <c r="K25" s="14" t="s">
        <v>2057</v>
      </c>
    </row>
    <row r="26" spans="1:11" x14ac:dyDescent="0.2">
      <c r="A26" s="38" t="s">
        <v>2058</v>
      </c>
      <c r="B26" s="14" t="s">
        <v>2059</v>
      </c>
      <c r="C26" s="14" t="s">
        <v>2056</v>
      </c>
      <c r="D26" s="14" t="str">
        <f>"0,6832"</f>
        <v>0,6832</v>
      </c>
      <c r="E26" s="14" t="s">
        <v>17</v>
      </c>
      <c r="F26" s="14" t="s">
        <v>1179</v>
      </c>
      <c r="G26" s="15" t="s">
        <v>264</v>
      </c>
      <c r="H26" s="27" t="s">
        <v>1942</v>
      </c>
      <c r="I26" s="38" t="str">
        <f>"1860,0"</f>
        <v>1860,0</v>
      </c>
      <c r="J26" s="39" t="str">
        <f>"1270,7520"</f>
        <v>1270,7520</v>
      </c>
      <c r="K26" s="14" t="s">
        <v>2057</v>
      </c>
    </row>
    <row r="27" spans="1:11" x14ac:dyDescent="0.2">
      <c r="A27" s="38" t="s">
        <v>2061</v>
      </c>
      <c r="B27" s="14" t="s">
        <v>2062</v>
      </c>
      <c r="C27" s="14" t="s">
        <v>606</v>
      </c>
      <c r="D27" s="14" t="str">
        <f>"0,6589"</f>
        <v>0,6589</v>
      </c>
      <c r="E27" s="14" t="s">
        <v>17</v>
      </c>
      <c r="F27" s="14" t="s">
        <v>115</v>
      </c>
      <c r="G27" s="15" t="s">
        <v>31</v>
      </c>
      <c r="H27" s="27" t="s">
        <v>1987</v>
      </c>
      <c r="I27" s="38" t="str">
        <f>"1440,0"</f>
        <v>1440,0</v>
      </c>
      <c r="J27" s="39" t="str">
        <f>"958,3768"</f>
        <v>958,3768</v>
      </c>
      <c r="K27" s="14" t="s">
        <v>1420</v>
      </c>
    </row>
    <row r="28" spans="1:11" x14ac:dyDescent="0.2">
      <c r="A28" s="33" t="s">
        <v>2064</v>
      </c>
      <c r="B28" s="11" t="s">
        <v>2065</v>
      </c>
      <c r="C28" s="11" t="s">
        <v>2056</v>
      </c>
      <c r="D28" s="11" t="str">
        <f>"0,6832"</f>
        <v>0,6832</v>
      </c>
      <c r="E28" s="11" t="s">
        <v>17</v>
      </c>
      <c r="F28" s="11" t="s">
        <v>2066</v>
      </c>
      <c r="G28" s="12" t="s">
        <v>264</v>
      </c>
      <c r="H28" s="28" t="s">
        <v>2052</v>
      </c>
      <c r="I28" s="33" t="str">
        <f>"2015,0"</f>
        <v>2015,0</v>
      </c>
      <c r="J28" s="36" t="str">
        <f>"1745,5897"</f>
        <v>1745,5897</v>
      </c>
      <c r="K28" s="11"/>
    </row>
    <row r="30" spans="1:11" ht="15" x14ac:dyDescent="0.2">
      <c r="A30" s="44" t="s">
        <v>96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11" x14ac:dyDescent="0.2">
      <c r="A31" s="32" t="s">
        <v>2068</v>
      </c>
      <c r="B31" s="8" t="s">
        <v>2069</v>
      </c>
      <c r="C31" s="8" t="s">
        <v>2070</v>
      </c>
      <c r="D31" s="8" t="str">
        <f>"0,6363"</f>
        <v>0,6363</v>
      </c>
      <c r="E31" s="8" t="s">
        <v>17</v>
      </c>
      <c r="F31" s="8" t="s">
        <v>40</v>
      </c>
      <c r="G31" s="9" t="s">
        <v>269</v>
      </c>
      <c r="H31" s="26" t="s">
        <v>1952</v>
      </c>
      <c r="I31" s="32" t="str">
        <f>"3230,0"</f>
        <v>3230,0</v>
      </c>
      <c r="J31" s="35" t="str">
        <f>"2055,2491"</f>
        <v>2055,2491</v>
      </c>
      <c r="K31" s="8" t="s">
        <v>2071</v>
      </c>
    </row>
    <row r="32" spans="1:11" x14ac:dyDescent="0.2">
      <c r="A32" s="38" t="s">
        <v>2073</v>
      </c>
      <c r="B32" s="14" t="s">
        <v>2074</v>
      </c>
      <c r="C32" s="14" t="s">
        <v>2075</v>
      </c>
      <c r="D32" s="14" t="str">
        <f>"0,6349"</f>
        <v>0,6349</v>
      </c>
      <c r="E32" s="14" t="s">
        <v>17</v>
      </c>
      <c r="F32" s="14" t="s">
        <v>324</v>
      </c>
      <c r="G32" s="15" t="s">
        <v>269</v>
      </c>
      <c r="H32" s="27" t="s">
        <v>549</v>
      </c>
      <c r="I32" s="38" t="str">
        <f>"2975,0"</f>
        <v>2975,0</v>
      </c>
      <c r="J32" s="39" t="str">
        <f>"1888,9762"</f>
        <v>1888,9762</v>
      </c>
      <c r="K32" s="14"/>
    </row>
    <row r="33" spans="1:11" x14ac:dyDescent="0.2">
      <c r="A33" s="38" t="s">
        <v>2076</v>
      </c>
      <c r="B33" s="14" t="s">
        <v>1259</v>
      </c>
      <c r="C33" s="14" t="s">
        <v>293</v>
      </c>
      <c r="D33" s="14" t="str">
        <f>"0,6161"</f>
        <v>0,6161</v>
      </c>
      <c r="E33" s="14" t="s">
        <v>17</v>
      </c>
      <c r="F33" s="14" t="s">
        <v>1260</v>
      </c>
      <c r="G33" s="15" t="s">
        <v>32</v>
      </c>
      <c r="H33" s="27" t="s">
        <v>1977</v>
      </c>
      <c r="I33" s="38" t="str">
        <f>"2790,0"</f>
        <v>2790,0</v>
      </c>
      <c r="J33" s="39" t="str">
        <f>"1718,7795"</f>
        <v>1718,7795</v>
      </c>
      <c r="K33" s="14"/>
    </row>
    <row r="34" spans="1:11" x14ac:dyDescent="0.2">
      <c r="A34" s="38" t="s">
        <v>2068</v>
      </c>
      <c r="B34" s="14" t="s">
        <v>2077</v>
      </c>
      <c r="C34" s="14" t="s">
        <v>2070</v>
      </c>
      <c r="D34" s="14" t="str">
        <f>"0,6363"</f>
        <v>0,6363</v>
      </c>
      <c r="E34" s="14" t="s">
        <v>17</v>
      </c>
      <c r="F34" s="14" t="s">
        <v>40</v>
      </c>
      <c r="G34" s="15" t="s">
        <v>269</v>
      </c>
      <c r="H34" s="27" t="s">
        <v>1952</v>
      </c>
      <c r="I34" s="38" t="str">
        <f>"3230,0"</f>
        <v>3230,0</v>
      </c>
      <c r="J34" s="39" t="str">
        <f>"2143,6248"</f>
        <v>2143,6248</v>
      </c>
      <c r="K34" s="14" t="s">
        <v>2071</v>
      </c>
    </row>
    <row r="35" spans="1:11" x14ac:dyDescent="0.2">
      <c r="A35" s="38" t="s">
        <v>2079</v>
      </c>
      <c r="B35" s="14" t="s">
        <v>2080</v>
      </c>
      <c r="C35" s="14" t="s">
        <v>2081</v>
      </c>
      <c r="D35" s="14" t="str">
        <f>"0,6368"</f>
        <v>0,6368</v>
      </c>
      <c r="E35" s="14" t="s">
        <v>17</v>
      </c>
      <c r="F35" s="14" t="s">
        <v>87</v>
      </c>
      <c r="G35" s="15" t="s">
        <v>269</v>
      </c>
      <c r="H35" s="27" t="s">
        <v>2021</v>
      </c>
      <c r="I35" s="38" t="str">
        <f>"2890,0"</f>
        <v>2890,0</v>
      </c>
      <c r="J35" s="39" t="str">
        <f>"2018,8661"</f>
        <v>2018,8661</v>
      </c>
      <c r="K35" s="14"/>
    </row>
    <row r="36" spans="1:11" x14ac:dyDescent="0.2">
      <c r="A36" s="38" t="s">
        <v>2083</v>
      </c>
      <c r="B36" s="14" t="s">
        <v>2084</v>
      </c>
      <c r="C36" s="14" t="s">
        <v>485</v>
      </c>
      <c r="D36" s="14" t="str">
        <f>"0,6173"</f>
        <v>0,6173</v>
      </c>
      <c r="E36" s="14" t="s">
        <v>17</v>
      </c>
      <c r="F36" s="14" t="s">
        <v>277</v>
      </c>
      <c r="G36" s="15" t="s">
        <v>32</v>
      </c>
      <c r="H36" s="27" t="s">
        <v>2085</v>
      </c>
      <c r="I36" s="38" t="str">
        <f>"2520,0"</f>
        <v>2520,0</v>
      </c>
      <c r="J36" s="39" t="str">
        <f>"1731,3783"</f>
        <v>1731,3783</v>
      </c>
      <c r="K36" s="14"/>
    </row>
    <row r="37" spans="1:11" x14ac:dyDescent="0.2">
      <c r="A37" s="33" t="s">
        <v>2087</v>
      </c>
      <c r="B37" s="11" t="s">
        <v>2088</v>
      </c>
      <c r="C37" s="11" t="s">
        <v>2089</v>
      </c>
      <c r="D37" s="11" t="str">
        <f>"0,6396"</f>
        <v>0,6396</v>
      </c>
      <c r="E37" s="11" t="s">
        <v>17</v>
      </c>
      <c r="F37" s="11" t="s">
        <v>430</v>
      </c>
      <c r="G37" s="12" t="s">
        <v>269</v>
      </c>
      <c r="H37" s="28" t="s">
        <v>1942</v>
      </c>
      <c r="I37" s="33" t="str">
        <f>"2040,0"</f>
        <v>2040,0</v>
      </c>
      <c r="J37" s="36" t="str">
        <f>"1317,9348"</f>
        <v>1317,9348</v>
      </c>
      <c r="K37" s="11" t="s">
        <v>1103</v>
      </c>
    </row>
    <row r="39" spans="1:11" ht="15" x14ac:dyDescent="0.2">
      <c r="A39" s="44" t="s">
        <v>139</v>
      </c>
      <c r="B39" s="44"/>
      <c r="C39" s="44"/>
      <c r="D39" s="44"/>
      <c r="E39" s="44"/>
      <c r="F39" s="44"/>
      <c r="G39" s="44"/>
      <c r="H39" s="44"/>
      <c r="I39" s="44"/>
      <c r="J39" s="44"/>
    </row>
    <row r="40" spans="1:11" x14ac:dyDescent="0.2">
      <c r="A40" s="32" t="s">
        <v>2091</v>
      </c>
      <c r="B40" s="8" t="s">
        <v>1597</v>
      </c>
      <c r="C40" s="8" t="s">
        <v>2092</v>
      </c>
      <c r="D40" s="8" t="str">
        <f>"0,6003"</f>
        <v>0,6003</v>
      </c>
      <c r="E40" s="8" t="s">
        <v>17</v>
      </c>
      <c r="F40" s="8" t="s">
        <v>40</v>
      </c>
      <c r="G40" s="9" t="s">
        <v>270</v>
      </c>
      <c r="H40" s="26" t="s">
        <v>2085</v>
      </c>
      <c r="I40" s="32" t="str">
        <f>"2660,0"</f>
        <v>2660,0</v>
      </c>
      <c r="J40" s="35" t="str">
        <f>"1596,7980"</f>
        <v>1596,7980</v>
      </c>
      <c r="K40" s="8"/>
    </row>
    <row r="41" spans="1:11" x14ac:dyDescent="0.2">
      <c r="A41" s="38" t="s">
        <v>2094</v>
      </c>
      <c r="B41" s="14" t="s">
        <v>2095</v>
      </c>
      <c r="C41" s="14" t="s">
        <v>1359</v>
      </c>
      <c r="D41" s="14" t="str">
        <f>"0,5850"</f>
        <v>0,5850</v>
      </c>
      <c r="E41" s="14" t="s">
        <v>17</v>
      </c>
      <c r="F41" s="14" t="s">
        <v>40</v>
      </c>
      <c r="G41" s="15" t="s">
        <v>81</v>
      </c>
      <c r="H41" s="27" t="s">
        <v>2096</v>
      </c>
      <c r="I41" s="38" t="str">
        <f>"2000,0"</f>
        <v>2000,0</v>
      </c>
      <c r="J41" s="39" t="str">
        <f>"1170,1000"</f>
        <v>1170,1000</v>
      </c>
      <c r="K41" s="14"/>
    </row>
    <row r="42" spans="1:11" x14ac:dyDescent="0.2">
      <c r="A42" s="38" t="s">
        <v>2091</v>
      </c>
      <c r="B42" s="14" t="s">
        <v>2097</v>
      </c>
      <c r="C42" s="14" t="s">
        <v>2092</v>
      </c>
      <c r="D42" s="14" t="str">
        <f>"0,6003"</f>
        <v>0,6003</v>
      </c>
      <c r="E42" s="14" t="s">
        <v>17</v>
      </c>
      <c r="F42" s="14" t="s">
        <v>40</v>
      </c>
      <c r="G42" s="15" t="s">
        <v>270</v>
      </c>
      <c r="H42" s="27" t="s">
        <v>2085</v>
      </c>
      <c r="I42" s="38" t="str">
        <f>"2660,0"</f>
        <v>2660,0</v>
      </c>
      <c r="J42" s="39" t="str">
        <f>"1596,7980"</f>
        <v>1596,7980</v>
      </c>
      <c r="K42" s="14"/>
    </row>
    <row r="43" spans="1:11" x14ac:dyDescent="0.2">
      <c r="A43" s="33" t="s">
        <v>1349</v>
      </c>
      <c r="B43" s="11" t="s">
        <v>2098</v>
      </c>
      <c r="C43" s="11" t="s">
        <v>982</v>
      </c>
      <c r="D43" s="11" t="str">
        <f>"0,5823"</f>
        <v>0,5823</v>
      </c>
      <c r="E43" s="11" t="s">
        <v>17</v>
      </c>
      <c r="F43" s="11" t="s">
        <v>40</v>
      </c>
      <c r="G43" s="12" t="s">
        <v>81</v>
      </c>
      <c r="H43" s="28" t="s">
        <v>1987</v>
      </c>
      <c r="I43" s="33" t="str">
        <f>"1800,0"</f>
        <v>1800,0</v>
      </c>
      <c r="J43" s="36" t="str">
        <f>"1058,6214"</f>
        <v>1058,6214</v>
      </c>
      <c r="K43" s="11"/>
    </row>
    <row r="45" spans="1:11" ht="15" x14ac:dyDescent="0.2">
      <c r="A45" s="44" t="s">
        <v>175</v>
      </c>
      <c r="B45" s="44"/>
      <c r="C45" s="44"/>
      <c r="D45" s="44"/>
      <c r="E45" s="44"/>
      <c r="F45" s="44"/>
      <c r="G45" s="44"/>
      <c r="H45" s="44"/>
      <c r="I45" s="44"/>
      <c r="J45" s="44"/>
    </row>
    <row r="46" spans="1:11" x14ac:dyDescent="0.2">
      <c r="A46" s="32" t="s">
        <v>2100</v>
      </c>
      <c r="B46" s="8" t="s">
        <v>2101</v>
      </c>
      <c r="C46" s="8" t="s">
        <v>2102</v>
      </c>
      <c r="D46" s="8" t="str">
        <f>"0,5774"</f>
        <v>0,5774</v>
      </c>
      <c r="E46" s="8" t="s">
        <v>17</v>
      </c>
      <c r="F46" s="8" t="s">
        <v>40</v>
      </c>
      <c r="G46" s="9" t="s">
        <v>43</v>
      </c>
      <c r="H46" s="26" t="s">
        <v>2041</v>
      </c>
      <c r="I46" s="32" t="str">
        <f>"3280,0"</f>
        <v>3280,0</v>
      </c>
      <c r="J46" s="35" t="str">
        <f>"1893,8721"</f>
        <v>1893,8721</v>
      </c>
      <c r="K46" s="8"/>
    </row>
    <row r="47" spans="1:11" x14ac:dyDescent="0.2">
      <c r="A47" s="38" t="s">
        <v>2104</v>
      </c>
      <c r="B47" s="14" t="s">
        <v>2105</v>
      </c>
      <c r="C47" s="14" t="s">
        <v>2106</v>
      </c>
      <c r="D47" s="14" t="str">
        <f>"0,5788"</f>
        <v>0,5788</v>
      </c>
      <c r="E47" s="14" t="s">
        <v>17</v>
      </c>
      <c r="F47" s="14" t="s">
        <v>40</v>
      </c>
      <c r="G47" s="15" t="s">
        <v>43</v>
      </c>
      <c r="H47" s="27" t="s">
        <v>2085</v>
      </c>
      <c r="I47" s="38" t="str">
        <f>"2870,0"</f>
        <v>2870,0</v>
      </c>
      <c r="J47" s="39" t="str">
        <f>"1712,5039"</f>
        <v>1712,5039</v>
      </c>
      <c r="K47" s="14"/>
    </row>
    <row r="48" spans="1:11" x14ac:dyDescent="0.2">
      <c r="A48" s="33" t="s">
        <v>2107</v>
      </c>
      <c r="B48" s="11" t="s">
        <v>2108</v>
      </c>
      <c r="C48" s="11" t="s">
        <v>857</v>
      </c>
      <c r="D48" s="11" t="str">
        <f>"0,5683"</f>
        <v>0,5683</v>
      </c>
      <c r="E48" s="11" t="s">
        <v>17</v>
      </c>
      <c r="F48" s="11" t="s">
        <v>40</v>
      </c>
      <c r="G48" s="12" t="s">
        <v>44</v>
      </c>
      <c r="H48" s="28" t="s">
        <v>1971</v>
      </c>
      <c r="I48" s="33" t="str">
        <f>"2472,5"</f>
        <v>2472,5</v>
      </c>
      <c r="J48" s="36" t="str">
        <f>"1563,9005"</f>
        <v>1563,9005</v>
      </c>
      <c r="K48" s="11"/>
    </row>
    <row r="50" spans="1:5" ht="15" x14ac:dyDescent="0.2">
      <c r="E50" s="17" t="s">
        <v>206</v>
      </c>
    </row>
    <row r="51" spans="1:5" ht="15" x14ac:dyDescent="0.2">
      <c r="E51" s="17" t="s">
        <v>207</v>
      </c>
    </row>
    <row r="52" spans="1:5" ht="15" x14ac:dyDescent="0.2">
      <c r="E52" s="17" t="s">
        <v>208</v>
      </c>
    </row>
    <row r="53" spans="1:5" ht="15" x14ac:dyDescent="0.2">
      <c r="E53" s="17" t="s">
        <v>209</v>
      </c>
    </row>
    <row r="54" spans="1:5" ht="15" x14ac:dyDescent="0.2">
      <c r="E54" s="17" t="s">
        <v>209</v>
      </c>
    </row>
    <row r="55" spans="1:5" ht="15" x14ac:dyDescent="0.2">
      <c r="E55" s="17" t="s">
        <v>210</v>
      </c>
    </row>
    <row r="56" spans="1:5" ht="15" x14ac:dyDescent="0.2">
      <c r="E56" s="17"/>
    </row>
    <row r="58" spans="1:5" ht="18" x14ac:dyDescent="0.25">
      <c r="A58" s="18" t="s">
        <v>211</v>
      </c>
      <c r="B58" s="18"/>
    </row>
    <row r="59" spans="1:5" ht="15" x14ac:dyDescent="0.2">
      <c r="A59" s="19" t="s">
        <v>226</v>
      </c>
      <c r="B59" s="19"/>
    </row>
    <row r="60" spans="1:5" ht="14.25" x14ac:dyDescent="0.2">
      <c r="A60" s="21"/>
      <c r="B60" s="22" t="s">
        <v>220</v>
      </c>
    </row>
    <row r="61" spans="1:5" ht="15" x14ac:dyDescent="0.2">
      <c r="A61" s="23" t="s">
        <v>213</v>
      </c>
      <c r="B61" s="23" t="s">
        <v>214</v>
      </c>
      <c r="C61" s="23" t="s">
        <v>215</v>
      </c>
      <c r="D61" s="23" t="s">
        <v>216</v>
      </c>
      <c r="E61" s="23" t="s">
        <v>1989</v>
      </c>
    </row>
    <row r="62" spans="1:5" x14ac:dyDescent="0.2">
      <c r="A62" s="20" t="s">
        <v>2031</v>
      </c>
      <c r="B62" s="4" t="s">
        <v>220</v>
      </c>
      <c r="C62" s="4" t="s">
        <v>224</v>
      </c>
      <c r="D62" s="4" t="s">
        <v>2109</v>
      </c>
      <c r="E62" s="24" t="s">
        <v>2110</v>
      </c>
    </row>
    <row r="63" spans="1:5" x14ac:dyDescent="0.2">
      <c r="A63" s="20" t="s">
        <v>2067</v>
      </c>
      <c r="B63" s="4" t="s">
        <v>220</v>
      </c>
      <c r="C63" s="4" t="s">
        <v>229</v>
      </c>
      <c r="D63" s="4" t="s">
        <v>2111</v>
      </c>
      <c r="E63" s="24" t="s">
        <v>2112</v>
      </c>
    </row>
    <row r="64" spans="1:5" x14ac:dyDescent="0.2">
      <c r="A64" s="20" t="s">
        <v>2099</v>
      </c>
      <c r="B64" s="4" t="s">
        <v>220</v>
      </c>
      <c r="C64" s="4" t="s">
        <v>235</v>
      </c>
      <c r="D64" s="4" t="s">
        <v>2113</v>
      </c>
      <c r="E64" s="24" t="s">
        <v>2114</v>
      </c>
    </row>
    <row r="65" spans="1:5" x14ac:dyDescent="0.2">
      <c r="A65" s="20" t="s">
        <v>2072</v>
      </c>
      <c r="B65" s="4" t="s">
        <v>220</v>
      </c>
      <c r="C65" s="4" t="s">
        <v>229</v>
      </c>
      <c r="D65" s="4" t="s">
        <v>2115</v>
      </c>
      <c r="E65" s="24" t="s">
        <v>2116</v>
      </c>
    </row>
    <row r="66" spans="1:5" x14ac:dyDescent="0.2">
      <c r="A66" s="20" t="s">
        <v>2043</v>
      </c>
      <c r="B66" s="4" t="s">
        <v>220</v>
      </c>
      <c r="C66" s="4" t="s">
        <v>219</v>
      </c>
      <c r="D66" s="4" t="s">
        <v>2117</v>
      </c>
      <c r="E66" s="24" t="s">
        <v>2118</v>
      </c>
    </row>
    <row r="67" spans="1:5" x14ac:dyDescent="0.2">
      <c r="A67" s="20" t="s">
        <v>1257</v>
      </c>
      <c r="B67" s="4" t="s">
        <v>220</v>
      </c>
      <c r="C67" s="4" t="s">
        <v>229</v>
      </c>
      <c r="D67" s="4" t="s">
        <v>2117</v>
      </c>
      <c r="E67" s="24" t="s">
        <v>2119</v>
      </c>
    </row>
    <row r="68" spans="1:5" x14ac:dyDescent="0.2">
      <c r="A68" s="20" t="s">
        <v>2090</v>
      </c>
      <c r="B68" s="4" t="s">
        <v>220</v>
      </c>
      <c r="C68" s="4" t="s">
        <v>231</v>
      </c>
      <c r="D68" s="4" t="s">
        <v>2120</v>
      </c>
      <c r="E68" s="24" t="s">
        <v>2121</v>
      </c>
    </row>
    <row r="69" spans="1:5" x14ac:dyDescent="0.2">
      <c r="A69" s="20" t="s">
        <v>2049</v>
      </c>
      <c r="B69" s="4" t="s">
        <v>220</v>
      </c>
      <c r="C69" s="4" t="s">
        <v>219</v>
      </c>
      <c r="D69" s="4" t="s">
        <v>2122</v>
      </c>
      <c r="E69" s="24" t="s">
        <v>2123</v>
      </c>
    </row>
    <row r="70" spans="1:5" x14ac:dyDescent="0.2">
      <c r="A70" s="20" t="s">
        <v>2053</v>
      </c>
      <c r="B70" s="4" t="s">
        <v>220</v>
      </c>
      <c r="C70" s="4" t="s">
        <v>219</v>
      </c>
      <c r="D70" s="4" t="s">
        <v>2124</v>
      </c>
      <c r="E70" s="24" t="s">
        <v>2125</v>
      </c>
    </row>
    <row r="71" spans="1:5" x14ac:dyDescent="0.2">
      <c r="A71" s="20" t="s">
        <v>2093</v>
      </c>
      <c r="B71" s="4" t="s">
        <v>220</v>
      </c>
      <c r="C71" s="4" t="s">
        <v>231</v>
      </c>
      <c r="D71" s="4" t="s">
        <v>2126</v>
      </c>
      <c r="E71" s="24" t="s">
        <v>2127</v>
      </c>
    </row>
    <row r="72" spans="1:5" x14ac:dyDescent="0.2">
      <c r="A72" s="20" t="s">
        <v>2028</v>
      </c>
      <c r="B72" s="4" t="s">
        <v>220</v>
      </c>
      <c r="C72" s="4" t="s">
        <v>516</v>
      </c>
      <c r="D72" s="4" t="s">
        <v>2128</v>
      </c>
      <c r="E72" s="24" t="s">
        <v>2129</v>
      </c>
    </row>
    <row r="73" spans="1:5" x14ac:dyDescent="0.2">
      <c r="A73" s="20" t="s">
        <v>2036</v>
      </c>
      <c r="B73" s="4" t="s">
        <v>220</v>
      </c>
      <c r="C73" s="4" t="s">
        <v>221</v>
      </c>
      <c r="D73" s="4" t="s">
        <v>2130</v>
      </c>
      <c r="E73" s="24" t="s">
        <v>2131</v>
      </c>
    </row>
    <row r="75" spans="1:5" ht="14.25" x14ac:dyDescent="0.2">
      <c r="A75" s="21"/>
      <c r="B75" s="22" t="s">
        <v>1988</v>
      </c>
    </row>
    <row r="76" spans="1:5" ht="15" x14ac:dyDescent="0.2">
      <c r="A76" s="23" t="s">
        <v>213</v>
      </c>
      <c r="B76" s="23" t="s">
        <v>214</v>
      </c>
      <c r="C76" s="23" t="s">
        <v>215</v>
      </c>
      <c r="D76" s="23" t="s">
        <v>216</v>
      </c>
      <c r="E76" s="23" t="s">
        <v>1989</v>
      </c>
    </row>
    <row r="77" spans="1:5" x14ac:dyDescent="0.2">
      <c r="A77" s="20" t="s">
        <v>2025</v>
      </c>
      <c r="B77" s="4" t="s">
        <v>2132</v>
      </c>
      <c r="C77" s="4" t="s">
        <v>517</v>
      </c>
      <c r="D77" s="4" t="s">
        <v>2133</v>
      </c>
      <c r="E77" s="24" t="s">
        <v>2134</v>
      </c>
    </row>
    <row r="78" spans="1:5" x14ac:dyDescent="0.2">
      <c r="A78" s="20" t="s">
        <v>2067</v>
      </c>
      <c r="B78" s="4" t="s">
        <v>1990</v>
      </c>
      <c r="C78" s="4" t="s">
        <v>229</v>
      </c>
      <c r="D78" s="4" t="s">
        <v>2111</v>
      </c>
      <c r="E78" s="24" t="s">
        <v>2135</v>
      </c>
    </row>
    <row r="79" spans="1:5" x14ac:dyDescent="0.2">
      <c r="A79" s="20" t="s">
        <v>2078</v>
      </c>
      <c r="B79" s="4" t="s">
        <v>1990</v>
      </c>
      <c r="C79" s="4" t="s">
        <v>229</v>
      </c>
      <c r="D79" s="4" t="s">
        <v>2136</v>
      </c>
      <c r="E79" s="24" t="s">
        <v>2137</v>
      </c>
    </row>
    <row r="80" spans="1:5" x14ac:dyDescent="0.2">
      <c r="A80" s="20" t="s">
        <v>2063</v>
      </c>
      <c r="B80" s="4" t="s">
        <v>2132</v>
      </c>
      <c r="C80" s="4" t="s">
        <v>219</v>
      </c>
      <c r="D80" s="4" t="s">
        <v>2122</v>
      </c>
      <c r="E80" s="24" t="s">
        <v>2138</v>
      </c>
    </row>
    <row r="81" spans="1:5" x14ac:dyDescent="0.2">
      <c r="A81" s="20" t="s">
        <v>2082</v>
      </c>
      <c r="B81" s="4" t="s">
        <v>1990</v>
      </c>
      <c r="C81" s="4" t="s">
        <v>229</v>
      </c>
      <c r="D81" s="4" t="s">
        <v>2139</v>
      </c>
      <c r="E81" s="24" t="s">
        <v>2140</v>
      </c>
    </row>
    <row r="82" spans="1:5" x14ac:dyDescent="0.2">
      <c r="A82" s="20" t="s">
        <v>1194</v>
      </c>
      <c r="B82" s="4" t="s">
        <v>1990</v>
      </c>
      <c r="C82" s="4" t="s">
        <v>221</v>
      </c>
      <c r="D82" s="4" t="s">
        <v>2141</v>
      </c>
      <c r="E82" s="24" t="s">
        <v>2142</v>
      </c>
    </row>
    <row r="83" spans="1:5" x14ac:dyDescent="0.2">
      <c r="A83" s="20" t="s">
        <v>2103</v>
      </c>
      <c r="B83" s="4" t="s">
        <v>1990</v>
      </c>
      <c r="C83" s="4" t="s">
        <v>235</v>
      </c>
      <c r="D83" s="4" t="s">
        <v>2143</v>
      </c>
      <c r="E83" s="24" t="s">
        <v>2144</v>
      </c>
    </row>
    <row r="84" spans="1:5" x14ac:dyDescent="0.2">
      <c r="A84" s="20" t="s">
        <v>2090</v>
      </c>
      <c r="B84" s="4" t="s">
        <v>1990</v>
      </c>
      <c r="C84" s="4" t="s">
        <v>231</v>
      </c>
      <c r="D84" s="4" t="s">
        <v>2120</v>
      </c>
      <c r="E84" s="24" t="s">
        <v>2121</v>
      </c>
    </row>
    <row r="85" spans="1:5" x14ac:dyDescent="0.2">
      <c r="A85" s="20" t="s">
        <v>1421</v>
      </c>
      <c r="B85" s="4" t="s">
        <v>1990</v>
      </c>
      <c r="C85" s="4" t="s">
        <v>235</v>
      </c>
      <c r="D85" s="4" t="s">
        <v>2145</v>
      </c>
      <c r="E85" s="24" t="s">
        <v>2146</v>
      </c>
    </row>
    <row r="86" spans="1:5" x14ac:dyDescent="0.2">
      <c r="A86" s="20" t="s">
        <v>2086</v>
      </c>
      <c r="B86" s="4" t="s">
        <v>1990</v>
      </c>
      <c r="C86" s="4" t="s">
        <v>229</v>
      </c>
      <c r="D86" s="4" t="s">
        <v>2147</v>
      </c>
      <c r="E86" s="24" t="s">
        <v>2148</v>
      </c>
    </row>
    <row r="87" spans="1:5" x14ac:dyDescent="0.2">
      <c r="A87" s="20" t="s">
        <v>2053</v>
      </c>
      <c r="B87" s="4" t="s">
        <v>1990</v>
      </c>
      <c r="C87" s="4" t="s">
        <v>219</v>
      </c>
      <c r="D87" s="4" t="s">
        <v>2124</v>
      </c>
      <c r="E87" s="24" t="s">
        <v>2125</v>
      </c>
    </row>
    <row r="88" spans="1:5" x14ac:dyDescent="0.2">
      <c r="A88" s="20" t="s">
        <v>1348</v>
      </c>
      <c r="B88" s="4" t="s">
        <v>1990</v>
      </c>
      <c r="C88" s="4" t="s">
        <v>231</v>
      </c>
      <c r="D88" s="4" t="s">
        <v>2149</v>
      </c>
      <c r="E88" s="24" t="s">
        <v>2150</v>
      </c>
    </row>
    <row r="89" spans="1:5" x14ac:dyDescent="0.2">
      <c r="A89" s="20" t="s">
        <v>2060</v>
      </c>
      <c r="B89" s="4" t="s">
        <v>1990</v>
      </c>
      <c r="C89" s="4" t="s">
        <v>219</v>
      </c>
      <c r="D89" s="4" t="s">
        <v>2151</v>
      </c>
      <c r="E89" s="24" t="s">
        <v>2152</v>
      </c>
    </row>
  </sheetData>
  <mergeCells count="20">
    <mergeCell ref="A1:K2"/>
    <mergeCell ref="A3:A4"/>
    <mergeCell ref="B3:B4"/>
    <mergeCell ref="C3:C4"/>
    <mergeCell ref="D3:D4"/>
    <mergeCell ref="E3:E4"/>
    <mergeCell ref="F3:F4"/>
    <mergeCell ref="G3:H3"/>
    <mergeCell ref="A45:J45"/>
    <mergeCell ref="I3:I4"/>
    <mergeCell ref="J3:J4"/>
    <mergeCell ref="K3:K4"/>
    <mergeCell ref="A5:J5"/>
    <mergeCell ref="A8:J8"/>
    <mergeCell ref="A11:J11"/>
    <mergeCell ref="A14:J14"/>
    <mergeCell ref="A17:J17"/>
    <mergeCell ref="A21:J21"/>
    <mergeCell ref="A30:J30"/>
    <mergeCell ref="A39:J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76"/>
  <sheetViews>
    <sheetView topLeftCell="A19" workbookViewId="0">
      <selection activeCell="F27" sqref="F27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85546875" style="4" bestFit="1" customWidth="1"/>
    <col min="7" max="13" width="5.5703125" style="3" bestFit="1" customWidth="1"/>
    <col min="14" max="14" width="4.85546875" style="3" bestFit="1" customWidth="1"/>
    <col min="15" max="18" width="5.5703125" style="3" bestFit="1" customWidth="1"/>
    <col min="19" max="19" width="7.85546875" style="4" bestFit="1" customWidth="1"/>
    <col min="20" max="20" width="8.5703125" style="3" bestFit="1" customWidth="1"/>
    <col min="21" max="21" width="19.85546875" style="4" bestFit="1" customWidth="1"/>
    <col min="22" max="16384" width="9.140625" style="3"/>
  </cols>
  <sheetData>
    <row r="1" spans="1:21" s="2" customFormat="1" ht="29.1" customHeight="1" x14ac:dyDescent="0.2">
      <c r="A1" s="50" t="s">
        <v>2234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7" t="s">
        <v>2</v>
      </c>
    </row>
    <row r="4" spans="1:21" s="1" customFormat="1" ht="32.2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30">
        <v>1</v>
      </c>
      <c r="L4" s="30">
        <v>2</v>
      </c>
      <c r="M4" s="30">
        <v>3</v>
      </c>
      <c r="N4" s="30" t="s">
        <v>5</v>
      </c>
      <c r="O4" s="30">
        <v>1</v>
      </c>
      <c r="P4" s="30">
        <v>2</v>
      </c>
      <c r="Q4" s="30">
        <v>3</v>
      </c>
      <c r="R4" s="30" t="s">
        <v>5</v>
      </c>
      <c r="S4" s="46"/>
      <c r="T4" s="46"/>
      <c r="U4" s="48"/>
    </row>
    <row r="5" spans="1:21" ht="15" x14ac:dyDescent="0.2">
      <c r="A5" s="49" t="s">
        <v>13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 x14ac:dyDescent="0.2">
      <c r="A6" s="34" t="s">
        <v>14</v>
      </c>
      <c r="B6" s="5" t="s">
        <v>15</v>
      </c>
      <c r="C6" s="5" t="s">
        <v>16</v>
      </c>
      <c r="D6" s="5" t="str">
        <f>"1,1251"</f>
        <v>1,1251</v>
      </c>
      <c r="E6" s="5" t="s">
        <v>17</v>
      </c>
      <c r="F6" s="5" t="s">
        <v>18</v>
      </c>
      <c r="G6" s="6" t="s">
        <v>19</v>
      </c>
      <c r="H6" s="7" t="s">
        <v>20</v>
      </c>
      <c r="I6" s="7" t="s">
        <v>20</v>
      </c>
      <c r="J6" s="7"/>
      <c r="K6" s="7" t="s">
        <v>21</v>
      </c>
      <c r="L6" s="7" t="s">
        <v>21</v>
      </c>
      <c r="M6" s="7" t="s">
        <v>21</v>
      </c>
      <c r="N6" s="7"/>
      <c r="O6" s="7"/>
      <c r="P6" s="7"/>
      <c r="Q6" s="7"/>
      <c r="R6" s="7"/>
      <c r="S6" s="34" t="str">
        <f>"0.00"</f>
        <v>0.00</v>
      </c>
      <c r="T6" s="37" t="str">
        <f>"0,0000"</f>
        <v>0,0000</v>
      </c>
      <c r="U6" s="5" t="s">
        <v>22</v>
      </c>
    </row>
    <row r="8" spans="1:21" ht="15" x14ac:dyDescent="0.2">
      <c r="A8" s="44" t="s">
        <v>23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x14ac:dyDescent="0.2">
      <c r="A9" s="34" t="s">
        <v>24</v>
      </c>
      <c r="B9" s="5" t="s">
        <v>25</v>
      </c>
      <c r="C9" s="5" t="s">
        <v>26</v>
      </c>
      <c r="D9" s="5" t="str">
        <f>"1,0467"</f>
        <v>1,0467</v>
      </c>
      <c r="E9" s="5" t="s">
        <v>17</v>
      </c>
      <c r="F9" s="5" t="s">
        <v>27</v>
      </c>
      <c r="G9" s="6" t="s">
        <v>28</v>
      </c>
      <c r="H9" s="6" t="s">
        <v>19</v>
      </c>
      <c r="I9" s="7" t="s">
        <v>29</v>
      </c>
      <c r="J9" s="7"/>
      <c r="K9" s="6" t="s">
        <v>30</v>
      </c>
      <c r="L9" s="6" t="s">
        <v>31</v>
      </c>
      <c r="M9" s="7" t="s">
        <v>32</v>
      </c>
      <c r="N9" s="7"/>
      <c r="O9" s="6" t="s">
        <v>19</v>
      </c>
      <c r="P9" s="6" t="s">
        <v>33</v>
      </c>
      <c r="Q9" s="6" t="s">
        <v>34</v>
      </c>
      <c r="R9" s="7"/>
      <c r="S9" s="34" t="str">
        <f>"340,0"</f>
        <v>340,0</v>
      </c>
      <c r="T9" s="37" t="str">
        <f>"402,1421"</f>
        <v>402,1421</v>
      </c>
      <c r="U9" s="5"/>
    </row>
    <row r="11" spans="1:21" ht="15" x14ac:dyDescent="0.2">
      <c r="A11" s="44" t="s">
        <v>36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1" x14ac:dyDescent="0.2">
      <c r="A12" s="32" t="s">
        <v>37</v>
      </c>
      <c r="B12" s="8" t="s">
        <v>38</v>
      </c>
      <c r="C12" s="8" t="s">
        <v>39</v>
      </c>
      <c r="D12" s="8" t="str">
        <f>"0,9681"</f>
        <v>0,9681</v>
      </c>
      <c r="E12" s="8" t="s">
        <v>17</v>
      </c>
      <c r="F12" s="8" t="s">
        <v>40</v>
      </c>
      <c r="G12" s="9" t="s">
        <v>41</v>
      </c>
      <c r="H12" s="10" t="s">
        <v>42</v>
      </c>
      <c r="I12" s="9" t="s">
        <v>42</v>
      </c>
      <c r="J12" s="10"/>
      <c r="K12" s="9" t="s">
        <v>43</v>
      </c>
      <c r="L12" s="9" t="s">
        <v>44</v>
      </c>
      <c r="M12" s="10" t="s">
        <v>45</v>
      </c>
      <c r="N12" s="10"/>
      <c r="O12" s="9" t="s">
        <v>46</v>
      </c>
      <c r="P12" s="9" t="s">
        <v>47</v>
      </c>
      <c r="Q12" s="10" t="s">
        <v>48</v>
      </c>
      <c r="R12" s="10"/>
      <c r="S12" s="32" t="str">
        <f>"505,0"</f>
        <v>505,0</v>
      </c>
      <c r="T12" s="35" t="str">
        <f>"488,8905"</f>
        <v>488,8905</v>
      </c>
      <c r="U12" s="8" t="s">
        <v>49</v>
      </c>
    </row>
    <row r="13" spans="1:21" x14ac:dyDescent="0.2">
      <c r="A13" s="33" t="s">
        <v>50</v>
      </c>
      <c r="B13" s="11" t="s">
        <v>51</v>
      </c>
      <c r="C13" s="11" t="s">
        <v>52</v>
      </c>
      <c r="D13" s="11" t="str">
        <f>"1,0121"</f>
        <v>1,0121</v>
      </c>
      <c r="E13" s="11" t="s">
        <v>17</v>
      </c>
      <c r="F13" s="11" t="s">
        <v>18</v>
      </c>
      <c r="G13" s="12" t="s">
        <v>34</v>
      </c>
      <c r="H13" s="13" t="s">
        <v>53</v>
      </c>
      <c r="I13" s="12" t="s">
        <v>54</v>
      </c>
      <c r="J13" s="13"/>
      <c r="K13" s="12" t="s">
        <v>21</v>
      </c>
      <c r="L13" s="12" t="s">
        <v>31</v>
      </c>
      <c r="M13" s="12" t="s">
        <v>55</v>
      </c>
      <c r="N13" s="13"/>
      <c r="O13" s="12" t="s">
        <v>56</v>
      </c>
      <c r="P13" s="12" t="s">
        <v>57</v>
      </c>
      <c r="Q13" s="12" t="s">
        <v>58</v>
      </c>
      <c r="R13" s="13"/>
      <c r="S13" s="33" t="str">
        <f>"407,5"</f>
        <v>407,5</v>
      </c>
      <c r="T13" s="36" t="str">
        <f>"412,4307"</f>
        <v>412,4307</v>
      </c>
      <c r="U13" s="11" t="s">
        <v>2228</v>
      </c>
    </row>
    <row r="15" spans="1:21" ht="15" x14ac:dyDescent="0.2">
      <c r="A15" s="44" t="s">
        <v>59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1" x14ac:dyDescent="0.2">
      <c r="A16" s="34" t="s">
        <v>60</v>
      </c>
      <c r="B16" s="5" t="s">
        <v>61</v>
      </c>
      <c r="C16" s="5" t="s">
        <v>62</v>
      </c>
      <c r="D16" s="5" t="str">
        <f>"0,9347"</f>
        <v>0,9347</v>
      </c>
      <c r="E16" s="5" t="s">
        <v>17</v>
      </c>
      <c r="F16" s="5" t="s">
        <v>40</v>
      </c>
      <c r="G16" s="6" t="s">
        <v>63</v>
      </c>
      <c r="H16" s="6" t="s">
        <v>64</v>
      </c>
      <c r="I16" s="7" t="s">
        <v>65</v>
      </c>
      <c r="J16" s="7"/>
      <c r="K16" s="6" t="s">
        <v>28</v>
      </c>
      <c r="L16" s="6" t="s">
        <v>66</v>
      </c>
      <c r="M16" s="7" t="s">
        <v>19</v>
      </c>
      <c r="N16" s="7"/>
      <c r="O16" s="6" t="s">
        <v>67</v>
      </c>
      <c r="P16" s="6" t="s">
        <v>63</v>
      </c>
      <c r="Q16" s="7" t="s">
        <v>46</v>
      </c>
      <c r="R16" s="7"/>
      <c r="S16" s="34" t="str">
        <f>"505,0"</f>
        <v>505,0</v>
      </c>
      <c r="T16" s="37" t="str">
        <f>"472,0235"</f>
        <v>472,0235</v>
      </c>
      <c r="U16" s="5" t="s">
        <v>68</v>
      </c>
    </row>
    <row r="18" spans="1:21" ht="15" x14ac:dyDescent="0.2">
      <c r="A18" s="44" t="s">
        <v>36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1" x14ac:dyDescent="0.2">
      <c r="A19" s="32" t="s">
        <v>70</v>
      </c>
      <c r="B19" s="8" t="s">
        <v>71</v>
      </c>
      <c r="C19" s="8" t="s">
        <v>72</v>
      </c>
      <c r="D19" s="8" t="str">
        <f>"0,7207"</f>
        <v>0,7207</v>
      </c>
      <c r="E19" s="8" t="s">
        <v>17</v>
      </c>
      <c r="F19" s="8" t="s">
        <v>40</v>
      </c>
      <c r="G19" s="9" t="s">
        <v>57</v>
      </c>
      <c r="H19" s="9" t="s">
        <v>58</v>
      </c>
      <c r="I19" s="10"/>
      <c r="J19" s="10"/>
      <c r="K19" s="9" t="s">
        <v>28</v>
      </c>
      <c r="L19" s="9" t="s">
        <v>66</v>
      </c>
      <c r="M19" s="9" t="s">
        <v>19</v>
      </c>
      <c r="N19" s="10"/>
      <c r="O19" s="9" t="s">
        <v>73</v>
      </c>
      <c r="P19" s="9" t="s">
        <v>74</v>
      </c>
      <c r="Q19" s="10"/>
      <c r="R19" s="10"/>
      <c r="S19" s="32" t="str">
        <f>"520,0"</f>
        <v>520,0</v>
      </c>
      <c r="T19" s="35" t="str">
        <f>"374,7640"</f>
        <v>374,7640</v>
      </c>
      <c r="U19" s="8" t="s">
        <v>75</v>
      </c>
    </row>
    <row r="20" spans="1:21" x14ac:dyDescent="0.2">
      <c r="A20" s="38" t="s">
        <v>77</v>
      </c>
      <c r="B20" s="14" t="s">
        <v>78</v>
      </c>
      <c r="C20" s="14" t="s">
        <v>79</v>
      </c>
      <c r="D20" s="14" t="str">
        <f>"0,7264"</f>
        <v>0,7264</v>
      </c>
      <c r="E20" s="14" t="s">
        <v>17</v>
      </c>
      <c r="F20" s="14" t="s">
        <v>40</v>
      </c>
      <c r="G20" s="15" t="s">
        <v>34</v>
      </c>
      <c r="H20" s="15" t="s">
        <v>53</v>
      </c>
      <c r="I20" s="15" t="s">
        <v>80</v>
      </c>
      <c r="J20" s="16"/>
      <c r="K20" s="15" t="s">
        <v>81</v>
      </c>
      <c r="L20" s="15" t="s">
        <v>44</v>
      </c>
      <c r="M20" s="16" t="s">
        <v>28</v>
      </c>
      <c r="N20" s="16"/>
      <c r="O20" s="15" t="s">
        <v>82</v>
      </c>
      <c r="P20" s="15" t="s">
        <v>57</v>
      </c>
      <c r="Q20" s="15" t="s">
        <v>67</v>
      </c>
      <c r="R20" s="16"/>
      <c r="S20" s="38" t="str">
        <f>"442,5"</f>
        <v>442,5</v>
      </c>
      <c r="T20" s="39" t="str">
        <f>"321,4320"</f>
        <v>321,4320</v>
      </c>
      <c r="U20" s="14" t="s">
        <v>83</v>
      </c>
    </row>
    <row r="21" spans="1:21" x14ac:dyDescent="0.2">
      <c r="A21" s="33" t="s">
        <v>84</v>
      </c>
      <c r="B21" s="11" t="s">
        <v>85</v>
      </c>
      <c r="C21" s="11" t="s">
        <v>86</v>
      </c>
      <c r="D21" s="11" t="str">
        <f>"0,7242"</f>
        <v>0,7242</v>
      </c>
      <c r="E21" s="11" t="s">
        <v>17</v>
      </c>
      <c r="F21" s="11" t="s">
        <v>87</v>
      </c>
      <c r="G21" s="13" t="s">
        <v>64</v>
      </c>
      <c r="H21" s="13" t="s">
        <v>64</v>
      </c>
      <c r="I21" s="13" t="s">
        <v>64</v>
      </c>
      <c r="J21" s="13"/>
      <c r="K21" s="13" t="s">
        <v>19</v>
      </c>
      <c r="L21" s="13"/>
      <c r="M21" s="13"/>
      <c r="N21" s="13"/>
      <c r="O21" s="13" t="s">
        <v>65</v>
      </c>
      <c r="P21" s="13"/>
      <c r="Q21" s="13"/>
      <c r="R21" s="13"/>
      <c r="S21" s="33" t="str">
        <f>"0.00"</f>
        <v>0.00</v>
      </c>
      <c r="T21" s="36" t="str">
        <f>"0,0000"</f>
        <v>0,0000</v>
      </c>
      <c r="U21" s="11" t="s">
        <v>88</v>
      </c>
    </row>
    <row r="23" spans="1:21" ht="15" x14ac:dyDescent="0.2">
      <c r="A23" s="44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1" x14ac:dyDescent="0.2">
      <c r="A24" s="34" t="s">
        <v>90</v>
      </c>
      <c r="B24" s="5" t="s">
        <v>91</v>
      </c>
      <c r="C24" s="5" t="s">
        <v>92</v>
      </c>
      <c r="D24" s="5" t="str">
        <f>"0,6764"</f>
        <v>0,6764</v>
      </c>
      <c r="E24" s="5" t="s">
        <v>17</v>
      </c>
      <c r="F24" s="5" t="s">
        <v>40</v>
      </c>
      <c r="G24" s="7" t="s">
        <v>65</v>
      </c>
      <c r="H24" s="6" t="s">
        <v>65</v>
      </c>
      <c r="I24" s="6" t="s">
        <v>74</v>
      </c>
      <c r="J24" s="7"/>
      <c r="K24" s="6" t="s">
        <v>93</v>
      </c>
      <c r="L24" s="6" t="s">
        <v>94</v>
      </c>
      <c r="M24" s="6" t="s">
        <v>34</v>
      </c>
      <c r="N24" s="7"/>
      <c r="O24" s="6" t="s">
        <v>64</v>
      </c>
      <c r="P24" s="6" t="s">
        <v>65</v>
      </c>
      <c r="Q24" s="7" t="s">
        <v>73</v>
      </c>
      <c r="R24" s="7"/>
      <c r="S24" s="34" t="str">
        <f>"575,0"</f>
        <v>575,0</v>
      </c>
      <c r="T24" s="37" t="str">
        <f>"388,9300"</f>
        <v>388,9300</v>
      </c>
      <c r="U24" s="5" t="s">
        <v>95</v>
      </c>
    </row>
    <row r="26" spans="1:21" ht="15" x14ac:dyDescent="0.2">
      <c r="A26" s="44" t="s">
        <v>96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1:21" x14ac:dyDescent="0.2">
      <c r="A27" s="32" t="s">
        <v>97</v>
      </c>
      <c r="B27" s="8" t="s">
        <v>98</v>
      </c>
      <c r="C27" s="8" t="s">
        <v>99</v>
      </c>
      <c r="D27" s="8" t="str">
        <f>"0,6475"</f>
        <v>0,6475</v>
      </c>
      <c r="E27" s="8" t="s">
        <v>17</v>
      </c>
      <c r="F27" s="8" t="s">
        <v>1648</v>
      </c>
      <c r="G27" s="9" t="s">
        <v>34</v>
      </c>
      <c r="H27" s="9" t="s">
        <v>80</v>
      </c>
      <c r="I27" s="9" t="s">
        <v>56</v>
      </c>
      <c r="J27" s="9" t="s">
        <v>58</v>
      </c>
      <c r="K27" s="9" t="s">
        <v>100</v>
      </c>
      <c r="L27" s="9" t="s">
        <v>21</v>
      </c>
      <c r="M27" s="10" t="s">
        <v>31</v>
      </c>
      <c r="N27" s="10"/>
      <c r="O27" s="9" t="s">
        <v>53</v>
      </c>
      <c r="P27" s="9" t="s">
        <v>80</v>
      </c>
      <c r="Q27" s="9" t="s">
        <v>57</v>
      </c>
      <c r="R27" s="10" t="s">
        <v>67</v>
      </c>
      <c r="S27" s="32" t="str">
        <f>"410,0"</f>
        <v>410,0</v>
      </c>
      <c r="T27" s="35" t="str">
        <f>"265,4750"</f>
        <v>265,4750</v>
      </c>
      <c r="U27" s="8" t="s">
        <v>101</v>
      </c>
    </row>
    <row r="28" spans="1:21" x14ac:dyDescent="0.2">
      <c r="A28" s="38" t="s">
        <v>102</v>
      </c>
      <c r="B28" s="14" t="s">
        <v>103</v>
      </c>
      <c r="C28" s="14" t="s">
        <v>104</v>
      </c>
      <c r="D28" s="14" t="str">
        <f>"0,6398"</f>
        <v>0,6398</v>
      </c>
      <c r="E28" s="14" t="s">
        <v>17</v>
      </c>
      <c r="F28" s="14" t="s">
        <v>40</v>
      </c>
      <c r="G28" s="16" t="s">
        <v>105</v>
      </c>
      <c r="H28" s="15" t="s">
        <v>105</v>
      </c>
      <c r="I28" s="16" t="s">
        <v>106</v>
      </c>
      <c r="J28" s="16"/>
      <c r="K28" s="15" t="s">
        <v>34</v>
      </c>
      <c r="L28" s="16" t="s">
        <v>107</v>
      </c>
      <c r="M28" s="16" t="s">
        <v>107</v>
      </c>
      <c r="N28" s="16"/>
      <c r="O28" s="15" t="s">
        <v>65</v>
      </c>
      <c r="P28" s="15" t="s">
        <v>108</v>
      </c>
      <c r="Q28" s="15" t="s">
        <v>109</v>
      </c>
      <c r="R28" s="16"/>
      <c r="S28" s="38" t="str">
        <f>"665,0"</f>
        <v>665,0</v>
      </c>
      <c r="T28" s="39" t="str">
        <f>"425,4670"</f>
        <v>425,4670</v>
      </c>
      <c r="U28" s="14" t="s">
        <v>110</v>
      </c>
    </row>
    <row r="29" spans="1:21" x14ac:dyDescent="0.2">
      <c r="A29" s="38" t="s">
        <v>112</v>
      </c>
      <c r="B29" s="14" t="s">
        <v>113</v>
      </c>
      <c r="C29" s="14" t="s">
        <v>114</v>
      </c>
      <c r="D29" s="14" t="str">
        <f>"0,6432"</f>
        <v>0,6432</v>
      </c>
      <c r="E29" s="14" t="s">
        <v>17</v>
      </c>
      <c r="F29" s="14" t="s">
        <v>115</v>
      </c>
      <c r="G29" s="15" t="s">
        <v>116</v>
      </c>
      <c r="H29" s="16" t="s">
        <v>105</v>
      </c>
      <c r="I29" s="15" t="s">
        <v>105</v>
      </c>
      <c r="J29" s="16"/>
      <c r="K29" s="15" t="s">
        <v>53</v>
      </c>
      <c r="L29" s="15" t="s">
        <v>107</v>
      </c>
      <c r="M29" s="16" t="s">
        <v>117</v>
      </c>
      <c r="N29" s="16"/>
      <c r="O29" s="15" t="s">
        <v>118</v>
      </c>
      <c r="P29" s="15" t="s">
        <v>119</v>
      </c>
      <c r="Q29" s="16" t="s">
        <v>120</v>
      </c>
      <c r="R29" s="16"/>
      <c r="S29" s="38" t="str">
        <f>"697,5"</f>
        <v>697,5</v>
      </c>
      <c r="T29" s="39" t="str">
        <f>"448,6320"</f>
        <v>448,6320</v>
      </c>
      <c r="U29" s="14" t="s">
        <v>121</v>
      </c>
    </row>
    <row r="30" spans="1:21" x14ac:dyDescent="0.2">
      <c r="A30" s="38" t="s">
        <v>123</v>
      </c>
      <c r="B30" s="14" t="s">
        <v>124</v>
      </c>
      <c r="C30" s="14" t="s">
        <v>125</v>
      </c>
      <c r="D30" s="14" t="str">
        <f>"0,6428"</f>
        <v>0,6428</v>
      </c>
      <c r="E30" s="14" t="s">
        <v>17</v>
      </c>
      <c r="F30" s="14" t="s">
        <v>40</v>
      </c>
      <c r="G30" s="15" t="s">
        <v>116</v>
      </c>
      <c r="H30" s="16" t="s">
        <v>109</v>
      </c>
      <c r="I30" s="15" t="s">
        <v>109</v>
      </c>
      <c r="J30" s="16"/>
      <c r="K30" s="15" t="s">
        <v>82</v>
      </c>
      <c r="L30" s="15" t="s">
        <v>56</v>
      </c>
      <c r="M30" s="15" t="s">
        <v>57</v>
      </c>
      <c r="N30" s="16"/>
      <c r="O30" s="15" t="s">
        <v>126</v>
      </c>
      <c r="P30" s="15" t="s">
        <v>127</v>
      </c>
      <c r="Q30" s="16" t="s">
        <v>128</v>
      </c>
      <c r="R30" s="16"/>
      <c r="S30" s="38" t="str">
        <f>"682,5"</f>
        <v>682,5</v>
      </c>
      <c r="T30" s="39" t="str">
        <f>"438,7110"</f>
        <v>438,7110</v>
      </c>
      <c r="U30" s="14"/>
    </row>
    <row r="31" spans="1:21" x14ac:dyDescent="0.2">
      <c r="A31" s="38" t="s">
        <v>130</v>
      </c>
      <c r="B31" s="14" t="s">
        <v>131</v>
      </c>
      <c r="C31" s="14" t="s">
        <v>132</v>
      </c>
      <c r="D31" s="14" t="str">
        <f>"0,6507"</f>
        <v>0,6507</v>
      </c>
      <c r="E31" s="14" t="s">
        <v>17</v>
      </c>
      <c r="F31" s="14" t="s">
        <v>133</v>
      </c>
      <c r="G31" s="16" t="s">
        <v>48</v>
      </c>
      <c r="H31" s="15" t="s">
        <v>134</v>
      </c>
      <c r="I31" s="16" t="s">
        <v>116</v>
      </c>
      <c r="J31" s="16"/>
      <c r="K31" s="15" t="s">
        <v>33</v>
      </c>
      <c r="L31" s="15" t="s">
        <v>34</v>
      </c>
      <c r="M31" s="15" t="s">
        <v>53</v>
      </c>
      <c r="N31" s="16"/>
      <c r="O31" s="15" t="s">
        <v>73</v>
      </c>
      <c r="P31" s="16" t="s">
        <v>134</v>
      </c>
      <c r="Q31" s="16" t="s">
        <v>134</v>
      </c>
      <c r="R31" s="16"/>
      <c r="S31" s="38" t="str">
        <f>"595,0"</f>
        <v>595,0</v>
      </c>
      <c r="T31" s="39" t="str">
        <f>"387,1665"</f>
        <v>387,1665</v>
      </c>
      <c r="U31" s="14" t="s">
        <v>135</v>
      </c>
    </row>
    <row r="32" spans="1:21" x14ac:dyDescent="0.2">
      <c r="A32" s="33" t="s">
        <v>136</v>
      </c>
      <c r="B32" s="11" t="s">
        <v>137</v>
      </c>
      <c r="C32" s="11" t="s">
        <v>138</v>
      </c>
      <c r="D32" s="11" t="str">
        <f>"0,6503"</f>
        <v>0,6503</v>
      </c>
      <c r="E32" s="11" t="s">
        <v>17</v>
      </c>
      <c r="F32" s="11" t="s">
        <v>40</v>
      </c>
      <c r="G32" s="13" t="s">
        <v>63</v>
      </c>
      <c r="H32" s="13" t="s">
        <v>64</v>
      </c>
      <c r="I32" s="13" t="s">
        <v>64</v>
      </c>
      <c r="J32" s="13"/>
      <c r="K32" s="13"/>
      <c r="L32" s="13"/>
      <c r="M32" s="13"/>
      <c r="N32" s="13"/>
      <c r="O32" s="13"/>
      <c r="P32" s="13"/>
      <c r="Q32" s="13"/>
      <c r="R32" s="13"/>
      <c r="S32" s="33" t="str">
        <f>"0.00"</f>
        <v>0.00</v>
      </c>
      <c r="T32" s="36" t="str">
        <f>"0,0000"</f>
        <v>0,0000</v>
      </c>
      <c r="U32" s="11"/>
    </row>
    <row r="34" spans="1:21" ht="15" x14ac:dyDescent="0.2">
      <c r="A34" s="44" t="s">
        <v>139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1" x14ac:dyDescent="0.2">
      <c r="A35" s="32" t="s">
        <v>140</v>
      </c>
      <c r="B35" s="8" t="s">
        <v>141</v>
      </c>
      <c r="C35" s="8" t="s">
        <v>142</v>
      </c>
      <c r="D35" s="8" t="str">
        <f>"0,6121"</f>
        <v>0,6121</v>
      </c>
      <c r="E35" s="8" t="s">
        <v>143</v>
      </c>
      <c r="F35" s="8" t="s">
        <v>144</v>
      </c>
      <c r="G35" s="9" t="s">
        <v>120</v>
      </c>
      <c r="H35" s="10" t="s">
        <v>145</v>
      </c>
      <c r="I35" s="9" t="s">
        <v>145</v>
      </c>
      <c r="J35" s="10"/>
      <c r="K35" s="9" t="s">
        <v>57</v>
      </c>
      <c r="L35" s="9" t="s">
        <v>67</v>
      </c>
      <c r="M35" s="10" t="s">
        <v>41</v>
      </c>
      <c r="N35" s="10"/>
      <c r="O35" s="9" t="s">
        <v>145</v>
      </c>
      <c r="P35" s="10" t="s">
        <v>146</v>
      </c>
      <c r="Q35" s="10" t="s">
        <v>146</v>
      </c>
      <c r="R35" s="10"/>
      <c r="S35" s="32" t="str">
        <f>"780,0"</f>
        <v>780,0</v>
      </c>
      <c r="T35" s="35" t="str">
        <f>"477,4380"</f>
        <v>477,4380</v>
      </c>
      <c r="U35" s="8" t="s">
        <v>147</v>
      </c>
    </row>
    <row r="36" spans="1:21" x14ac:dyDescent="0.2">
      <c r="A36" s="38" t="s">
        <v>149</v>
      </c>
      <c r="B36" s="14" t="s">
        <v>150</v>
      </c>
      <c r="C36" s="14" t="s">
        <v>151</v>
      </c>
      <c r="D36" s="14" t="str">
        <f>"0,6194"</f>
        <v>0,6194</v>
      </c>
      <c r="E36" s="14" t="s">
        <v>17</v>
      </c>
      <c r="F36" s="14" t="s">
        <v>152</v>
      </c>
      <c r="G36" s="15" t="s">
        <v>118</v>
      </c>
      <c r="H36" s="16" t="s">
        <v>153</v>
      </c>
      <c r="I36" s="15" t="s">
        <v>106</v>
      </c>
      <c r="J36" s="16"/>
      <c r="K36" s="15" t="s">
        <v>57</v>
      </c>
      <c r="L36" s="15" t="s">
        <v>67</v>
      </c>
      <c r="M36" s="16"/>
      <c r="N36" s="16"/>
      <c r="O36" s="15" t="s">
        <v>126</v>
      </c>
      <c r="P36" s="15" t="s">
        <v>105</v>
      </c>
      <c r="Q36" s="15" t="s">
        <v>106</v>
      </c>
      <c r="R36" s="16"/>
      <c r="S36" s="38" t="str">
        <f>"760,0"</f>
        <v>760,0</v>
      </c>
      <c r="T36" s="39" t="str">
        <f>"470,7440"</f>
        <v>470,7440</v>
      </c>
      <c r="U36" s="14"/>
    </row>
    <row r="37" spans="1:21" x14ac:dyDescent="0.2">
      <c r="A37" s="38" t="s">
        <v>155</v>
      </c>
      <c r="B37" s="14" t="s">
        <v>156</v>
      </c>
      <c r="C37" s="14" t="s">
        <v>157</v>
      </c>
      <c r="D37" s="14" t="str">
        <f>"0,6134"</f>
        <v>0,6134</v>
      </c>
      <c r="E37" s="14" t="s">
        <v>17</v>
      </c>
      <c r="F37" s="14" t="s">
        <v>115</v>
      </c>
      <c r="G37" s="15" t="s">
        <v>153</v>
      </c>
      <c r="H37" s="16" t="s">
        <v>145</v>
      </c>
      <c r="I37" s="16" t="s">
        <v>145</v>
      </c>
      <c r="J37" s="16"/>
      <c r="K37" s="16" t="s">
        <v>63</v>
      </c>
      <c r="L37" s="15" t="s">
        <v>63</v>
      </c>
      <c r="M37" s="16" t="s">
        <v>64</v>
      </c>
      <c r="N37" s="16"/>
      <c r="O37" s="15" t="s">
        <v>118</v>
      </c>
      <c r="P37" s="16" t="s">
        <v>105</v>
      </c>
      <c r="Q37" s="16" t="s">
        <v>105</v>
      </c>
      <c r="R37" s="16"/>
      <c r="S37" s="38" t="str">
        <f>"730,0"</f>
        <v>730,0</v>
      </c>
      <c r="T37" s="39" t="str">
        <f>"447,7820"</f>
        <v>447,7820</v>
      </c>
      <c r="U37" s="14"/>
    </row>
    <row r="38" spans="1:21" x14ac:dyDescent="0.2">
      <c r="A38" s="38" t="s">
        <v>160</v>
      </c>
      <c r="B38" s="14" t="s">
        <v>161</v>
      </c>
      <c r="C38" s="14" t="s">
        <v>162</v>
      </c>
      <c r="D38" s="14" t="str">
        <f>"0,6101"</f>
        <v>0,6101</v>
      </c>
      <c r="E38" s="14" t="s">
        <v>17</v>
      </c>
      <c r="F38" s="14" t="s">
        <v>40</v>
      </c>
      <c r="G38" s="15" t="s">
        <v>106</v>
      </c>
      <c r="H38" s="16" t="s">
        <v>145</v>
      </c>
      <c r="I38" s="16"/>
      <c r="J38" s="16"/>
      <c r="K38" s="15" t="s">
        <v>53</v>
      </c>
      <c r="L38" s="15" t="s">
        <v>163</v>
      </c>
      <c r="M38" s="15" t="s">
        <v>54</v>
      </c>
      <c r="N38" s="16"/>
      <c r="O38" s="15" t="s">
        <v>108</v>
      </c>
      <c r="P38" s="16"/>
      <c r="Q38" s="16"/>
      <c r="R38" s="16"/>
      <c r="S38" s="38" t="str">
        <f>"675,0"</f>
        <v>675,0</v>
      </c>
      <c r="T38" s="39" t="str">
        <f>"411,8175"</f>
        <v>411,8175</v>
      </c>
      <c r="U38" s="14" t="s">
        <v>164</v>
      </c>
    </row>
    <row r="39" spans="1:21" x14ac:dyDescent="0.2">
      <c r="A39" s="38" t="s">
        <v>166</v>
      </c>
      <c r="B39" s="14" t="s">
        <v>167</v>
      </c>
      <c r="C39" s="14" t="s">
        <v>168</v>
      </c>
      <c r="D39" s="14" t="str">
        <f>"0,6180"</f>
        <v>0,6180</v>
      </c>
      <c r="E39" s="14" t="s">
        <v>17</v>
      </c>
      <c r="F39" s="14" t="s">
        <v>40</v>
      </c>
      <c r="G39" s="15" t="s">
        <v>74</v>
      </c>
      <c r="H39" s="16" t="s">
        <v>108</v>
      </c>
      <c r="I39" s="15" t="s">
        <v>108</v>
      </c>
      <c r="J39" s="16"/>
      <c r="K39" s="15" t="s">
        <v>80</v>
      </c>
      <c r="L39" s="16" t="s">
        <v>169</v>
      </c>
      <c r="M39" s="16" t="s">
        <v>169</v>
      </c>
      <c r="N39" s="16"/>
      <c r="O39" s="15" t="s">
        <v>48</v>
      </c>
      <c r="P39" s="15" t="s">
        <v>170</v>
      </c>
      <c r="Q39" s="16" t="s">
        <v>134</v>
      </c>
      <c r="R39" s="16"/>
      <c r="S39" s="38" t="str">
        <f>"612,5"</f>
        <v>612,5</v>
      </c>
      <c r="T39" s="39" t="str">
        <f>"378,5250"</f>
        <v>378,5250</v>
      </c>
      <c r="U39" s="14" t="s">
        <v>171</v>
      </c>
    </row>
    <row r="40" spans="1:21" x14ac:dyDescent="0.2">
      <c r="A40" s="33" t="s">
        <v>172</v>
      </c>
      <c r="B40" s="11" t="s">
        <v>173</v>
      </c>
      <c r="C40" s="11" t="s">
        <v>174</v>
      </c>
      <c r="D40" s="11" t="str">
        <f>"0,6321"</f>
        <v>0,6321</v>
      </c>
      <c r="E40" s="11" t="s">
        <v>17</v>
      </c>
      <c r="F40" s="11" t="s">
        <v>40</v>
      </c>
      <c r="G40" s="13" t="s">
        <v>64</v>
      </c>
      <c r="H40" s="13" t="s">
        <v>64</v>
      </c>
      <c r="I40" s="13" t="s">
        <v>47</v>
      </c>
      <c r="J40" s="13"/>
      <c r="K40" s="13" t="s">
        <v>54</v>
      </c>
      <c r="L40" s="13"/>
      <c r="M40" s="13"/>
      <c r="N40" s="13"/>
      <c r="O40" s="13" t="s">
        <v>118</v>
      </c>
      <c r="P40" s="13"/>
      <c r="Q40" s="13"/>
      <c r="R40" s="13"/>
      <c r="S40" s="33" t="str">
        <f>"0.00"</f>
        <v>0.00</v>
      </c>
      <c r="T40" s="36" t="str">
        <f>"0,0000"</f>
        <v>0,0000</v>
      </c>
      <c r="U40" s="11"/>
    </row>
    <row r="42" spans="1:21" ht="15" x14ac:dyDescent="0.2">
      <c r="A42" s="44" t="s">
        <v>175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1:21" x14ac:dyDescent="0.2">
      <c r="A43" s="32" t="s">
        <v>177</v>
      </c>
      <c r="B43" s="8" t="s">
        <v>178</v>
      </c>
      <c r="C43" s="8" t="s">
        <v>179</v>
      </c>
      <c r="D43" s="8" t="str">
        <f>"0,5921"</f>
        <v>0,5921</v>
      </c>
      <c r="E43" s="8" t="s">
        <v>17</v>
      </c>
      <c r="F43" s="8" t="s">
        <v>40</v>
      </c>
      <c r="G43" s="10" t="s">
        <v>106</v>
      </c>
      <c r="H43" s="9" t="s">
        <v>145</v>
      </c>
      <c r="I43" s="9" t="s">
        <v>180</v>
      </c>
      <c r="J43" s="10"/>
      <c r="K43" s="10" t="s">
        <v>56</v>
      </c>
      <c r="L43" s="9" t="s">
        <v>58</v>
      </c>
      <c r="M43" s="10" t="s">
        <v>41</v>
      </c>
      <c r="N43" s="10"/>
      <c r="O43" s="10" t="s">
        <v>181</v>
      </c>
      <c r="P43" s="9" t="s">
        <v>181</v>
      </c>
      <c r="Q43" s="9" t="s">
        <v>153</v>
      </c>
      <c r="R43" s="10"/>
      <c r="S43" s="32" t="str">
        <f>"770,0"</f>
        <v>770,0</v>
      </c>
      <c r="T43" s="35" t="str">
        <f>"455,9170"</f>
        <v>455,9170</v>
      </c>
      <c r="U43" s="8"/>
    </row>
    <row r="44" spans="1:21" x14ac:dyDescent="0.2">
      <c r="A44" s="38" t="s">
        <v>183</v>
      </c>
      <c r="B44" s="14" t="s">
        <v>184</v>
      </c>
      <c r="C44" s="14" t="s">
        <v>185</v>
      </c>
      <c r="D44" s="14" t="str">
        <f>"0,5890"</f>
        <v>0,5890</v>
      </c>
      <c r="E44" s="14" t="s">
        <v>17</v>
      </c>
      <c r="F44" s="14" t="s">
        <v>40</v>
      </c>
      <c r="G44" s="16" t="s">
        <v>73</v>
      </c>
      <c r="H44" s="15" t="s">
        <v>74</v>
      </c>
      <c r="I44" s="16" t="s">
        <v>108</v>
      </c>
      <c r="J44" s="16"/>
      <c r="K44" s="15" t="s">
        <v>67</v>
      </c>
      <c r="L44" s="15" t="s">
        <v>186</v>
      </c>
      <c r="M44" s="15" t="s">
        <v>63</v>
      </c>
      <c r="N44" s="16"/>
      <c r="O44" s="16" t="s">
        <v>126</v>
      </c>
      <c r="P44" s="15" t="s">
        <v>109</v>
      </c>
      <c r="Q44" s="16"/>
      <c r="R44" s="16"/>
      <c r="S44" s="38" t="str">
        <f>"670,0"</f>
        <v>670,0</v>
      </c>
      <c r="T44" s="39" t="str">
        <f>"394,6300"</f>
        <v>394,6300</v>
      </c>
      <c r="U44" s="14"/>
    </row>
    <row r="45" spans="1:21" x14ac:dyDescent="0.2">
      <c r="A45" s="38" t="s">
        <v>187</v>
      </c>
      <c r="B45" s="14" t="s">
        <v>188</v>
      </c>
      <c r="C45" s="14" t="s">
        <v>189</v>
      </c>
      <c r="D45" s="14" t="str">
        <f>"0,5980"</f>
        <v>0,5980</v>
      </c>
      <c r="E45" s="14" t="s">
        <v>17</v>
      </c>
      <c r="F45" s="14" t="s">
        <v>190</v>
      </c>
      <c r="G45" s="16" t="s">
        <v>191</v>
      </c>
      <c r="H45" s="16" t="s">
        <v>191</v>
      </c>
      <c r="I45" s="16" t="s">
        <v>192</v>
      </c>
      <c r="J45" s="16"/>
      <c r="K45" s="16" t="s">
        <v>41</v>
      </c>
      <c r="L45" s="16"/>
      <c r="M45" s="16"/>
      <c r="N45" s="16"/>
      <c r="O45" s="16" t="s">
        <v>193</v>
      </c>
      <c r="P45" s="16"/>
      <c r="Q45" s="16"/>
      <c r="R45" s="16"/>
      <c r="S45" s="38" t="str">
        <f>"0.00"</f>
        <v>0.00</v>
      </c>
      <c r="T45" s="39" t="str">
        <f>"0,0000"</f>
        <v>0,0000</v>
      </c>
      <c r="U45" s="14"/>
    </row>
    <row r="46" spans="1:21" x14ac:dyDescent="0.2">
      <c r="A46" s="33" t="s">
        <v>194</v>
      </c>
      <c r="B46" s="11" t="s">
        <v>195</v>
      </c>
      <c r="C46" s="11" t="s">
        <v>185</v>
      </c>
      <c r="D46" s="11" t="str">
        <f>"0,5890"</f>
        <v>0,5890</v>
      </c>
      <c r="E46" s="11" t="s">
        <v>17</v>
      </c>
      <c r="F46" s="11" t="s">
        <v>40</v>
      </c>
      <c r="G46" s="13" t="s">
        <v>73</v>
      </c>
      <c r="H46" s="12" t="s">
        <v>74</v>
      </c>
      <c r="I46" s="13" t="s">
        <v>108</v>
      </c>
      <c r="J46" s="13"/>
      <c r="K46" s="12" t="s">
        <v>67</v>
      </c>
      <c r="L46" s="12" t="s">
        <v>186</v>
      </c>
      <c r="M46" s="12" t="s">
        <v>63</v>
      </c>
      <c r="N46" s="13"/>
      <c r="O46" s="13" t="s">
        <v>126</v>
      </c>
      <c r="P46" s="12" t="s">
        <v>109</v>
      </c>
      <c r="Q46" s="13"/>
      <c r="R46" s="13"/>
      <c r="S46" s="33" t="str">
        <f>"670,0"</f>
        <v>670,0</v>
      </c>
      <c r="T46" s="36" t="str">
        <f>"421,4648"</f>
        <v>421,4648</v>
      </c>
      <c r="U46" s="11"/>
    </row>
    <row r="48" spans="1:21" ht="15" x14ac:dyDescent="0.2">
      <c r="A48" s="44" t="s">
        <v>196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</row>
    <row r="49" spans="1:21" x14ac:dyDescent="0.2">
      <c r="A49" s="32" t="s">
        <v>198</v>
      </c>
      <c r="B49" s="8" t="s">
        <v>199</v>
      </c>
      <c r="C49" s="8" t="s">
        <v>200</v>
      </c>
      <c r="D49" s="8" t="str">
        <f>"0,5836"</f>
        <v>0,5836</v>
      </c>
      <c r="E49" s="8" t="s">
        <v>17</v>
      </c>
      <c r="F49" s="8" t="s">
        <v>201</v>
      </c>
      <c r="G49" s="9" t="s">
        <v>105</v>
      </c>
      <c r="H49" s="9" t="s">
        <v>153</v>
      </c>
      <c r="I49" s="9" t="s">
        <v>106</v>
      </c>
      <c r="J49" s="10"/>
      <c r="K49" s="9" t="s">
        <v>82</v>
      </c>
      <c r="L49" s="9" t="s">
        <v>57</v>
      </c>
      <c r="M49" s="9" t="s">
        <v>58</v>
      </c>
      <c r="N49" s="10"/>
      <c r="O49" s="9" t="s">
        <v>105</v>
      </c>
      <c r="P49" s="10" t="s">
        <v>119</v>
      </c>
      <c r="Q49" s="9" t="s">
        <v>119</v>
      </c>
      <c r="R49" s="10"/>
      <c r="S49" s="32" t="str">
        <f>"740,0"</f>
        <v>740,0</v>
      </c>
      <c r="T49" s="35" t="str">
        <f>"431,8640"</f>
        <v>431,8640</v>
      </c>
      <c r="U49" s="8"/>
    </row>
    <row r="50" spans="1:21" x14ac:dyDescent="0.2">
      <c r="A50" s="33" t="s">
        <v>202</v>
      </c>
      <c r="B50" s="11" t="s">
        <v>203</v>
      </c>
      <c r="C50" s="11" t="s">
        <v>204</v>
      </c>
      <c r="D50" s="11" t="str">
        <f>"0,5792"</f>
        <v>0,5792</v>
      </c>
      <c r="E50" s="11" t="s">
        <v>17</v>
      </c>
      <c r="F50" s="11" t="s">
        <v>40</v>
      </c>
      <c r="G50" s="12" t="s">
        <v>126</v>
      </c>
      <c r="H50" s="13" t="s">
        <v>181</v>
      </c>
      <c r="I50" s="12" t="s">
        <v>105</v>
      </c>
      <c r="J50" s="13"/>
      <c r="K50" s="12" t="s">
        <v>54</v>
      </c>
      <c r="L50" s="13" t="s">
        <v>82</v>
      </c>
      <c r="M50" s="12" t="s">
        <v>82</v>
      </c>
      <c r="N50" s="13"/>
      <c r="O50" s="12" t="s">
        <v>126</v>
      </c>
      <c r="P50" s="12" t="s">
        <v>118</v>
      </c>
      <c r="Q50" s="12" t="s">
        <v>205</v>
      </c>
      <c r="R50" s="13"/>
      <c r="S50" s="33" t="str">
        <f>"702,5"</f>
        <v>702,5</v>
      </c>
      <c r="T50" s="36" t="str">
        <f>"434,5564"</f>
        <v>434,5564</v>
      </c>
      <c r="U50" s="11"/>
    </row>
    <row r="52" spans="1:21" ht="15" x14ac:dyDescent="0.2">
      <c r="E52" s="17" t="s">
        <v>206</v>
      </c>
    </row>
    <row r="53" spans="1:21" ht="15" x14ac:dyDescent="0.2">
      <c r="E53" s="17" t="s">
        <v>207</v>
      </c>
    </row>
    <row r="54" spans="1:21" ht="15" x14ac:dyDescent="0.2">
      <c r="E54" s="17" t="s">
        <v>208</v>
      </c>
    </row>
    <row r="55" spans="1:21" ht="15" x14ac:dyDescent="0.2">
      <c r="E55" s="17" t="s">
        <v>209</v>
      </c>
    </row>
    <row r="56" spans="1:21" ht="15" x14ac:dyDescent="0.2">
      <c r="E56" s="17" t="s">
        <v>209</v>
      </c>
    </row>
    <row r="57" spans="1:21" ht="15" x14ac:dyDescent="0.2">
      <c r="E57" s="17" t="s">
        <v>210</v>
      </c>
    </row>
    <row r="58" spans="1:21" ht="15" x14ac:dyDescent="0.2">
      <c r="E58" s="17"/>
    </row>
    <row r="60" spans="1:21" ht="18" x14ac:dyDescent="0.25">
      <c r="A60" s="18" t="s">
        <v>211</v>
      </c>
      <c r="B60" s="18"/>
    </row>
    <row r="61" spans="1:21" ht="15" x14ac:dyDescent="0.2">
      <c r="A61" s="19" t="s">
        <v>226</v>
      </c>
      <c r="B61" s="19"/>
    </row>
    <row r="62" spans="1:21" ht="14.25" x14ac:dyDescent="0.2">
      <c r="A62" s="21"/>
      <c r="B62" s="22" t="s">
        <v>220</v>
      </c>
    </row>
    <row r="63" spans="1:21" ht="15" x14ac:dyDescent="0.2">
      <c r="A63" s="23" t="s">
        <v>213</v>
      </c>
      <c r="B63" s="23" t="s">
        <v>214</v>
      </c>
      <c r="C63" s="23" t="s">
        <v>215</v>
      </c>
      <c r="D63" s="23" t="s">
        <v>216</v>
      </c>
      <c r="E63" s="23" t="s">
        <v>217</v>
      </c>
    </row>
    <row r="64" spans="1:21" x14ac:dyDescent="0.2">
      <c r="A64" s="20" t="s">
        <v>148</v>
      </c>
      <c r="B64" s="4" t="s">
        <v>220</v>
      </c>
      <c r="C64" s="4" t="s">
        <v>231</v>
      </c>
      <c r="D64" s="4" t="s">
        <v>233</v>
      </c>
      <c r="E64" s="24" t="s">
        <v>234</v>
      </c>
    </row>
    <row r="65" spans="1:5" x14ac:dyDescent="0.2">
      <c r="A65" s="20" t="s">
        <v>176</v>
      </c>
      <c r="B65" s="4" t="s">
        <v>220</v>
      </c>
      <c r="C65" s="4" t="s">
        <v>235</v>
      </c>
      <c r="D65" s="4" t="s">
        <v>236</v>
      </c>
      <c r="E65" s="24" t="s">
        <v>237</v>
      </c>
    </row>
    <row r="66" spans="1:5" x14ac:dyDescent="0.2">
      <c r="A66" s="20" t="s">
        <v>111</v>
      </c>
      <c r="B66" s="4" t="s">
        <v>220</v>
      </c>
      <c r="C66" s="4" t="s">
        <v>229</v>
      </c>
      <c r="D66" s="4" t="s">
        <v>238</v>
      </c>
      <c r="E66" s="24" t="s">
        <v>239</v>
      </c>
    </row>
    <row r="67" spans="1:5" x14ac:dyDescent="0.2">
      <c r="A67" s="20" t="s">
        <v>154</v>
      </c>
      <c r="B67" s="4" t="s">
        <v>220</v>
      </c>
      <c r="C67" s="4" t="s">
        <v>231</v>
      </c>
      <c r="D67" s="4" t="s">
        <v>240</v>
      </c>
      <c r="E67" s="24" t="s">
        <v>241</v>
      </c>
    </row>
    <row r="68" spans="1:5" x14ac:dyDescent="0.2">
      <c r="A68" s="20" t="s">
        <v>122</v>
      </c>
      <c r="B68" s="4" t="s">
        <v>220</v>
      </c>
      <c r="C68" s="4" t="s">
        <v>229</v>
      </c>
      <c r="D68" s="4" t="s">
        <v>242</v>
      </c>
      <c r="E68" s="24" t="s">
        <v>243</v>
      </c>
    </row>
    <row r="69" spans="1:5" x14ac:dyDescent="0.2">
      <c r="A69" s="20" t="s">
        <v>197</v>
      </c>
      <c r="B69" s="4" t="s">
        <v>220</v>
      </c>
      <c r="C69" s="4" t="s">
        <v>244</v>
      </c>
      <c r="D69" s="4" t="s">
        <v>245</v>
      </c>
      <c r="E69" s="24" t="s">
        <v>246</v>
      </c>
    </row>
    <row r="70" spans="1:5" x14ac:dyDescent="0.2">
      <c r="A70" s="20" t="s">
        <v>159</v>
      </c>
      <c r="B70" s="4" t="s">
        <v>220</v>
      </c>
      <c r="C70" s="4" t="s">
        <v>231</v>
      </c>
      <c r="D70" s="4" t="s">
        <v>247</v>
      </c>
      <c r="E70" s="24" t="s">
        <v>248</v>
      </c>
    </row>
    <row r="71" spans="1:5" x14ac:dyDescent="0.2">
      <c r="A71" s="20" t="s">
        <v>182</v>
      </c>
      <c r="B71" s="4" t="s">
        <v>220</v>
      </c>
      <c r="C71" s="4" t="s">
        <v>235</v>
      </c>
      <c r="D71" s="4" t="s">
        <v>249</v>
      </c>
      <c r="E71" s="24" t="s">
        <v>250</v>
      </c>
    </row>
    <row r="72" spans="1:5" x14ac:dyDescent="0.2">
      <c r="A72" s="20" t="s">
        <v>89</v>
      </c>
      <c r="B72" s="4" t="s">
        <v>220</v>
      </c>
      <c r="C72" s="4" t="s">
        <v>219</v>
      </c>
      <c r="D72" s="4" t="s">
        <v>251</v>
      </c>
      <c r="E72" s="24" t="s">
        <v>252</v>
      </c>
    </row>
    <row r="73" spans="1:5" x14ac:dyDescent="0.2">
      <c r="A73" s="20" t="s">
        <v>129</v>
      </c>
      <c r="B73" s="4" t="s">
        <v>220</v>
      </c>
      <c r="C73" s="4" t="s">
        <v>229</v>
      </c>
      <c r="D73" s="4" t="s">
        <v>253</v>
      </c>
      <c r="E73" s="24" t="s">
        <v>254</v>
      </c>
    </row>
    <row r="74" spans="1:5" x14ac:dyDescent="0.2">
      <c r="A74" s="20" t="s">
        <v>165</v>
      </c>
      <c r="B74" s="4" t="s">
        <v>220</v>
      </c>
      <c r="C74" s="4" t="s">
        <v>231</v>
      </c>
      <c r="D74" s="4" t="s">
        <v>255</v>
      </c>
      <c r="E74" s="24" t="s">
        <v>256</v>
      </c>
    </row>
    <row r="75" spans="1:5" x14ac:dyDescent="0.2">
      <c r="A75" s="20" t="s">
        <v>69</v>
      </c>
      <c r="B75" s="4" t="s">
        <v>220</v>
      </c>
      <c r="C75" s="4" t="s">
        <v>221</v>
      </c>
      <c r="D75" s="4" t="s">
        <v>257</v>
      </c>
      <c r="E75" s="24" t="s">
        <v>258</v>
      </c>
    </row>
    <row r="76" spans="1:5" x14ac:dyDescent="0.2">
      <c r="A76" s="20" t="s">
        <v>76</v>
      </c>
      <c r="B76" s="4" t="s">
        <v>220</v>
      </c>
      <c r="C76" s="4" t="s">
        <v>221</v>
      </c>
      <c r="D76" s="4" t="s">
        <v>259</v>
      </c>
      <c r="E76" s="24" t="s">
        <v>260</v>
      </c>
    </row>
  </sheetData>
  <mergeCells count="23"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T5"/>
    <mergeCell ref="A8:T8"/>
    <mergeCell ref="A11:T11"/>
    <mergeCell ref="A15:T15"/>
    <mergeCell ref="A18:T18"/>
    <mergeCell ref="A23:T23"/>
    <mergeCell ref="A26:T26"/>
    <mergeCell ref="A34:T34"/>
    <mergeCell ref="A42:T42"/>
    <mergeCell ref="A48:T48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sqref="A1:U2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8" width="5.5703125" style="3" bestFit="1" customWidth="1"/>
    <col min="9" max="9" width="2.140625" style="3" bestFit="1" customWidth="1"/>
    <col min="10" max="10" width="4.85546875" style="3" bestFit="1" customWidth="1"/>
    <col min="11" max="12" width="5.5703125" style="3" bestFit="1" customWidth="1"/>
    <col min="13" max="13" width="2.140625" style="3" bestFit="1" customWidth="1"/>
    <col min="14" max="14" width="4.85546875" style="3" bestFit="1" customWidth="1"/>
    <col min="15" max="16" width="5.5703125" style="3" bestFit="1" customWidth="1"/>
    <col min="17" max="17" width="2.1406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5.7109375" style="4" bestFit="1" customWidth="1"/>
    <col min="22" max="16384" width="9.140625" style="3"/>
  </cols>
  <sheetData>
    <row r="1" spans="1:21" s="2" customFormat="1" ht="29.1" customHeight="1" x14ac:dyDescent="0.2">
      <c r="A1" s="50" t="s">
        <v>2235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10</v>
      </c>
      <c r="H3" s="45"/>
      <c r="I3" s="45"/>
      <c r="J3" s="45"/>
      <c r="K3" s="45" t="s">
        <v>11</v>
      </c>
      <c r="L3" s="45"/>
      <c r="M3" s="45"/>
      <c r="N3" s="45"/>
      <c r="O3" s="45" t="s">
        <v>12</v>
      </c>
      <c r="P3" s="45"/>
      <c r="Q3" s="45"/>
      <c r="R3" s="45"/>
      <c r="S3" s="45" t="s">
        <v>1</v>
      </c>
      <c r="T3" s="45" t="s">
        <v>3</v>
      </c>
      <c r="U3" s="47" t="s">
        <v>2</v>
      </c>
    </row>
    <row r="4" spans="1:21" s="1" customFormat="1" ht="30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30">
        <v>1</v>
      </c>
      <c r="L4" s="30">
        <v>2</v>
      </c>
      <c r="M4" s="30">
        <v>3</v>
      </c>
      <c r="N4" s="30" t="s">
        <v>5</v>
      </c>
      <c r="O4" s="30">
        <v>1</v>
      </c>
      <c r="P4" s="30">
        <v>2</v>
      </c>
      <c r="Q4" s="30">
        <v>3</v>
      </c>
      <c r="R4" s="30" t="s">
        <v>5</v>
      </c>
      <c r="S4" s="46"/>
      <c r="T4" s="46"/>
      <c r="U4" s="48"/>
    </row>
    <row r="5" spans="1:21" ht="15" x14ac:dyDescent="0.2">
      <c r="A5" s="49" t="s">
        <v>196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 x14ac:dyDescent="0.2">
      <c r="A6" s="34" t="s">
        <v>379</v>
      </c>
      <c r="B6" s="5" t="s">
        <v>380</v>
      </c>
      <c r="C6" s="5" t="s">
        <v>381</v>
      </c>
      <c r="D6" s="5" t="str">
        <f>"0,5872"</f>
        <v>0,5872</v>
      </c>
      <c r="E6" s="5" t="s">
        <v>17</v>
      </c>
      <c r="F6" s="5" t="s">
        <v>40</v>
      </c>
      <c r="G6" s="6" t="s">
        <v>318</v>
      </c>
      <c r="H6" s="6" t="s">
        <v>109</v>
      </c>
      <c r="I6" s="7"/>
      <c r="J6" s="7"/>
      <c r="K6" s="6" t="s">
        <v>47</v>
      </c>
      <c r="L6" s="7" t="s">
        <v>48</v>
      </c>
      <c r="M6" s="7"/>
      <c r="N6" s="7"/>
      <c r="O6" s="6" t="s">
        <v>126</v>
      </c>
      <c r="P6" s="6" t="s">
        <v>105</v>
      </c>
      <c r="Q6" s="7"/>
      <c r="R6" s="7"/>
      <c r="S6" s="34" t="str">
        <f>"730,0"</f>
        <v>730,0</v>
      </c>
      <c r="T6" s="37" t="str">
        <f>"432,9425"</f>
        <v>432,9425</v>
      </c>
      <c r="U6" s="5"/>
    </row>
    <row r="8" spans="1:21" ht="15" x14ac:dyDescent="0.2">
      <c r="E8" s="17" t="s">
        <v>206</v>
      </c>
    </row>
    <row r="9" spans="1:21" ht="15" x14ac:dyDescent="0.2">
      <c r="E9" s="17" t="s">
        <v>207</v>
      </c>
    </row>
    <row r="10" spans="1:21" ht="15" x14ac:dyDescent="0.2">
      <c r="E10" s="17" t="s">
        <v>208</v>
      </c>
    </row>
    <row r="11" spans="1:21" ht="15" x14ac:dyDescent="0.2">
      <c r="E11" s="17" t="s">
        <v>209</v>
      </c>
    </row>
    <row r="12" spans="1:21" ht="15" x14ac:dyDescent="0.2">
      <c r="E12" s="17" t="s">
        <v>209</v>
      </c>
    </row>
    <row r="13" spans="1:21" ht="15" x14ac:dyDescent="0.2">
      <c r="E13" s="17" t="s">
        <v>210</v>
      </c>
    </row>
    <row r="14" spans="1:21" ht="15" x14ac:dyDescent="0.2">
      <c r="E14" s="17"/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opLeftCell="A42" workbookViewId="0">
      <selection activeCell="F61" sqref="F61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285156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7.85546875" style="4" bestFit="1" customWidth="1"/>
    <col min="14" max="16384" width="9.140625" style="3"/>
  </cols>
  <sheetData>
    <row r="1" spans="1:13" s="2" customFormat="1" ht="29.1" customHeight="1" x14ac:dyDescent="0.2">
      <c r="A1" s="50" t="s">
        <v>2236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11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29.2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4" t="s">
        <v>745</v>
      </c>
      <c r="B6" s="5" t="s">
        <v>746</v>
      </c>
      <c r="C6" s="5" t="s">
        <v>747</v>
      </c>
      <c r="D6" s="5" t="str">
        <f>"0,9571"</f>
        <v>0,9571</v>
      </c>
      <c r="E6" s="5" t="s">
        <v>17</v>
      </c>
      <c r="F6" s="5" t="s">
        <v>40</v>
      </c>
      <c r="G6" s="6" t="s">
        <v>81</v>
      </c>
      <c r="H6" s="6" t="s">
        <v>401</v>
      </c>
      <c r="I6" s="7" t="s">
        <v>44</v>
      </c>
      <c r="J6" s="7"/>
      <c r="K6" s="34" t="str">
        <f>"105,0"</f>
        <v>105,0</v>
      </c>
      <c r="L6" s="37" t="str">
        <f>"100,4955"</f>
        <v>100,4955</v>
      </c>
      <c r="M6" s="5"/>
    </row>
    <row r="8" spans="1:13" ht="15" x14ac:dyDescent="0.2">
      <c r="A8" s="44" t="s">
        <v>59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">
      <c r="A9" s="34" t="s">
        <v>748</v>
      </c>
      <c r="B9" s="5" t="s">
        <v>749</v>
      </c>
      <c r="C9" s="5" t="s">
        <v>750</v>
      </c>
      <c r="D9" s="5" t="str">
        <f>"0,9064"</f>
        <v>0,9064</v>
      </c>
      <c r="E9" s="5" t="s">
        <v>17</v>
      </c>
      <c r="F9" s="5" t="s">
        <v>751</v>
      </c>
      <c r="G9" s="7" t="s">
        <v>66</v>
      </c>
      <c r="H9" s="7" t="s">
        <v>19</v>
      </c>
      <c r="I9" s="6" t="s">
        <v>19</v>
      </c>
      <c r="J9" s="7"/>
      <c r="K9" s="34" t="str">
        <f>"120,0"</f>
        <v>120,0</v>
      </c>
      <c r="L9" s="37" t="str">
        <f>"108,7680"</f>
        <v>108,7680</v>
      </c>
      <c r="M9" s="5" t="s">
        <v>752</v>
      </c>
    </row>
    <row r="11" spans="1:13" ht="15" x14ac:dyDescent="0.2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3" x14ac:dyDescent="0.2">
      <c r="A12" s="34" t="s">
        <v>754</v>
      </c>
      <c r="B12" s="5" t="s">
        <v>755</v>
      </c>
      <c r="C12" s="5" t="s">
        <v>756</v>
      </c>
      <c r="D12" s="5" t="str">
        <f>"0,7794"</f>
        <v>0,7794</v>
      </c>
      <c r="E12" s="5" t="s">
        <v>17</v>
      </c>
      <c r="F12" s="5" t="s">
        <v>40</v>
      </c>
      <c r="G12" s="6" t="s">
        <v>19</v>
      </c>
      <c r="H12" s="6" t="s">
        <v>29</v>
      </c>
      <c r="I12" s="6" t="s">
        <v>33</v>
      </c>
      <c r="J12" s="7" t="s">
        <v>757</v>
      </c>
      <c r="K12" s="34" t="str">
        <f>"130,0"</f>
        <v>130,0</v>
      </c>
      <c r="L12" s="37" t="str">
        <f>"101,3220"</f>
        <v>101,3220</v>
      </c>
      <c r="M12" s="5"/>
    </row>
    <row r="14" spans="1:13" ht="15" x14ac:dyDescent="0.2">
      <c r="A14" s="44" t="s">
        <v>36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3" x14ac:dyDescent="0.2">
      <c r="A15" s="32" t="s">
        <v>759</v>
      </c>
      <c r="B15" s="8" t="s">
        <v>760</v>
      </c>
      <c r="C15" s="8" t="s">
        <v>761</v>
      </c>
      <c r="D15" s="8" t="str">
        <f>"0,7139"</f>
        <v>0,7139</v>
      </c>
      <c r="E15" s="8" t="s">
        <v>17</v>
      </c>
      <c r="F15" s="8" t="s">
        <v>40</v>
      </c>
      <c r="G15" s="9" t="s">
        <v>28</v>
      </c>
      <c r="H15" s="10" t="s">
        <v>19</v>
      </c>
      <c r="I15" s="9" t="s">
        <v>408</v>
      </c>
      <c r="J15" s="10"/>
      <c r="K15" s="32" t="str">
        <f>"122,5"</f>
        <v>122,5</v>
      </c>
      <c r="L15" s="35" t="str">
        <f>"87,4528"</f>
        <v>87,4528</v>
      </c>
      <c r="M15" s="8" t="s">
        <v>35</v>
      </c>
    </row>
    <row r="16" spans="1:13" x14ac:dyDescent="0.2">
      <c r="A16" s="38" t="s">
        <v>763</v>
      </c>
      <c r="B16" s="14" t="s">
        <v>764</v>
      </c>
      <c r="C16" s="14" t="s">
        <v>765</v>
      </c>
      <c r="D16" s="14" t="str">
        <f>"0,7494"</f>
        <v>0,7494</v>
      </c>
      <c r="E16" s="14" t="s">
        <v>17</v>
      </c>
      <c r="F16" s="14" t="s">
        <v>766</v>
      </c>
      <c r="G16" s="15" t="s">
        <v>32</v>
      </c>
      <c r="H16" s="16" t="s">
        <v>28</v>
      </c>
      <c r="I16" s="16" t="s">
        <v>28</v>
      </c>
      <c r="J16" s="16"/>
      <c r="K16" s="38" t="str">
        <f>"90,0"</f>
        <v>90,0</v>
      </c>
      <c r="L16" s="39" t="str">
        <f>"67,4460"</f>
        <v>67,4460</v>
      </c>
      <c r="M16" s="14" t="s">
        <v>767</v>
      </c>
    </row>
    <row r="17" spans="1:13" x14ac:dyDescent="0.2">
      <c r="A17" s="38" t="s">
        <v>280</v>
      </c>
      <c r="B17" s="14" t="s">
        <v>281</v>
      </c>
      <c r="C17" s="14" t="s">
        <v>282</v>
      </c>
      <c r="D17" s="14" t="str">
        <f>"0,7278"</f>
        <v>0,7278</v>
      </c>
      <c r="E17" s="14" t="s">
        <v>17</v>
      </c>
      <c r="F17" s="14" t="s">
        <v>2255</v>
      </c>
      <c r="G17" s="15" t="s">
        <v>33</v>
      </c>
      <c r="H17" s="15" t="s">
        <v>94</v>
      </c>
      <c r="I17" s="16" t="s">
        <v>34</v>
      </c>
      <c r="J17" s="16"/>
      <c r="K17" s="38" t="str">
        <f>"137,5"</f>
        <v>137,5</v>
      </c>
      <c r="L17" s="39" t="str">
        <f>"136,6990"</f>
        <v>136,6990</v>
      </c>
      <c r="M17" s="14"/>
    </row>
    <row r="18" spans="1:13" x14ac:dyDescent="0.2">
      <c r="A18" s="38" t="s">
        <v>769</v>
      </c>
      <c r="B18" s="14" t="s">
        <v>770</v>
      </c>
      <c r="C18" s="14" t="s">
        <v>39</v>
      </c>
      <c r="D18" s="14" t="str">
        <f>"0,7271"</f>
        <v>0,7271</v>
      </c>
      <c r="E18" s="14" t="s">
        <v>17</v>
      </c>
      <c r="F18" s="14" t="s">
        <v>40</v>
      </c>
      <c r="G18" s="15" t="s">
        <v>269</v>
      </c>
      <c r="H18" s="16"/>
      <c r="I18" s="16"/>
      <c r="J18" s="16"/>
      <c r="K18" s="38" t="str">
        <f>"85,0"</f>
        <v>85,0</v>
      </c>
      <c r="L18" s="39" t="str">
        <f>"87,8228"</f>
        <v>87,8228</v>
      </c>
      <c r="M18" s="14"/>
    </row>
    <row r="19" spans="1:13" x14ac:dyDescent="0.2">
      <c r="A19" s="38" t="s">
        <v>772</v>
      </c>
      <c r="B19" s="14" t="s">
        <v>773</v>
      </c>
      <c r="C19" s="14" t="s">
        <v>774</v>
      </c>
      <c r="D19" s="14" t="str">
        <f>"0,7502"</f>
        <v>0,7502</v>
      </c>
      <c r="E19" s="14" t="s">
        <v>17</v>
      </c>
      <c r="F19" s="14" t="s">
        <v>775</v>
      </c>
      <c r="G19" s="16" t="s">
        <v>32</v>
      </c>
      <c r="H19" s="15" t="s">
        <v>32</v>
      </c>
      <c r="I19" s="16" t="s">
        <v>81</v>
      </c>
      <c r="J19" s="16"/>
      <c r="K19" s="38" t="str">
        <f>"90,0"</f>
        <v>90,0</v>
      </c>
      <c r="L19" s="39" t="str">
        <f>"102,0197"</f>
        <v>102,0197</v>
      </c>
      <c r="M19" s="14"/>
    </row>
    <row r="20" spans="1:13" x14ac:dyDescent="0.2">
      <c r="A20" s="38" t="s">
        <v>777</v>
      </c>
      <c r="B20" s="14" t="s">
        <v>778</v>
      </c>
      <c r="C20" s="14" t="s">
        <v>779</v>
      </c>
      <c r="D20" s="14" t="str">
        <f>"0,7445"</f>
        <v>0,7445</v>
      </c>
      <c r="E20" s="14" t="s">
        <v>17</v>
      </c>
      <c r="F20" s="14" t="s">
        <v>40</v>
      </c>
      <c r="G20" s="15" t="s">
        <v>31</v>
      </c>
      <c r="H20" s="15" t="s">
        <v>32</v>
      </c>
      <c r="I20" s="15" t="s">
        <v>81</v>
      </c>
      <c r="J20" s="16"/>
      <c r="K20" s="38" t="str">
        <f>"100,0"</f>
        <v>100,0</v>
      </c>
      <c r="L20" s="39" t="str">
        <f>"122,4702"</f>
        <v>122,4702</v>
      </c>
      <c r="M20" s="14" t="s">
        <v>780</v>
      </c>
    </row>
    <row r="21" spans="1:13" x14ac:dyDescent="0.2">
      <c r="A21" s="33" t="s">
        <v>782</v>
      </c>
      <c r="B21" s="11" t="s">
        <v>783</v>
      </c>
      <c r="C21" s="11" t="s">
        <v>79</v>
      </c>
      <c r="D21" s="11" t="str">
        <f>"0,7264"</f>
        <v>0,7264</v>
      </c>
      <c r="E21" s="11" t="s">
        <v>17</v>
      </c>
      <c r="F21" s="11" t="s">
        <v>459</v>
      </c>
      <c r="G21" s="12" t="s">
        <v>264</v>
      </c>
      <c r="H21" s="12" t="s">
        <v>31</v>
      </c>
      <c r="I21" s="13" t="s">
        <v>55</v>
      </c>
      <c r="J21" s="13"/>
      <c r="K21" s="33" t="str">
        <f>"80,0"</f>
        <v>80,0</v>
      </c>
      <c r="L21" s="36" t="str">
        <f>"119,1296"</f>
        <v>119,1296</v>
      </c>
      <c r="M21" s="11"/>
    </row>
    <row r="23" spans="1:13" ht="15" x14ac:dyDescent="0.2">
      <c r="A23" s="44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3" x14ac:dyDescent="0.2">
      <c r="A24" s="32" t="s">
        <v>785</v>
      </c>
      <c r="B24" s="8" t="s">
        <v>786</v>
      </c>
      <c r="C24" s="8" t="s">
        <v>787</v>
      </c>
      <c r="D24" s="8" t="str">
        <f>"0,6888"</f>
        <v>0,6888</v>
      </c>
      <c r="E24" s="8" t="s">
        <v>17</v>
      </c>
      <c r="F24" s="8" t="s">
        <v>40</v>
      </c>
      <c r="G24" s="9" t="s">
        <v>82</v>
      </c>
      <c r="H24" s="10" t="s">
        <v>169</v>
      </c>
      <c r="I24" s="10"/>
      <c r="J24" s="10"/>
      <c r="K24" s="32" t="str">
        <f>"160,0"</f>
        <v>160,0</v>
      </c>
      <c r="L24" s="35" t="str">
        <f>"110,2080"</f>
        <v>110,2080</v>
      </c>
      <c r="M24" s="8"/>
    </row>
    <row r="25" spans="1:13" x14ac:dyDescent="0.2">
      <c r="A25" s="38" t="s">
        <v>789</v>
      </c>
      <c r="B25" s="14" t="s">
        <v>790</v>
      </c>
      <c r="C25" s="14" t="s">
        <v>660</v>
      </c>
      <c r="D25" s="14" t="str">
        <f>"0,6724"</f>
        <v>0,6724</v>
      </c>
      <c r="E25" s="14" t="s">
        <v>17</v>
      </c>
      <c r="F25" s="14" t="s">
        <v>40</v>
      </c>
      <c r="G25" s="16" t="s">
        <v>20</v>
      </c>
      <c r="H25" s="15" t="s">
        <v>94</v>
      </c>
      <c r="I25" s="15" t="s">
        <v>163</v>
      </c>
      <c r="J25" s="16"/>
      <c r="K25" s="38" t="str">
        <f>"147,5"</f>
        <v>147,5</v>
      </c>
      <c r="L25" s="39" t="str">
        <f>"99,1790"</f>
        <v>99,1790</v>
      </c>
      <c r="M25" s="14" t="s">
        <v>791</v>
      </c>
    </row>
    <row r="26" spans="1:13" x14ac:dyDescent="0.2">
      <c r="A26" s="38" t="s">
        <v>793</v>
      </c>
      <c r="B26" s="14" t="s">
        <v>794</v>
      </c>
      <c r="C26" s="14" t="s">
        <v>286</v>
      </c>
      <c r="D26" s="14" t="str">
        <f>"0,6749"</f>
        <v>0,6749</v>
      </c>
      <c r="E26" s="14" t="s">
        <v>17</v>
      </c>
      <c r="F26" s="14" t="s">
        <v>40</v>
      </c>
      <c r="G26" s="16" t="s">
        <v>20</v>
      </c>
      <c r="H26" s="15" t="s">
        <v>34</v>
      </c>
      <c r="I26" s="15" t="s">
        <v>53</v>
      </c>
      <c r="J26" s="16"/>
      <c r="K26" s="38" t="str">
        <f>"145,0"</f>
        <v>145,0</v>
      </c>
      <c r="L26" s="39" t="str">
        <f>"97,8605"</f>
        <v>97,8605</v>
      </c>
      <c r="M26" s="14" t="s">
        <v>791</v>
      </c>
    </row>
    <row r="27" spans="1:13" x14ac:dyDescent="0.2">
      <c r="A27" s="38" t="s">
        <v>795</v>
      </c>
      <c r="B27" s="14" t="s">
        <v>796</v>
      </c>
      <c r="C27" s="14" t="s">
        <v>797</v>
      </c>
      <c r="D27" s="14" t="str">
        <f>"0,6939"</f>
        <v>0,6939</v>
      </c>
      <c r="E27" s="14" t="s">
        <v>17</v>
      </c>
      <c r="F27" s="14" t="s">
        <v>40</v>
      </c>
      <c r="G27" s="16" t="s">
        <v>81</v>
      </c>
      <c r="H27" s="16" t="s">
        <v>81</v>
      </c>
      <c r="I27" s="16" t="s">
        <v>81</v>
      </c>
      <c r="J27" s="16"/>
      <c r="K27" s="38" t="str">
        <f>"0.00"</f>
        <v>0.00</v>
      </c>
      <c r="L27" s="39" t="str">
        <f>"0,0000"</f>
        <v>0,0000</v>
      </c>
      <c r="M27" s="14"/>
    </row>
    <row r="28" spans="1:13" x14ac:dyDescent="0.2">
      <c r="A28" s="38" t="s">
        <v>799</v>
      </c>
      <c r="B28" s="14" t="s">
        <v>800</v>
      </c>
      <c r="C28" s="14" t="s">
        <v>801</v>
      </c>
      <c r="D28" s="14" t="str">
        <f>"0,6785"</f>
        <v>0,6785</v>
      </c>
      <c r="E28" s="14" t="s">
        <v>17</v>
      </c>
      <c r="F28" s="14" t="s">
        <v>40</v>
      </c>
      <c r="G28" s="16" t="s">
        <v>54</v>
      </c>
      <c r="H28" s="16" t="s">
        <v>54</v>
      </c>
      <c r="I28" s="16" t="s">
        <v>54</v>
      </c>
      <c r="J28" s="16"/>
      <c r="K28" s="38" t="str">
        <f>"0.00"</f>
        <v>0.00</v>
      </c>
      <c r="L28" s="39" t="str">
        <f>"0,0000"</f>
        <v>0,0000</v>
      </c>
      <c r="M28" s="14"/>
    </row>
    <row r="29" spans="1:13" x14ac:dyDescent="0.2">
      <c r="A29" s="33" t="s">
        <v>803</v>
      </c>
      <c r="B29" s="11" t="s">
        <v>804</v>
      </c>
      <c r="C29" s="11" t="s">
        <v>805</v>
      </c>
      <c r="D29" s="11" t="str">
        <f>"0,6774"</f>
        <v>0,6774</v>
      </c>
      <c r="E29" s="11" t="s">
        <v>17</v>
      </c>
      <c r="F29" s="11" t="s">
        <v>40</v>
      </c>
      <c r="G29" s="12" t="s">
        <v>31</v>
      </c>
      <c r="H29" s="13" t="s">
        <v>81</v>
      </c>
      <c r="I29" s="13" t="s">
        <v>401</v>
      </c>
      <c r="J29" s="13"/>
      <c r="K29" s="33" t="str">
        <f>"80,0"</f>
        <v>80,0</v>
      </c>
      <c r="L29" s="36" t="str">
        <f>"91,0968"</f>
        <v>91,0968</v>
      </c>
      <c r="M29" s="11" t="s">
        <v>780</v>
      </c>
    </row>
    <row r="31" spans="1:13" ht="15" x14ac:dyDescent="0.2">
      <c r="A31" s="44" t="s">
        <v>96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3" x14ac:dyDescent="0.2">
      <c r="A32" s="32" t="s">
        <v>807</v>
      </c>
      <c r="B32" s="8" t="s">
        <v>808</v>
      </c>
      <c r="C32" s="8" t="s">
        <v>809</v>
      </c>
      <c r="D32" s="8" t="str">
        <f>"0,6388"</f>
        <v>0,6388</v>
      </c>
      <c r="E32" s="8" t="s">
        <v>17</v>
      </c>
      <c r="F32" s="8" t="s">
        <v>810</v>
      </c>
      <c r="G32" s="9" t="s">
        <v>470</v>
      </c>
      <c r="H32" s="10" t="s">
        <v>48</v>
      </c>
      <c r="I32" s="10" t="s">
        <v>48</v>
      </c>
      <c r="J32" s="10"/>
      <c r="K32" s="32" t="str">
        <f>"207,5"</f>
        <v>207,5</v>
      </c>
      <c r="L32" s="35" t="str">
        <f>"132,5510"</f>
        <v>132,5510</v>
      </c>
      <c r="M32" s="8"/>
    </row>
    <row r="33" spans="1:13" x14ac:dyDescent="0.2">
      <c r="A33" s="38" t="s">
        <v>812</v>
      </c>
      <c r="B33" s="14" t="s">
        <v>813</v>
      </c>
      <c r="C33" s="14" t="s">
        <v>293</v>
      </c>
      <c r="D33" s="14" t="str">
        <f>"0,6424"</f>
        <v>0,6424</v>
      </c>
      <c r="E33" s="14" t="s">
        <v>17</v>
      </c>
      <c r="F33" s="14" t="s">
        <v>40</v>
      </c>
      <c r="G33" s="15" t="s">
        <v>41</v>
      </c>
      <c r="H33" s="15" t="s">
        <v>63</v>
      </c>
      <c r="I33" s="16" t="s">
        <v>46</v>
      </c>
      <c r="J33" s="16"/>
      <c r="K33" s="38" t="str">
        <f>"190,0"</f>
        <v>190,0</v>
      </c>
      <c r="L33" s="39" t="str">
        <f>"122,0560"</f>
        <v>122,0560</v>
      </c>
      <c r="M33" s="14" t="s">
        <v>814</v>
      </c>
    </row>
    <row r="34" spans="1:13" x14ac:dyDescent="0.2">
      <c r="A34" s="38" t="s">
        <v>816</v>
      </c>
      <c r="B34" s="14" t="s">
        <v>817</v>
      </c>
      <c r="C34" s="14" t="s">
        <v>485</v>
      </c>
      <c r="D34" s="14" t="str">
        <f>"0,6436"</f>
        <v>0,6436</v>
      </c>
      <c r="E34" s="14" t="s">
        <v>17</v>
      </c>
      <c r="F34" s="14" t="s">
        <v>40</v>
      </c>
      <c r="G34" s="15" t="s">
        <v>80</v>
      </c>
      <c r="H34" s="15" t="s">
        <v>56</v>
      </c>
      <c r="I34" s="16" t="s">
        <v>302</v>
      </c>
      <c r="J34" s="16"/>
      <c r="K34" s="38" t="str">
        <f>"165,0"</f>
        <v>165,0</v>
      </c>
      <c r="L34" s="39" t="str">
        <f>"106,1940"</f>
        <v>106,1940</v>
      </c>
      <c r="M34" s="14"/>
    </row>
    <row r="35" spans="1:13" x14ac:dyDescent="0.2">
      <c r="A35" s="38" t="s">
        <v>819</v>
      </c>
      <c r="B35" s="14" t="s">
        <v>820</v>
      </c>
      <c r="C35" s="14" t="s">
        <v>485</v>
      </c>
      <c r="D35" s="14" t="str">
        <f>"0,6436"</f>
        <v>0,6436</v>
      </c>
      <c r="E35" s="14" t="s">
        <v>17</v>
      </c>
      <c r="F35" s="14" t="s">
        <v>40</v>
      </c>
      <c r="G35" s="15" t="s">
        <v>385</v>
      </c>
      <c r="H35" s="15" t="s">
        <v>186</v>
      </c>
      <c r="I35" s="15" t="s">
        <v>63</v>
      </c>
      <c r="J35" s="15" t="s">
        <v>821</v>
      </c>
      <c r="K35" s="38" t="str">
        <f>"190,0"</f>
        <v>190,0</v>
      </c>
      <c r="L35" s="39" t="str">
        <f>"134,1455"</f>
        <v>134,1455</v>
      </c>
      <c r="M35" s="14"/>
    </row>
    <row r="36" spans="1:13" x14ac:dyDescent="0.2">
      <c r="A36" s="38" t="s">
        <v>823</v>
      </c>
      <c r="B36" s="14" t="s">
        <v>824</v>
      </c>
      <c r="C36" s="14" t="s">
        <v>825</v>
      </c>
      <c r="D36" s="14" t="str">
        <f>"0,6463"</f>
        <v>0,6463</v>
      </c>
      <c r="E36" s="14" t="s">
        <v>17</v>
      </c>
      <c r="F36" s="14" t="s">
        <v>826</v>
      </c>
      <c r="G36" s="15" t="s">
        <v>58</v>
      </c>
      <c r="H36" s="15" t="s">
        <v>827</v>
      </c>
      <c r="I36" s="15" t="s">
        <v>67</v>
      </c>
      <c r="J36" s="16"/>
      <c r="K36" s="38" t="str">
        <f>"180,0"</f>
        <v>180,0</v>
      </c>
      <c r="L36" s="39" t="str">
        <f>"144,9522"</f>
        <v>144,9522</v>
      </c>
      <c r="M36" s="14"/>
    </row>
    <row r="37" spans="1:13" x14ac:dyDescent="0.2">
      <c r="A37" s="33" t="s">
        <v>828</v>
      </c>
      <c r="B37" s="11" t="s">
        <v>307</v>
      </c>
      <c r="C37" s="11" t="s">
        <v>308</v>
      </c>
      <c r="D37" s="11" t="str">
        <f>"0,6471"</f>
        <v>0,6471</v>
      </c>
      <c r="E37" s="11" t="s">
        <v>17</v>
      </c>
      <c r="F37" s="11" t="s">
        <v>40</v>
      </c>
      <c r="G37" s="12" t="s">
        <v>32</v>
      </c>
      <c r="H37" s="12" t="s">
        <v>81</v>
      </c>
      <c r="I37" s="12" t="s">
        <v>401</v>
      </c>
      <c r="J37" s="13"/>
      <c r="K37" s="33" t="str">
        <f>"105,0"</f>
        <v>105,0</v>
      </c>
      <c r="L37" s="36" t="str">
        <f>"142,4138"</f>
        <v>142,4138</v>
      </c>
      <c r="M37" s="11"/>
    </row>
    <row r="39" spans="1:13" ht="15" x14ac:dyDescent="0.2">
      <c r="A39" s="44" t="s">
        <v>139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">
      <c r="A40" s="32" t="s">
        <v>830</v>
      </c>
      <c r="B40" s="8" t="s">
        <v>831</v>
      </c>
      <c r="C40" s="8" t="s">
        <v>832</v>
      </c>
      <c r="D40" s="8" t="str">
        <f>"0,6118"</f>
        <v>0,6118</v>
      </c>
      <c r="E40" s="8" t="s">
        <v>17</v>
      </c>
      <c r="F40" s="8" t="s">
        <v>324</v>
      </c>
      <c r="G40" s="9" t="s">
        <v>47</v>
      </c>
      <c r="H40" s="9" t="s">
        <v>48</v>
      </c>
      <c r="I40" s="10" t="s">
        <v>73</v>
      </c>
      <c r="J40" s="10"/>
      <c r="K40" s="32" t="str">
        <f>"215,0"</f>
        <v>215,0</v>
      </c>
      <c r="L40" s="35" t="str">
        <f>"131,5370"</f>
        <v>131,5370</v>
      </c>
      <c r="M40" s="8" t="s">
        <v>833</v>
      </c>
    </row>
    <row r="41" spans="1:13" x14ac:dyDescent="0.2">
      <c r="A41" s="38" t="s">
        <v>835</v>
      </c>
      <c r="B41" s="14" t="s">
        <v>836</v>
      </c>
      <c r="C41" s="14" t="s">
        <v>312</v>
      </c>
      <c r="D41" s="14" t="str">
        <f>"0,6126"</f>
        <v>0,6126</v>
      </c>
      <c r="E41" s="14" t="s">
        <v>17</v>
      </c>
      <c r="F41" s="14" t="s">
        <v>837</v>
      </c>
      <c r="G41" s="15" t="s">
        <v>67</v>
      </c>
      <c r="H41" s="16" t="s">
        <v>64</v>
      </c>
      <c r="I41" s="16" t="s">
        <v>64</v>
      </c>
      <c r="J41" s="16"/>
      <c r="K41" s="38" t="str">
        <f>"180,0"</f>
        <v>180,0</v>
      </c>
      <c r="L41" s="39" t="str">
        <f>"110,2680"</f>
        <v>110,2680</v>
      </c>
      <c r="M41" s="14"/>
    </row>
    <row r="42" spans="1:13" x14ac:dyDescent="0.2">
      <c r="A42" s="38" t="s">
        <v>839</v>
      </c>
      <c r="B42" s="14" t="s">
        <v>840</v>
      </c>
      <c r="C42" s="14" t="s">
        <v>841</v>
      </c>
      <c r="D42" s="14" t="str">
        <f>"0,6147"</f>
        <v>0,6147</v>
      </c>
      <c r="E42" s="14" t="s">
        <v>2216</v>
      </c>
      <c r="F42" s="14" t="s">
        <v>842</v>
      </c>
      <c r="G42" s="16" t="s">
        <v>65</v>
      </c>
      <c r="H42" s="16"/>
      <c r="I42" s="16"/>
      <c r="J42" s="16"/>
      <c r="K42" s="38" t="str">
        <f>"0.00"</f>
        <v>0.00</v>
      </c>
      <c r="L42" s="39" t="str">
        <f>"0,0000"</f>
        <v>0,0000</v>
      </c>
      <c r="M42" s="14"/>
    </row>
    <row r="43" spans="1:13" x14ac:dyDescent="0.2">
      <c r="A43" s="38" t="s">
        <v>844</v>
      </c>
      <c r="B43" s="14" t="s">
        <v>845</v>
      </c>
      <c r="C43" s="14" t="s">
        <v>846</v>
      </c>
      <c r="D43" s="14" t="str">
        <f>"0,6315"</f>
        <v>0,6315</v>
      </c>
      <c r="E43" s="14" t="s">
        <v>847</v>
      </c>
      <c r="F43" s="14" t="s">
        <v>2205</v>
      </c>
      <c r="G43" s="15" t="s">
        <v>29</v>
      </c>
      <c r="H43" s="16" t="s">
        <v>20</v>
      </c>
      <c r="I43" s="15" t="s">
        <v>20</v>
      </c>
      <c r="J43" s="16"/>
      <c r="K43" s="38" t="str">
        <f>"135,0"</f>
        <v>135,0</v>
      </c>
      <c r="L43" s="39" t="str">
        <f>"88,9184"</f>
        <v>88,9184</v>
      </c>
      <c r="M43" s="14"/>
    </row>
    <row r="44" spans="1:13" x14ac:dyDescent="0.2">
      <c r="A44" s="38" t="s">
        <v>849</v>
      </c>
      <c r="B44" s="14" t="s">
        <v>850</v>
      </c>
      <c r="C44" s="14" t="s">
        <v>832</v>
      </c>
      <c r="D44" s="14" t="str">
        <f>"0,6118"</f>
        <v>0,6118</v>
      </c>
      <c r="E44" s="14" t="s">
        <v>17</v>
      </c>
      <c r="F44" s="14" t="s">
        <v>40</v>
      </c>
      <c r="G44" s="15" t="s">
        <v>53</v>
      </c>
      <c r="H44" s="16" t="s">
        <v>80</v>
      </c>
      <c r="I44" s="15" t="s">
        <v>80</v>
      </c>
      <c r="J44" s="16"/>
      <c r="K44" s="38" t="str">
        <f>"155,0"</f>
        <v>155,0</v>
      </c>
      <c r="L44" s="39" t="str">
        <f>"101,2774"</f>
        <v>101,2774</v>
      </c>
      <c r="M44" s="14"/>
    </row>
    <row r="45" spans="1:13" x14ac:dyDescent="0.2">
      <c r="A45" s="33" t="s">
        <v>852</v>
      </c>
      <c r="B45" s="11" t="s">
        <v>853</v>
      </c>
      <c r="C45" s="11" t="s">
        <v>832</v>
      </c>
      <c r="D45" s="11" t="str">
        <f>"0,6118"</f>
        <v>0,6118</v>
      </c>
      <c r="E45" s="11" t="s">
        <v>17</v>
      </c>
      <c r="F45" s="11" t="s">
        <v>40</v>
      </c>
      <c r="G45" s="12" t="s">
        <v>54</v>
      </c>
      <c r="H45" s="13" t="s">
        <v>117</v>
      </c>
      <c r="I45" s="13"/>
      <c r="J45" s="13"/>
      <c r="K45" s="33" t="str">
        <f>"150,0"</f>
        <v>150,0</v>
      </c>
      <c r="L45" s="36" t="str">
        <f>"125,3578"</f>
        <v>125,3578</v>
      </c>
      <c r="M45" s="11" t="s">
        <v>2226</v>
      </c>
    </row>
    <row r="47" spans="1:13" ht="15" x14ac:dyDescent="0.2">
      <c r="A47" s="44" t="s">
        <v>175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3" x14ac:dyDescent="0.2">
      <c r="A48" s="32" t="s">
        <v>855</v>
      </c>
      <c r="B48" s="8" t="s">
        <v>856</v>
      </c>
      <c r="C48" s="8" t="s">
        <v>857</v>
      </c>
      <c r="D48" s="8" t="str">
        <f>"0,5950"</f>
        <v>0,5950</v>
      </c>
      <c r="E48" s="8" t="s">
        <v>17</v>
      </c>
      <c r="F48" s="8" t="s">
        <v>40</v>
      </c>
      <c r="G48" s="9" t="s">
        <v>74</v>
      </c>
      <c r="H48" s="9" t="s">
        <v>108</v>
      </c>
      <c r="I48" s="10" t="s">
        <v>116</v>
      </c>
      <c r="J48" s="10"/>
      <c r="K48" s="32" t="str">
        <f>"235,0"</f>
        <v>235,0</v>
      </c>
      <c r="L48" s="35" t="str">
        <f>"139,8250"</f>
        <v>139,8250</v>
      </c>
      <c r="M48" s="8" t="s">
        <v>858</v>
      </c>
    </row>
    <row r="49" spans="1:13" x14ac:dyDescent="0.2">
      <c r="A49" s="38" t="s">
        <v>860</v>
      </c>
      <c r="B49" s="14" t="s">
        <v>861</v>
      </c>
      <c r="C49" s="14" t="s">
        <v>862</v>
      </c>
      <c r="D49" s="14" t="str">
        <f>"0,6026"</f>
        <v>0,6026</v>
      </c>
      <c r="E49" s="14" t="s">
        <v>17</v>
      </c>
      <c r="F49" s="14" t="s">
        <v>686</v>
      </c>
      <c r="G49" s="15" t="s">
        <v>134</v>
      </c>
      <c r="H49" s="16" t="s">
        <v>626</v>
      </c>
      <c r="I49" s="16" t="s">
        <v>626</v>
      </c>
      <c r="J49" s="16"/>
      <c r="K49" s="38" t="str">
        <f>"230,0"</f>
        <v>230,0</v>
      </c>
      <c r="L49" s="39" t="str">
        <f>"138,5980"</f>
        <v>138,5980</v>
      </c>
      <c r="M49" s="14" t="s">
        <v>863</v>
      </c>
    </row>
    <row r="50" spans="1:13" x14ac:dyDescent="0.2">
      <c r="A50" s="38" t="s">
        <v>865</v>
      </c>
      <c r="B50" s="14" t="s">
        <v>866</v>
      </c>
      <c r="C50" s="14" t="s">
        <v>867</v>
      </c>
      <c r="D50" s="14" t="str">
        <f>"0,5914"</f>
        <v>0,5914</v>
      </c>
      <c r="E50" s="14" t="s">
        <v>17</v>
      </c>
      <c r="F50" s="14" t="s">
        <v>349</v>
      </c>
      <c r="G50" s="15" t="s">
        <v>65</v>
      </c>
      <c r="H50" s="15" t="s">
        <v>73</v>
      </c>
      <c r="I50" s="16" t="s">
        <v>74</v>
      </c>
      <c r="J50" s="16"/>
      <c r="K50" s="38" t="str">
        <f>"220,0"</f>
        <v>220,0</v>
      </c>
      <c r="L50" s="39" t="str">
        <f>"130,1080"</f>
        <v>130,1080</v>
      </c>
      <c r="M50" s="14" t="s">
        <v>868</v>
      </c>
    </row>
    <row r="51" spans="1:13" x14ac:dyDescent="0.2">
      <c r="A51" s="38" t="s">
        <v>870</v>
      </c>
      <c r="B51" s="14" t="s">
        <v>871</v>
      </c>
      <c r="C51" s="14" t="s">
        <v>872</v>
      </c>
      <c r="D51" s="14" t="str">
        <f>"0,5972"</f>
        <v>0,5972</v>
      </c>
      <c r="E51" s="14" t="s">
        <v>17</v>
      </c>
      <c r="F51" s="14" t="s">
        <v>40</v>
      </c>
      <c r="G51" s="15" t="s">
        <v>80</v>
      </c>
      <c r="H51" s="15" t="s">
        <v>56</v>
      </c>
      <c r="I51" s="16" t="s">
        <v>57</v>
      </c>
      <c r="J51" s="16"/>
      <c r="K51" s="38" t="str">
        <f>"165,0"</f>
        <v>165,0</v>
      </c>
      <c r="L51" s="39" t="str">
        <f>"98,5380"</f>
        <v>98,5380</v>
      </c>
      <c r="M51" s="14"/>
    </row>
    <row r="52" spans="1:13" x14ac:dyDescent="0.2">
      <c r="A52" s="38" t="s">
        <v>874</v>
      </c>
      <c r="B52" s="14" t="s">
        <v>875</v>
      </c>
      <c r="C52" s="14" t="s">
        <v>876</v>
      </c>
      <c r="D52" s="14" t="str">
        <f>"0,5937"</f>
        <v>0,5937</v>
      </c>
      <c r="E52" s="14" t="s">
        <v>17</v>
      </c>
      <c r="F52" s="14" t="s">
        <v>40</v>
      </c>
      <c r="G52" s="15" t="s">
        <v>57</v>
      </c>
      <c r="H52" s="15" t="s">
        <v>67</v>
      </c>
      <c r="I52" s="15" t="s">
        <v>186</v>
      </c>
      <c r="J52" s="16"/>
      <c r="K52" s="38" t="str">
        <f>"187,5"</f>
        <v>187,5</v>
      </c>
      <c r="L52" s="39" t="str">
        <f>"116,1055"</f>
        <v>116,1055</v>
      </c>
      <c r="M52" s="14" t="s">
        <v>877</v>
      </c>
    </row>
    <row r="53" spans="1:13" x14ac:dyDescent="0.2">
      <c r="A53" s="38" t="s">
        <v>879</v>
      </c>
      <c r="B53" s="14" t="s">
        <v>880</v>
      </c>
      <c r="C53" s="14" t="s">
        <v>881</v>
      </c>
      <c r="D53" s="14" t="str">
        <f>"0,5897"</f>
        <v>0,5897</v>
      </c>
      <c r="E53" s="14" t="s">
        <v>17</v>
      </c>
      <c r="F53" s="14" t="s">
        <v>40</v>
      </c>
      <c r="G53" s="15" t="s">
        <v>57</v>
      </c>
      <c r="H53" s="16" t="s">
        <v>827</v>
      </c>
      <c r="I53" s="15" t="s">
        <v>827</v>
      </c>
      <c r="J53" s="16"/>
      <c r="K53" s="38" t="str">
        <f>"177,5"</f>
        <v>177,5</v>
      </c>
      <c r="L53" s="39" t="str">
        <f>"110,4287"</f>
        <v>110,4287</v>
      </c>
      <c r="M53" s="14"/>
    </row>
    <row r="54" spans="1:13" x14ac:dyDescent="0.2">
      <c r="A54" s="38" t="s">
        <v>883</v>
      </c>
      <c r="B54" s="14" t="s">
        <v>884</v>
      </c>
      <c r="C54" s="14" t="s">
        <v>885</v>
      </c>
      <c r="D54" s="14" t="str">
        <f>"0,6079"</f>
        <v>0,6079</v>
      </c>
      <c r="E54" s="14" t="s">
        <v>17</v>
      </c>
      <c r="F54" s="14" t="s">
        <v>40</v>
      </c>
      <c r="G54" s="15" t="s">
        <v>82</v>
      </c>
      <c r="H54" s="15" t="s">
        <v>57</v>
      </c>
      <c r="I54" s="15" t="s">
        <v>58</v>
      </c>
      <c r="J54" s="16"/>
      <c r="K54" s="38" t="str">
        <f>"175,0"</f>
        <v>175,0</v>
      </c>
      <c r="L54" s="39" t="str">
        <f>"118,4037"</f>
        <v>118,4037</v>
      </c>
      <c r="M54" s="14"/>
    </row>
    <row r="55" spans="1:13" x14ac:dyDescent="0.2">
      <c r="A55" s="38" t="s">
        <v>887</v>
      </c>
      <c r="B55" s="14" t="s">
        <v>888</v>
      </c>
      <c r="C55" s="14" t="s">
        <v>889</v>
      </c>
      <c r="D55" s="14" t="str">
        <f>"0,5924"</f>
        <v>0,5924</v>
      </c>
      <c r="E55" s="14" t="s">
        <v>17</v>
      </c>
      <c r="F55" s="14" t="s">
        <v>40</v>
      </c>
      <c r="G55" s="15" t="s">
        <v>117</v>
      </c>
      <c r="H55" s="15" t="s">
        <v>169</v>
      </c>
      <c r="I55" s="15" t="s">
        <v>56</v>
      </c>
      <c r="J55" s="16"/>
      <c r="K55" s="38" t="str">
        <f>"165,0"</f>
        <v>165,0</v>
      </c>
      <c r="L55" s="39" t="str">
        <f>"103,1220"</f>
        <v>103,1220</v>
      </c>
      <c r="M55" s="14"/>
    </row>
    <row r="56" spans="1:13" x14ac:dyDescent="0.2">
      <c r="A56" s="33" t="s">
        <v>891</v>
      </c>
      <c r="B56" s="11" t="s">
        <v>892</v>
      </c>
      <c r="C56" s="11" t="s">
        <v>893</v>
      </c>
      <c r="D56" s="11" t="str">
        <f>"0,6017"</f>
        <v>0,6017</v>
      </c>
      <c r="E56" s="11" t="s">
        <v>17</v>
      </c>
      <c r="F56" s="11" t="s">
        <v>894</v>
      </c>
      <c r="G56" s="12" t="s">
        <v>41</v>
      </c>
      <c r="H56" s="12" t="s">
        <v>42</v>
      </c>
      <c r="I56" s="12" t="s">
        <v>46</v>
      </c>
      <c r="J56" s="13"/>
      <c r="K56" s="33" t="str">
        <f>"195,0"</f>
        <v>195,0</v>
      </c>
      <c r="L56" s="36" t="str">
        <f>"148,7763"</f>
        <v>148,7763</v>
      </c>
      <c r="M56" s="11" t="s">
        <v>895</v>
      </c>
    </row>
    <row r="58" spans="1:13" ht="15" x14ac:dyDescent="0.2">
      <c r="A58" s="44" t="s">
        <v>196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</row>
    <row r="59" spans="1:13" x14ac:dyDescent="0.2">
      <c r="A59" s="32" t="s">
        <v>897</v>
      </c>
      <c r="B59" s="8" t="s">
        <v>898</v>
      </c>
      <c r="C59" s="8" t="s">
        <v>899</v>
      </c>
      <c r="D59" s="8" t="str">
        <f>"0,5769"</f>
        <v>0,5769</v>
      </c>
      <c r="E59" s="8" t="s">
        <v>17</v>
      </c>
      <c r="F59" s="8" t="s">
        <v>826</v>
      </c>
      <c r="G59" s="9" t="s">
        <v>65</v>
      </c>
      <c r="H59" s="9" t="s">
        <v>73</v>
      </c>
      <c r="I59" s="10" t="s">
        <v>134</v>
      </c>
      <c r="J59" s="10"/>
      <c r="K59" s="32" t="str">
        <f>"220,0"</f>
        <v>220,0</v>
      </c>
      <c r="L59" s="35" t="str">
        <f>"126,9180"</f>
        <v>126,9180</v>
      </c>
      <c r="M59" s="8"/>
    </row>
    <row r="60" spans="1:13" x14ac:dyDescent="0.2">
      <c r="A60" s="38" t="s">
        <v>901</v>
      </c>
      <c r="B60" s="14" t="s">
        <v>902</v>
      </c>
      <c r="C60" s="14" t="s">
        <v>903</v>
      </c>
      <c r="D60" s="14" t="str">
        <f>"0,5790"</f>
        <v>0,5790</v>
      </c>
      <c r="E60" s="14" t="s">
        <v>17</v>
      </c>
      <c r="F60" s="14" t="s">
        <v>40</v>
      </c>
      <c r="G60" s="15" t="s">
        <v>46</v>
      </c>
      <c r="H60" s="15" t="s">
        <v>47</v>
      </c>
      <c r="I60" s="16" t="s">
        <v>48</v>
      </c>
      <c r="J60" s="16"/>
      <c r="K60" s="38" t="str">
        <f>"205,0"</f>
        <v>205,0</v>
      </c>
      <c r="L60" s="39" t="str">
        <f>"118,6950"</f>
        <v>118,6950</v>
      </c>
      <c r="M60" s="14"/>
    </row>
    <row r="61" spans="1:13" x14ac:dyDescent="0.2">
      <c r="A61" s="38" t="s">
        <v>905</v>
      </c>
      <c r="B61" s="14" t="s">
        <v>906</v>
      </c>
      <c r="C61" s="14" t="s">
        <v>907</v>
      </c>
      <c r="D61" s="14" t="str">
        <f>"0,5705"</f>
        <v>0,5705</v>
      </c>
      <c r="E61" s="14" t="s">
        <v>17</v>
      </c>
      <c r="F61" s="14" t="s">
        <v>908</v>
      </c>
      <c r="G61" s="15" t="s">
        <v>64</v>
      </c>
      <c r="H61" s="15" t="s">
        <v>47</v>
      </c>
      <c r="I61" s="15" t="s">
        <v>470</v>
      </c>
      <c r="J61" s="16"/>
      <c r="K61" s="38" t="str">
        <f>"207,5"</f>
        <v>207,5</v>
      </c>
      <c r="L61" s="39" t="str">
        <f>"124,8896"</f>
        <v>124,8896</v>
      </c>
      <c r="M61" s="14" t="s">
        <v>909</v>
      </c>
    </row>
    <row r="62" spans="1:13" x14ac:dyDescent="0.2">
      <c r="A62" s="38" t="s">
        <v>911</v>
      </c>
      <c r="B62" s="14" t="s">
        <v>912</v>
      </c>
      <c r="C62" s="14" t="s">
        <v>913</v>
      </c>
      <c r="D62" s="14" t="str">
        <f>"0,5733"</f>
        <v>0,5733</v>
      </c>
      <c r="E62" s="14" t="s">
        <v>17</v>
      </c>
      <c r="F62" s="14" t="s">
        <v>40</v>
      </c>
      <c r="G62" s="15" t="s">
        <v>64</v>
      </c>
      <c r="H62" s="15" t="s">
        <v>914</v>
      </c>
      <c r="I62" s="16" t="s">
        <v>47</v>
      </c>
      <c r="J62" s="16"/>
      <c r="K62" s="38" t="str">
        <f>"202,5"</f>
        <v>202,5</v>
      </c>
      <c r="L62" s="39" t="str">
        <f>"144,6522"</f>
        <v>144,6522</v>
      </c>
      <c r="M62" s="14" t="s">
        <v>915</v>
      </c>
    </row>
    <row r="63" spans="1:13" x14ac:dyDescent="0.2">
      <c r="A63" s="33" t="s">
        <v>917</v>
      </c>
      <c r="B63" s="11" t="s">
        <v>918</v>
      </c>
      <c r="C63" s="11" t="s">
        <v>919</v>
      </c>
      <c r="D63" s="11" t="str">
        <f>"0,5852"</f>
        <v>0,5852</v>
      </c>
      <c r="E63" s="11" t="s">
        <v>17</v>
      </c>
      <c r="F63" s="11" t="s">
        <v>40</v>
      </c>
      <c r="G63" s="12" t="s">
        <v>33</v>
      </c>
      <c r="H63" s="12" t="s">
        <v>34</v>
      </c>
      <c r="I63" s="12" t="s">
        <v>53</v>
      </c>
      <c r="J63" s="13"/>
      <c r="K63" s="33" t="str">
        <f>"145,0"</f>
        <v>145,0</v>
      </c>
      <c r="L63" s="36" t="str">
        <f>"107,5949"</f>
        <v>107,5949</v>
      </c>
      <c r="M63" s="11"/>
    </row>
    <row r="65" spans="1:13" ht="15" x14ac:dyDescent="0.2">
      <c r="A65" s="44" t="s">
        <v>920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</row>
    <row r="66" spans="1:13" x14ac:dyDescent="0.2">
      <c r="A66" s="32" t="s">
        <v>922</v>
      </c>
      <c r="B66" s="8" t="s">
        <v>923</v>
      </c>
      <c r="C66" s="8" t="s">
        <v>924</v>
      </c>
      <c r="D66" s="8" t="str">
        <f>"0,5684"</f>
        <v>0,5684</v>
      </c>
      <c r="E66" s="8" t="s">
        <v>17</v>
      </c>
      <c r="F66" s="8" t="s">
        <v>324</v>
      </c>
      <c r="G66" s="9" t="s">
        <v>302</v>
      </c>
      <c r="H66" s="10" t="s">
        <v>827</v>
      </c>
      <c r="I66" s="10" t="s">
        <v>827</v>
      </c>
      <c r="J66" s="10"/>
      <c r="K66" s="8" t="str">
        <f>"167,5"</f>
        <v>167,5</v>
      </c>
      <c r="L66" s="9" t="str">
        <f>"95,2070"</f>
        <v>95,2070</v>
      </c>
      <c r="M66" s="8"/>
    </row>
    <row r="67" spans="1:13" x14ac:dyDescent="0.2">
      <c r="A67" s="33" t="s">
        <v>926</v>
      </c>
      <c r="B67" s="11" t="s">
        <v>927</v>
      </c>
      <c r="C67" s="11" t="s">
        <v>928</v>
      </c>
      <c r="D67" s="11" t="str">
        <f>"0,5600"</f>
        <v>0,5600</v>
      </c>
      <c r="E67" s="11" t="s">
        <v>17</v>
      </c>
      <c r="F67" s="11" t="s">
        <v>826</v>
      </c>
      <c r="G67" s="12" t="s">
        <v>57</v>
      </c>
      <c r="H67" s="13" t="s">
        <v>41</v>
      </c>
      <c r="I67" s="12" t="s">
        <v>41</v>
      </c>
      <c r="J67" s="13"/>
      <c r="K67" s="11" t="str">
        <f>"185,0"</f>
        <v>185,0</v>
      </c>
      <c r="L67" s="12" t="str">
        <f>"113,6492"</f>
        <v>113,6492</v>
      </c>
      <c r="M67" s="11"/>
    </row>
    <row r="69" spans="1:13" ht="15" x14ac:dyDescent="0.2">
      <c r="E69" s="17" t="s">
        <v>206</v>
      </c>
    </row>
    <row r="70" spans="1:13" ht="15" x14ac:dyDescent="0.2">
      <c r="E70" s="17" t="s">
        <v>207</v>
      </c>
    </row>
    <row r="71" spans="1:13" ht="15" x14ac:dyDescent="0.2">
      <c r="E71" s="17" t="s">
        <v>208</v>
      </c>
    </row>
    <row r="72" spans="1:13" ht="15" x14ac:dyDescent="0.2">
      <c r="E72" s="17" t="s">
        <v>209</v>
      </c>
    </row>
    <row r="73" spans="1:13" ht="15" x14ac:dyDescent="0.2">
      <c r="E73" s="17" t="s">
        <v>209</v>
      </c>
    </row>
    <row r="74" spans="1:13" ht="15" x14ac:dyDescent="0.2">
      <c r="E74" s="17" t="s">
        <v>210</v>
      </c>
    </row>
    <row r="75" spans="1:13" ht="15" x14ac:dyDescent="0.2">
      <c r="E75" s="17"/>
    </row>
    <row r="77" spans="1:13" ht="18" x14ac:dyDescent="0.25">
      <c r="A77" s="18" t="s">
        <v>211</v>
      </c>
      <c r="B77" s="18"/>
    </row>
    <row r="78" spans="1:13" ht="15" x14ac:dyDescent="0.2">
      <c r="A78" s="19" t="s">
        <v>226</v>
      </c>
      <c r="B78" s="19"/>
    </row>
    <row r="79" spans="1:13" ht="14.25" x14ac:dyDescent="0.2">
      <c r="A79" s="21"/>
      <c r="B79" s="22" t="s">
        <v>220</v>
      </c>
    </row>
    <row r="80" spans="1:13" ht="15" x14ac:dyDescent="0.2">
      <c r="A80" s="23" t="s">
        <v>213</v>
      </c>
      <c r="B80" s="23" t="s">
        <v>214</v>
      </c>
      <c r="C80" s="23" t="s">
        <v>215</v>
      </c>
      <c r="D80" s="23" t="s">
        <v>216</v>
      </c>
      <c r="E80" s="23" t="s">
        <v>217</v>
      </c>
    </row>
    <row r="81" spans="1:5" x14ac:dyDescent="0.2">
      <c r="A81" s="20" t="s">
        <v>854</v>
      </c>
      <c r="B81" s="4" t="s">
        <v>220</v>
      </c>
      <c r="C81" s="4" t="s">
        <v>235</v>
      </c>
      <c r="D81" s="4" t="s">
        <v>108</v>
      </c>
      <c r="E81" s="24" t="s">
        <v>929</v>
      </c>
    </row>
    <row r="82" spans="1:5" x14ac:dyDescent="0.2">
      <c r="A82" s="20" t="s">
        <v>859</v>
      </c>
      <c r="B82" s="4" t="s">
        <v>220</v>
      </c>
      <c r="C82" s="4" t="s">
        <v>235</v>
      </c>
      <c r="D82" s="4" t="s">
        <v>134</v>
      </c>
      <c r="E82" s="24" t="s">
        <v>930</v>
      </c>
    </row>
    <row r="83" spans="1:5" x14ac:dyDescent="0.2">
      <c r="A83" s="20" t="s">
        <v>806</v>
      </c>
      <c r="B83" s="4" t="s">
        <v>220</v>
      </c>
      <c r="C83" s="4" t="s">
        <v>229</v>
      </c>
      <c r="D83" s="4" t="s">
        <v>470</v>
      </c>
      <c r="E83" s="24" t="s">
        <v>931</v>
      </c>
    </row>
    <row r="84" spans="1:5" x14ac:dyDescent="0.2">
      <c r="A84" s="20" t="s">
        <v>829</v>
      </c>
      <c r="B84" s="4" t="s">
        <v>220</v>
      </c>
      <c r="C84" s="4" t="s">
        <v>231</v>
      </c>
      <c r="D84" s="4" t="s">
        <v>48</v>
      </c>
      <c r="E84" s="24" t="s">
        <v>932</v>
      </c>
    </row>
    <row r="85" spans="1:5" x14ac:dyDescent="0.2">
      <c r="A85" s="20" t="s">
        <v>864</v>
      </c>
      <c r="B85" s="4" t="s">
        <v>220</v>
      </c>
      <c r="C85" s="4" t="s">
        <v>235</v>
      </c>
      <c r="D85" s="4" t="s">
        <v>73</v>
      </c>
      <c r="E85" s="24" t="s">
        <v>933</v>
      </c>
    </row>
    <row r="86" spans="1:5" x14ac:dyDescent="0.2">
      <c r="A86" s="20" t="s">
        <v>896</v>
      </c>
      <c r="B86" s="4" t="s">
        <v>220</v>
      </c>
      <c r="C86" s="4" t="s">
        <v>244</v>
      </c>
      <c r="D86" s="4" t="s">
        <v>73</v>
      </c>
      <c r="E86" s="24" t="s">
        <v>934</v>
      </c>
    </row>
    <row r="87" spans="1:5" x14ac:dyDescent="0.2">
      <c r="A87" s="20" t="s">
        <v>811</v>
      </c>
      <c r="B87" s="4" t="s">
        <v>220</v>
      </c>
      <c r="C87" s="4" t="s">
        <v>229</v>
      </c>
      <c r="D87" s="4" t="s">
        <v>63</v>
      </c>
      <c r="E87" s="24" t="s">
        <v>935</v>
      </c>
    </row>
    <row r="88" spans="1:5" x14ac:dyDescent="0.2">
      <c r="A88" s="20" t="s">
        <v>900</v>
      </c>
      <c r="B88" s="4" t="s">
        <v>220</v>
      </c>
      <c r="C88" s="4" t="s">
        <v>244</v>
      </c>
      <c r="D88" s="4" t="s">
        <v>47</v>
      </c>
      <c r="E88" s="24" t="s">
        <v>936</v>
      </c>
    </row>
    <row r="89" spans="1:5" x14ac:dyDescent="0.2">
      <c r="A89" s="20" t="s">
        <v>834</v>
      </c>
      <c r="B89" s="4" t="s">
        <v>220</v>
      </c>
      <c r="C89" s="4" t="s">
        <v>231</v>
      </c>
      <c r="D89" s="4" t="s">
        <v>67</v>
      </c>
      <c r="E89" s="24" t="s">
        <v>937</v>
      </c>
    </row>
    <row r="90" spans="1:5" x14ac:dyDescent="0.2">
      <c r="A90" s="20" t="s">
        <v>784</v>
      </c>
      <c r="B90" s="4" t="s">
        <v>220</v>
      </c>
      <c r="C90" s="4" t="s">
        <v>219</v>
      </c>
      <c r="D90" s="4" t="s">
        <v>82</v>
      </c>
      <c r="E90" s="24" t="s">
        <v>938</v>
      </c>
    </row>
    <row r="91" spans="1:5" x14ac:dyDescent="0.2">
      <c r="A91" s="20" t="s">
        <v>815</v>
      </c>
      <c r="B91" s="4" t="s">
        <v>220</v>
      </c>
      <c r="C91" s="4" t="s">
        <v>229</v>
      </c>
      <c r="D91" s="4" t="s">
        <v>56</v>
      </c>
      <c r="E91" s="24" t="s">
        <v>939</v>
      </c>
    </row>
    <row r="92" spans="1:5" x14ac:dyDescent="0.2">
      <c r="A92" s="20" t="s">
        <v>753</v>
      </c>
      <c r="B92" s="4" t="s">
        <v>220</v>
      </c>
      <c r="C92" s="4" t="s">
        <v>224</v>
      </c>
      <c r="D92" s="4" t="s">
        <v>33</v>
      </c>
      <c r="E92" s="24" t="s">
        <v>940</v>
      </c>
    </row>
    <row r="93" spans="1:5" x14ac:dyDescent="0.2">
      <c r="A93" s="20" t="s">
        <v>788</v>
      </c>
      <c r="B93" s="4" t="s">
        <v>220</v>
      </c>
      <c r="C93" s="4" t="s">
        <v>219</v>
      </c>
      <c r="D93" s="4" t="s">
        <v>163</v>
      </c>
      <c r="E93" s="24" t="s">
        <v>941</v>
      </c>
    </row>
    <row r="94" spans="1:5" x14ac:dyDescent="0.2">
      <c r="A94" s="20" t="s">
        <v>869</v>
      </c>
      <c r="B94" s="4" t="s">
        <v>220</v>
      </c>
      <c r="C94" s="4" t="s">
        <v>235</v>
      </c>
      <c r="D94" s="4" t="s">
        <v>56</v>
      </c>
      <c r="E94" s="24" t="s">
        <v>942</v>
      </c>
    </row>
    <row r="95" spans="1:5" x14ac:dyDescent="0.2">
      <c r="A95" s="20" t="s">
        <v>792</v>
      </c>
      <c r="B95" s="4" t="s">
        <v>220</v>
      </c>
      <c r="C95" s="4" t="s">
        <v>219</v>
      </c>
      <c r="D95" s="4" t="s">
        <v>53</v>
      </c>
      <c r="E95" s="24" t="s">
        <v>943</v>
      </c>
    </row>
    <row r="96" spans="1:5" x14ac:dyDescent="0.2">
      <c r="A96" s="20" t="s">
        <v>921</v>
      </c>
      <c r="B96" s="4" t="s">
        <v>220</v>
      </c>
      <c r="C96" s="4" t="s">
        <v>944</v>
      </c>
      <c r="D96" s="4" t="s">
        <v>302</v>
      </c>
      <c r="E96" s="24" t="s">
        <v>945</v>
      </c>
    </row>
    <row r="97" spans="1:5" x14ac:dyDescent="0.2">
      <c r="A97" s="20" t="s">
        <v>758</v>
      </c>
      <c r="B97" s="4" t="s">
        <v>220</v>
      </c>
      <c r="C97" s="4" t="s">
        <v>221</v>
      </c>
      <c r="D97" s="4" t="s">
        <v>408</v>
      </c>
      <c r="E97" s="24" t="s">
        <v>946</v>
      </c>
    </row>
    <row r="98" spans="1:5" x14ac:dyDescent="0.2">
      <c r="A98" s="20" t="s">
        <v>762</v>
      </c>
      <c r="B98" s="4" t="s">
        <v>220</v>
      </c>
      <c r="C98" s="4" t="s">
        <v>221</v>
      </c>
      <c r="D98" s="4" t="s">
        <v>32</v>
      </c>
      <c r="E98" s="24" t="s">
        <v>947</v>
      </c>
    </row>
    <row r="100" spans="1:5" ht="14.25" x14ac:dyDescent="0.2">
      <c r="A100" s="21"/>
      <c r="B100" s="22" t="s">
        <v>222</v>
      </c>
    </row>
    <row r="101" spans="1:5" ht="15" x14ac:dyDescent="0.2">
      <c r="A101" s="23" t="s">
        <v>213</v>
      </c>
      <c r="B101" s="23" t="s">
        <v>214</v>
      </c>
      <c r="C101" s="23" t="s">
        <v>215</v>
      </c>
      <c r="D101" s="23" t="s">
        <v>216</v>
      </c>
      <c r="E101" s="23" t="s">
        <v>217</v>
      </c>
    </row>
    <row r="102" spans="1:5" x14ac:dyDescent="0.2">
      <c r="A102" s="20" t="s">
        <v>890</v>
      </c>
      <c r="B102" s="4" t="s">
        <v>391</v>
      </c>
      <c r="C102" s="4" t="s">
        <v>235</v>
      </c>
      <c r="D102" s="4" t="s">
        <v>46</v>
      </c>
      <c r="E102" s="24" t="s">
        <v>948</v>
      </c>
    </row>
    <row r="103" spans="1:5" x14ac:dyDescent="0.2">
      <c r="A103" s="20" t="s">
        <v>822</v>
      </c>
      <c r="B103" s="4" t="s">
        <v>391</v>
      </c>
      <c r="C103" s="4" t="s">
        <v>229</v>
      </c>
      <c r="D103" s="4" t="s">
        <v>67</v>
      </c>
      <c r="E103" s="24" t="s">
        <v>949</v>
      </c>
    </row>
    <row r="104" spans="1:5" x14ac:dyDescent="0.2">
      <c r="A104" s="20" t="s">
        <v>910</v>
      </c>
      <c r="B104" s="4" t="s">
        <v>391</v>
      </c>
      <c r="C104" s="4" t="s">
        <v>244</v>
      </c>
      <c r="D104" s="4" t="s">
        <v>914</v>
      </c>
      <c r="E104" s="24" t="s">
        <v>950</v>
      </c>
    </row>
    <row r="105" spans="1:5" x14ac:dyDescent="0.2">
      <c r="A105" s="20" t="s">
        <v>305</v>
      </c>
      <c r="B105" s="4" t="s">
        <v>951</v>
      </c>
      <c r="C105" s="4" t="s">
        <v>229</v>
      </c>
      <c r="D105" s="4" t="s">
        <v>401</v>
      </c>
      <c r="E105" s="24" t="s">
        <v>952</v>
      </c>
    </row>
    <row r="106" spans="1:5" x14ac:dyDescent="0.2">
      <c r="A106" s="20" t="s">
        <v>279</v>
      </c>
      <c r="B106" s="4" t="s">
        <v>367</v>
      </c>
      <c r="C106" s="4" t="s">
        <v>221</v>
      </c>
      <c r="D106" s="4" t="s">
        <v>94</v>
      </c>
      <c r="E106" s="24" t="s">
        <v>953</v>
      </c>
    </row>
    <row r="107" spans="1:5" x14ac:dyDescent="0.2">
      <c r="A107" s="20" t="s">
        <v>818</v>
      </c>
      <c r="B107" s="4" t="s">
        <v>261</v>
      </c>
      <c r="C107" s="4" t="s">
        <v>229</v>
      </c>
      <c r="D107" s="4" t="s">
        <v>63</v>
      </c>
      <c r="E107" s="24" t="s">
        <v>954</v>
      </c>
    </row>
    <row r="108" spans="1:5" x14ac:dyDescent="0.2">
      <c r="A108" s="20" t="s">
        <v>851</v>
      </c>
      <c r="B108" s="4" t="s">
        <v>367</v>
      </c>
      <c r="C108" s="4" t="s">
        <v>231</v>
      </c>
      <c r="D108" s="4" t="s">
        <v>54</v>
      </c>
      <c r="E108" s="24" t="s">
        <v>955</v>
      </c>
    </row>
    <row r="109" spans="1:5" x14ac:dyDescent="0.2">
      <c r="A109" s="20" t="s">
        <v>904</v>
      </c>
      <c r="B109" s="4" t="s">
        <v>261</v>
      </c>
      <c r="C109" s="4" t="s">
        <v>244</v>
      </c>
      <c r="D109" s="4" t="s">
        <v>470</v>
      </c>
      <c r="E109" s="24" t="s">
        <v>956</v>
      </c>
    </row>
    <row r="110" spans="1:5" x14ac:dyDescent="0.2">
      <c r="A110" s="20" t="s">
        <v>776</v>
      </c>
      <c r="B110" s="4" t="s">
        <v>543</v>
      </c>
      <c r="C110" s="4" t="s">
        <v>221</v>
      </c>
      <c r="D110" s="4" t="s">
        <v>81</v>
      </c>
      <c r="E110" s="24" t="s">
        <v>957</v>
      </c>
    </row>
    <row r="111" spans="1:5" x14ac:dyDescent="0.2">
      <c r="A111" s="20" t="s">
        <v>781</v>
      </c>
      <c r="B111" s="4" t="s">
        <v>951</v>
      </c>
      <c r="C111" s="4" t="s">
        <v>221</v>
      </c>
      <c r="D111" s="4" t="s">
        <v>31</v>
      </c>
      <c r="E111" s="24" t="s">
        <v>958</v>
      </c>
    </row>
    <row r="112" spans="1:5" x14ac:dyDescent="0.2">
      <c r="A112" s="20" t="s">
        <v>882</v>
      </c>
      <c r="B112" s="4" t="s">
        <v>261</v>
      </c>
      <c r="C112" s="4" t="s">
        <v>235</v>
      </c>
      <c r="D112" s="4" t="s">
        <v>58</v>
      </c>
      <c r="E112" s="24" t="s">
        <v>959</v>
      </c>
    </row>
    <row r="113" spans="1:5" x14ac:dyDescent="0.2">
      <c r="A113" s="20" t="s">
        <v>873</v>
      </c>
      <c r="B113" s="4" t="s">
        <v>370</v>
      </c>
      <c r="C113" s="4" t="s">
        <v>235</v>
      </c>
      <c r="D113" s="4" t="s">
        <v>186</v>
      </c>
      <c r="E113" s="24" t="s">
        <v>960</v>
      </c>
    </row>
    <row r="114" spans="1:5" x14ac:dyDescent="0.2">
      <c r="A114" s="20" t="s">
        <v>925</v>
      </c>
      <c r="B114" s="4" t="s">
        <v>261</v>
      </c>
      <c r="C114" s="4" t="s">
        <v>944</v>
      </c>
      <c r="D114" s="4" t="s">
        <v>41</v>
      </c>
      <c r="E114" s="24" t="s">
        <v>961</v>
      </c>
    </row>
    <row r="115" spans="1:5" x14ac:dyDescent="0.2">
      <c r="A115" s="20" t="s">
        <v>878</v>
      </c>
      <c r="B115" s="4" t="s">
        <v>261</v>
      </c>
      <c r="C115" s="4" t="s">
        <v>235</v>
      </c>
      <c r="D115" s="4" t="s">
        <v>827</v>
      </c>
      <c r="E115" s="24" t="s">
        <v>962</v>
      </c>
    </row>
    <row r="116" spans="1:5" x14ac:dyDescent="0.2">
      <c r="A116" s="20" t="s">
        <v>916</v>
      </c>
      <c r="B116" s="4" t="s">
        <v>391</v>
      </c>
      <c r="C116" s="4" t="s">
        <v>244</v>
      </c>
      <c r="D116" s="4" t="s">
        <v>53</v>
      </c>
      <c r="E116" s="24" t="s">
        <v>963</v>
      </c>
    </row>
    <row r="117" spans="1:5" x14ac:dyDescent="0.2">
      <c r="A117" s="20" t="s">
        <v>886</v>
      </c>
      <c r="B117" s="4" t="s">
        <v>261</v>
      </c>
      <c r="C117" s="4" t="s">
        <v>235</v>
      </c>
      <c r="D117" s="4" t="s">
        <v>56</v>
      </c>
      <c r="E117" s="24" t="s">
        <v>964</v>
      </c>
    </row>
    <row r="118" spans="1:5" x14ac:dyDescent="0.2">
      <c r="A118" s="20" t="s">
        <v>771</v>
      </c>
      <c r="B118" s="4" t="s">
        <v>729</v>
      </c>
      <c r="C118" s="4" t="s">
        <v>221</v>
      </c>
      <c r="D118" s="4" t="s">
        <v>32</v>
      </c>
      <c r="E118" s="24" t="s">
        <v>965</v>
      </c>
    </row>
    <row r="119" spans="1:5" x14ac:dyDescent="0.2">
      <c r="A119" s="20" t="s">
        <v>848</v>
      </c>
      <c r="B119" s="4" t="s">
        <v>261</v>
      </c>
      <c r="C119" s="4" t="s">
        <v>231</v>
      </c>
      <c r="D119" s="4" t="s">
        <v>80</v>
      </c>
      <c r="E119" s="24" t="s">
        <v>966</v>
      </c>
    </row>
    <row r="120" spans="1:5" x14ac:dyDescent="0.2">
      <c r="A120" s="20" t="s">
        <v>802</v>
      </c>
      <c r="B120" s="4" t="s">
        <v>543</v>
      </c>
      <c r="C120" s="4" t="s">
        <v>219</v>
      </c>
      <c r="D120" s="4" t="s">
        <v>31</v>
      </c>
      <c r="E120" s="24" t="s">
        <v>967</v>
      </c>
    </row>
    <row r="121" spans="1:5" x14ac:dyDescent="0.2">
      <c r="A121" s="20" t="s">
        <v>843</v>
      </c>
      <c r="B121" s="4" t="s">
        <v>370</v>
      </c>
      <c r="C121" s="4" t="s">
        <v>231</v>
      </c>
      <c r="D121" s="4" t="s">
        <v>20</v>
      </c>
      <c r="E121" s="24" t="s">
        <v>968</v>
      </c>
    </row>
    <row r="122" spans="1:5" x14ac:dyDescent="0.2">
      <c r="A122" s="20" t="s">
        <v>768</v>
      </c>
      <c r="B122" s="4" t="s">
        <v>367</v>
      </c>
      <c r="C122" s="4" t="s">
        <v>221</v>
      </c>
      <c r="D122" s="4" t="s">
        <v>269</v>
      </c>
      <c r="E122" s="24" t="s">
        <v>969</v>
      </c>
    </row>
  </sheetData>
  <mergeCells count="21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65:L65"/>
    <mergeCell ref="A14:L14"/>
    <mergeCell ref="A23:L23"/>
    <mergeCell ref="A31:L31"/>
    <mergeCell ref="A39:L39"/>
    <mergeCell ref="A47:L47"/>
    <mergeCell ref="A58:L5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4"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3.140625" style="4" bestFit="1" customWidth="1"/>
    <col min="14" max="16384" width="9.140625" style="3"/>
  </cols>
  <sheetData>
    <row r="1" spans="1:13" s="2" customFormat="1" ht="29.1" customHeight="1" x14ac:dyDescent="0.2">
      <c r="A1" s="50" t="s">
        <v>2237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11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28.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2" t="s">
        <v>971</v>
      </c>
      <c r="B6" s="8" t="s">
        <v>770</v>
      </c>
      <c r="C6" s="8" t="s">
        <v>39</v>
      </c>
      <c r="D6" s="8" t="str">
        <f>"0,7271"</f>
        <v>0,7271</v>
      </c>
      <c r="E6" s="8" t="s">
        <v>17</v>
      </c>
      <c r="F6" s="8" t="s">
        <v>40</v>
      </c>
      <c r="G6" s="9" t="s">
        <v>31</v>
      </c>
      <c r="H6" s="10"/>
      <c r="I6" s="10"/>
      <c r="J6" s="10"/>
      <c r="K6" s="32" t="str">
        <f>"80,0"</f>
        <v>80,0</v>
      </c>
      <c r="L6" s="35" t="str">
        <f>"82,6567"</f>
        <v>82,6567</v>
      </c>
      <c r="M6" s="8" t="s">
        <v>35</v>
      </c>
    </row>
    <row r="7" spans="1:13" x14ac:dyDescent="0.2">
      <c r="A7" s="33" t="s">
        <v>782</v>
      </c>
      <c r="B7" s="11" t="s">
        <v>783</v>
      </c>
      <c r="C7" s="11" t="s">
        <v>79</v>
      </c>
      <c r="D7" s="11" t="str">
        <f>"0,7264"</f>
        <v>0,7264</v>
      </c>
      <c r="E7" s="11" t="s">
        <v>17</v>
      </c>
      <c r="F7" s="11" t="s">
        <v>459</v>
      </c>
      <c r="G7" s="12" t="s">
        <v>31</v>
      </c>
      <c r="H7" s="13" t="s">
        <v>269</v>
      </c>
      <c r="I7" s="13"/>
      <c r="J7" s="13"/>
      <c r="K7" s="33" t="str">
        <f>"80,0"</f>
        <v>80,0</v>
      </c>
      <c r="L7" s="36" t="str">
        <f>"119,1296"</f>
        <v>119,1296</v>
      </c>
      <c r="M7" s="11" t="s">
        <v>35</v>
      </c>
    </row>
    <row r="9" spans="1:13" ht="15" x14ac:dyDescent="0.2">
      <c r="A9" s="44" t="s">
        <v>96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3" x14ac:dyDescent="0.2">
      <c r="A10" s="34" t="s">
        <v>972</v>
      </c>
      <c r="B10" s="5" t="s">
        <v>973</v>
      </c>
      <c r="C10" s="5" t="s">
        <v>125</v>
      </c>
      <c r="D10" s="5" t="str">
        <f>"0,6428"</f>
        <v>0,6428</v>
      </c>
      <c r="E10" s="5" t="s">
        <v>2215</v>
      </c>
      <c r="F10" s="5" t="s">
        <v>974</v>
      </c>
      <c r="G10" s="6" t="s">
        <v>67</v>
      </c>
      <c r="H10" s="7" t="s">
        <v>63</v>
      </c>
      <c r="I10" s="7" t="s">
        <v>63</v>
      </c>
      <c r="J10" s="7"/>
      <c r="K10" s="34" t="str">
        <f>"180,0"</f>
        <v>180,0</v>
      </c>
      <c r="L10" s="37" t="str">
        <f>"144,1672"</f>
        <v>144,1672</v>
      </c>
      <c r="M10" s="5"/>
    </row>
    <row r="12" spans="1:13" ht="15" x14ac:dyDescent="0.2">
      <c r="A12" s="44" t="s">
        <v>139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3" x14ac:dyDescent="0.2">
      <c r="A13" s="32" t="s">
        <v>976</v>
      </c>
      <c r="B13" s="8" t="s">
        <v>977</v>
      </c>
      <c r="C13" s="8" t="s">
        <v>832</v>
      </c>
      <c r="D13" s="8" t="str">
        <f>"0,6118"</f>
        <v>0,6118</v>
      </c>
      <c r="E13" s="8" t="s">
        <v>17</v>
      </c>
      <c r="F13" s="8" t="s">
        <v>40</v>
      </c>
      <c r="G13" s="9" t="s">
        <v>134</v>
      </c>
      <c r="H13" s="10" t="s">
        <v>116</v>
      </c>
      <c r="I13" s="9" t="s">
        <v>116</v>
      </c>
      <c r="J13" s="10"/>
      <c r="K13" s="32" t="str">
        <f>"240,0"</f>
        <v>240,0</v>
      </c>
      <c r="L13" s="35" t="str">
        <f>"146,8320"</f>
        <v>146,8320</v>
      </c>
      <c r="M13" s="8" t="s">
        <v>978</v>
      </c>
    </row>
    <row r="14" spans="1:13" x14ac:dyDescent="0.2">
      <c r="A14" s="38" t="s">
        <v>980</v>
      </c>
      <c r="B14" s="14" t="s">
        <v>981</v>
      </c>
      <c r="C14" s="14" t="s">
        <v>982</v>
      </c>
      <c r="D14" s="14" t="str">
        <f>"0,6096"</f>
        <v>0,6096</v>
      </c>
      <c r="E14" s="14" t="s">
        <v>17</v>
      </c>
      <c r="F14" s="14" t="s">
        <v>983</v>
      </c>
      <c r="G14" s="15" t="s">
        <v>63</v>
      </c>
      <c r="H14" s="16" t="s">
        <v>64</v>
      </c>
      <c r="I14" s="16" t="s">
        <v>64</v>
      </c>
      <c r="J14" s="16"/>
      <c r="K14" s="38" t="str">
        <f>"190,0"</f>
        <v>190,0</v>
      </c>
      <c r="L14" s="39" t="str">
        <f>"115,8240"</f>
        <v>115,8240</v>
      </c>
      <c r="M14" s="14" t="s">
        <v>984</v>
      </c>
    </row>
    <row r="15" spans="1:13" x14ac:dyDescent="0.2">
      <c r="A15" s="33" t="s">
        <v>985</v>
      </c>
      <c r="B15" s="11" t="s">
        <v>986</v>
      </c>
      <c r="C15" s="11" t="s">
        <v>329</v>
      </c>
      <c r="D15" s="11" t="str">
        <f>"0,6150"</f>
        <v>0,6150</v>
      </c>
      <c r="E15" s="11" t="s">
        <v>17</v>
      </c>
      <c r="F15" s="11" t="s">
        <v>987</v>
      </c>
      <c r="G15" s="13" t="s">
        <v>118</v>
      </c>
      <c r="H15" s="13" t="s">
        <v>181</v>
      </c>
      <c r="I15" s="13" t="s">
        <v>181</v>
      </c>
      <c r="J15" s="13"/>
      <c r="K15" s="33" t="str">
        <f>"0.00"</f>
        <v>0.00</v>
      </c>
      <c r="L15" s="36" t="str">
        <f>"0,0000"</f>
        <v>0,0000</v>
      </c>
      <c r="M15" s="11" t="s">
        <v>35</v>
      </c>
    </row>
    <row r="17" spans="1:13" ht="15" x14ac:dyDescent="0.2">
      <c r="A17" s="44" t="s">
        <v>175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3" x14ac:dyDescent="0.2">
      <c r="A18" s="34" t="s">
        <v>989</v>
      </c>
      <c r="B18" s="5" t="s">
        <v>990</v>
      </c>
      <c r="C18" s="5" t="s">
        <v>991</v>
      </c>
      <c r="D18" s="5" t="str">
        <f>"0,5939"</f>
        <v>0,5939</v>
      </c>
      <c r="E18" s="5" t="s">
        <v>17</v>
      </c>
      <c r="F18" s="5" t="s">
        <v>585</v>
      </c>
      <c r="G18" s="6" t="s">
        <v>118</v>
      </c>
      <c r="H18" s="6" t="s">
        <v>205</v>
      </c>
      <c r="I18" s="7" t="s">
        <v>153</v>
      </c>
      <c r="J18" s="7"/>
      <c r="K18" s="34" t="str">
        <f>"272,5"</f>
        <v>272,5</v>
      </c>
      <c r="L18" s="37" t="str">
        <f>"161,8378"</f>
        <v>161,8378</v>
      </c>
      <c r="M18" s="5" t="s">
        <v>992</v>
      </c>
    </row>
    <row r="20" spans="1:13" ht="15" x14ac:dyDescent="0.2">
      <c r="A20" s="44" t="s">
        <v>196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3" x14ac:dyDescent="0.2">
      <c r="A21" s="34" t="s">
        <v>994</v>
      </c>
      <c r="B21" s="5" t="s">
        <v>995</v>
      </c>
      <c r="C21" s="5" t="s">
        <v>996</v>
      </c>
      <c r="D21" s="5" t="str">
        <f>"0,5844"</f>
        <v>0,5844</v>
      </c>
      <c r="E21" s="5" t="s">
        <v>17</v>
      </c>
      <c r="F21" s="5" t="s">
        <v>469</v>
      </c>
      <c r="G21" s="6" t="s">
        <v>118</v>
      </c>
      <c r="H21" s="6" t="s">
        <v>105</v>
      </c>
      <c r="I21" s="7" t="s">
        <v>661</v>
      </c>
      <c r="J21" s="7"/>
      <c r="K21" s="34" t="str">
        <f>"270,0"</f>
        <v>270,0</v>
      </c>
      <c r="L21" s="37" t="str">
        <f>"157,7880"</f>
        <v>157,7880</v>
      </c>
      <c r="M21" s="5" t="s">
        <v>35</v>
      </c>
    </row>
    <row r="23" spans="1:13" ht="15" x14ac:dyDescent="0.2">
      <c r="E23" s="17" t="s">
        <v>206</v>
      </c>
    </row>
    <row r="24" spans="1:13" ht="15" x14ac:dyDescent="0.2">
      <c r="E24" s="17" t="s">
        <v>207</v>
      </c>
    </row>
    <row r="25" spans="1:13" ht="15" x14ac:dyDescent="0.2">
      <c r="E25" s="17" t="s">
        <v>208</v>
      </c>
    </row>
    <row r="26" spans="1:13" ht="15" x14ac:dyDescent="0.2">
      <c r="E26" s="17" t="s">
        <v>209</v>
      </c>
    </row>
    <row r="27" spans="1:13" ht="15" x14ac:dyDescent="0.2">
      <c r="E27" s="17" t="s">
        <v>209</v>
      </c>
    </row>
    <row r="28" spans="1:13" ht="15" x14ac:dyDescent="0.2">
      <c r="E28" s="17" t="s">
        <v>210</v>
      </c>
    </row>
    <row r="29" spans="1:13" ht="15" x14ac:dyDescent="0.2">
      <c r="E29" s="17"/>
    </row>
    <row r="31" spans="1:13" ht="18" x14ac:dyDescent="0.25">
      <c r="A31" s="18" t="s">
        <v>211</v>
      </c>
      <c r="B31" s="18"/>
    </row>
    <row r="32" spans="1:13" ht="15" x14ac:dyDescent="0.2">
      <c r="A32" s="19" t="s">
        <v>226</v>
      </c>
      <c r="B32" s="19"/>
    </row>
    <row r="33" spans="1:5" ht="14.25" x14ac:dyDescent="0.2">
      <c r="A33" s="21"/>
      <c r="B33" s="22" t="s">
        <v>220</v>
      </c>
    </row>
    <row r="34" spans="1:5" ht="15" x14ac:dyDescent="0.2">
      <c r="A34" s="23" t="s">
        <v>213</v>
      </c>
      <c r="B34" s="23" t="s">
        <v>214</v>
      </c>
      <c r="C34" s="23" t="s">
        <v>215</v>
      </c>
      <c r="D34" s="23" t="s">
        <v>216</v>
      </c>
      <c r="E34" s="23" t="s">
        <v>217</v>
      </c>
    </row>
    <row r="35" spans="1:5" x14ac:dyDescent="0.2">
      <c r="A35" s="20" t="s">
        <v>988</v>
      </c>
      <c r="B35" s="4" t="s">
        <v>220</v>
      </c>
      <c r="C35" s="4" t="s">
        <v>235</v>
      </c>
      <c r="D35" s="4" t="s">
        <v>205</v>
      </c>
      <c r="E35" s="24" t="s">
        <v>997</v>
      </c>
    </row>
    <row r="36" spans="1:5" x14ac:dyDescent="0.2">
      <c r="A36" s="20" t="s">
        <v>993</v>
      </c>
      <c r="B36" s="4" t="s">
        <v>220</v>
      </c>
      <c r="C36" s="4" t="s">
        <v>244</v>
      </c>
      <c r="D36" s="4" t="s">
        <v>105</v>
      </c>
      <c r="E36" s="24" t="s">
        <v>998</v>
      </c>
    </row>
    <row r="37" spans="1:5" x14ac:dyDescent="0.2">
      <c r="A37" s="20" t="s">
        <v>975</v>
      </c>
      <c r="B37" s="4" t="s">
        <v>220</v>
      </c>
      <c r="C37" s="4" t="s">
        <v>231</v>
      </c>
      <c r="D37" s="4" t="s">
        <v>116</v>
      </c>
      <c r="E37" s="24" t="s">
        <v>999</v>
      </c>
    </row>
    <row r="38" spans="1:5" x14ac:dyDescent="0.2">
      <c r="A38" s="20" t="s">
        <v>979</v>
      </c>
      <c r="B38" s="4" t="s">
        <v>220</v>
      </c>
      <c r="C38" s="4" t="s">
        <v>231</v>
      </c>
      <c r="D38" s="4" t="s">
        <v>63</v>
      </c>
      <c r="E38" s="24" t="s">
        <v>1000</v>
      </c>
    </row>
  </sheetData>
  <mergeCells count="16">
    <mergeCell ref="A1:M2"/>
    <mergeCell ref="A3:A4"/>
    <mergeCell ref="B3:B4"/>
    <mergeCell ref="C3:C4"/>
    <mergeCell ref="D3:D4"/>
    <mergeCell ref="E3:E4"/>
    <mergeCell ref="F3:F4"/>
    <mergeCell ref="G3:J3"/>
    <mergeCell ref="A17:L17"/>
    <mergeCell ref="A20:L20"/>
    <mergeCell ref="K3:K4"/>
    <mergeCell ref="L3:L4"/>
    <mergeCell ref="M3:M4"/>
    <mergeCell ref="A5:L5"/>
    <mergeCell ref="A9:L9"/>
    <mergeCell ref="A12:L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9.7109375" style="4" bestFit="1" customWidth="1"/>
    <col min="4" max="4" width="6.5703125" style="4" bestFit="1" customWidth="1"/>
    <col min="5" max="5" width="22.7109375" style="4" bestFit="1" customWidth="1"/>
    <col min="6" max="6" width="28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6.5703125" style="3" bestFit="1" customWidth="1"/>
    <col min="13" max="13" width="9.28515625" style="4" bestFit="1" customWidth="1"/>
    <col min="14" max="16384" width="9.140625" style="3"/>
  </cols>
  <sheetData>
    <row r="1" spans="1:13" s="2" customFormat="1" ht="29.1" customHeight="1" x14ac:dyDescent="0.2">
      <c r="A1" s="50" t="s">
        <v>2238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11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32.2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.75" x14ac:dyDescent="0.25">
      <c r="A5" s="59" t="s">
        <v>175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3" x14ac:dyDescent="0.2">
      <c r="A6" s="34" t="s">
        <v>1001</v>
      </c>
      <c r="B6" s="5" t="s">
        <v>578</v>
      </c>
      <c r="C6" s="5" t="s">
        <v>872</v>
      </c>
      <c r="D6" s="5" t="str">
        <f>"0,5972"</f>
        <v>0,5972</v>
      </c>
      <c r="E6" s="5" t="s">
        <v>17</v>
      </c>
      <c r="F6" s="5" t="s">
        <v>40</v>
      </c>
      <c r="G6" s="7" t="s">
        <v>1002</v>
      </c>
      <c r="H6" s="7" t="s">
        <v>1002</v>
      </c>
      <c r="I6" s="7" t="s">
        <v>1002</v>
      </c>
      <c r="J6" s="7"/>
      <c r="K6" s="34" t="str">
        <f>"0.00"</f>
        <v>0.00</v>
      </c>
      <c r="L6" s="37" t="str">
        <f>"0,0000"</f>
        <v>0,0000</v>
      </c>
      <c r="M6" s="5" t="s">
        <v>1003</v>
      </c>
    </row>
    <row r="8" spans="1:13" ht="15.75" x14ac:dyDescent="0.25">
      <c r="A8" s="60" t="s">
        <v>920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3" x14ac:dyDescent="0.2">
      <c r="A9" s="34" t="s">
        <v>1004</v>
      </c>
      <c r="B9" s="5" t="s">
        <v>1005</v>
      </c>
      <c r="C9" s="5" t="s">
        <v>1006</v>
      </c>
      <c r="D9" s="5" t="str">
        <f>"0,5620"</f>
        <v>0,5620</v>
      </c>
      <c r="E9" s="5" t="s">
        <v>17</v>
      </c>
      <c r="F9" s="5" t="s">
        <v>1007</v>
      </c>
      <c r="G9" s="7" t="s">
        <v>1008</v>
      </c>
      <c r="H9" s="7" t="s">
        <v>1008</v>
      </c>
      <c r="I9" s="7" t="s">
        <v>1008</v>
      </c>
      <c r="J9" s="7"/>
      <c r="K9" s="34" t="str">
        <f>"0.00"</f>
        <v>0.00</v>
      </c>
      <c r="L9" s="37" t="str">
        <f>"0,0000"</f>
        <v>0,0000</v>
      </c>
      <c r="M9" s="5" t="s">
        <v>35</v>
      </c>
    </row>
    <row r="11" spans="1:13" ht="15" x14ac:dyDescent="0.2">
      <c r="E11" s="17" t="s">
        <v>206</v>
      </c>
    </row>
    <row r="12" spans="1:13" ht="15" x14ac:dyDescent="0.2">
      <c r="E12" s="17" t="s">
        <v>207</v>
      </c>
    </row>
    <row r="13" spans="1:13" ht="15" x14ac:dyDescent="0.2">
      <c r="E13" s="17" t="s">
        <v>208</v>
      </c>
    </row>
    <row r="14" spans="1:13" ht="15" x14ac:dyDescent="0.2">
      <c r="E14" s="17" t="s">
        <v>209</v>
      </c>
    </row>
    <row r="15" spans="1:13" ht="15" x14ac:dyDescent="0.2">
      <c r="E15" s="17" t="s">
        <v>209</v>
      </c>
    </row>
    <row r="16" spans="1:13" ht="15" x14ac:dyDescent="0.2">
      <c r="E16" s="17" t="s">
        <v>210</v>
      </c>
    </row>
    <row r="17" spans="5:5" ht="15" x14ac:dyDescent="0.2">
      <c r="E17" s="17"/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opLeftCell="A19" workbookViewId="0">
      <selection activeCell="A6" sqref="A6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5703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6.140625" style="4" bestFit="1" customWidth="1"/>
    <col min="14" max="16384" width="9.140625" style="3"/>
  </cols>
  <sheetData>
    <row r="1" spans="1:13" s="2" customFormat="1" ht="29.1" customHeight="1" x14ac:dyDescent="0.2">
      <c r="A1" s="50" t="s">
        <v>2239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12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32.2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23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4" t="s">
        <v>1596</v>
      </c>
      <c r="B6" s="5" t="s">
        <v>1597</v>
      </c>
      <c r="C6" s="5" t="s">
        <v>1598</v>
      </c>
      <c r="D6" s="5" t="str">
        <f>"1,0261"</f>
        <v>1,0261</v>
      </c>
      <c r="E6" s="5" t="s">
        <v>17</v>
      </c>
      <c r="F6" s="5" t="s">
        <v>40</v>
      </c>
      <c r="G6" s="6" t="s">
        <v>57</v>
      </c>
      <c r="H6" s="6" t="s">
        <v>67</v>
      </c>
      <c r="I6" s="6" t="s">
        <v>63</v>
      </c>
      <c r="J6" s="7"/>
      <c r="K6" s="34" t="str">
        <f>"190,0"</f>
        <v>190,0</v>
      </c>
      <c r="L6" s="37" t="str">
        <f>"194,9590"</f>
        <v>194,9590</v>
      </c>
      <c r="M6" s="5" t="s">
        <v>68</v>
      </c>
    </row>
    <row r="8" spans="1:13" ht="15" x14ac:dyDescent="0.2">
      <c r="A8" s="44" t="s">
        <v>96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">
      <c r="A9" s="34" t="s">
        <v>1599</v>
      </c>
      <c r="B9" s="5" t="s">
        <v>1600</v>
      </c>
      <c r="C9" s="5" t="s">
        <v>1601</v>
      </c>
      <c r="D9" s="5" t="str">
        <f>"0,8871"</f>
        <v>0,8871</v>
      </c>
      <c r="E9" s="5" t="s">
        <v>17</v>
      </c>
      <c r="F9" s="5" t="s">
        <v>40</v>
      </c>
      <c r="G9" s="6" t="s">
        <v>100</v>
      </c>
      <c r="H9" s="6" t="s">
        <v>21</v>
      </c>
      <c r="I9" s="6" t="s">
        <v>31</v>
      </c>
      <c r="J9" s="7"/>
      <c r="K9" s="34" t="str">
        <f>"80,0"</f>
        <v>80,0</v>
      </c>
      <c r="L9" s="37" t="str">
        <f>"74,8712"</f>
        <v>74,8712</v>
      </c>
      <c r="M9" s="5" t="s">
        <v>1602</v>
      </c>
    </row>
    <row r="11" spans="1:13" ht="15" x14ac:dyDescent="0.2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3" x14ac:dyDescent="0.2">
      <c r="A12" s="34" t="s">
        <v>754</v>
      </c>
      <c r="B12" s="5" t="s">
        <v>755</v>
      </c>
      <c r="C12" s="5" t="s">
        <v>756</v>
      </c>
      <c r="D12" s="5" t="str">
        <f>"0,7794"</f>
        <v>0,7794</v>
      </c>
      <c r="E12" s="5" t="s">
        <v>17</v>
      </c>
      <c r="F12" s="5" t="s">
        <v>40</v>
      </c>
      <c r="G12" s="6" t="s">
        <v>714</v>
      </c>
      <c r="H12" s="7" t="s">
        <v>127</v>
      </c>
      <c r="I12" s="6" t="s">
        <v>127</v>
      </c>
      <c r="J12" s="7"/>
      <c r="K12" s="34" t="str">
        <f>"257,5"</f>
        <v>257,5</v>
      </c>
      <c r="L12" s="37" t="str">
        <f>"200,6955"</f>
        <v>200,6955</v>
      </c>
      <c r="M12" s="5"/>
    </row>
    <row r="14" spans="1:13" ht="15" x14ac:dyDescent="0.2">
      <c r="A14" s="44" t="s">
        <v>36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3" x14ac:dyDescent="0.2">
      <c r="A15" s="32" t="s">
        <v>1604</v>
      </c>
      <c r="B15" s="8" t="s">
        <v>1605</v>
      </c>
      <c r="C15" s="8" t="s">
        <v>449</v>
      </c>
      <c r="D15" s="8" t="str">
        <f>"0,7173"</f>
        <v>0,7173</v>
      </c>
      <c r="E15" s="8" t="s">
        <v>2204</v>
      </c>
      <c r="F15" s="8" t="s">
        <v>1606</v>
      </c>
      <c r="G15" s="9" t="s">
        <v>73</v>
      </c>
      <c r="H15" s="9" t="s">
        <v>134</v>
      </c>
      <c r="I15" s="10" t="s">
        <v>116</v>
      </c>
      <c r="J15" s="10"/>
      <c r="K15" s="32" t="str">
        <f>"230,0"</f>
        <v>230,0</v>
      </c>
      <c r="L15" s="35" t="str">
        <f>"164,9790"</f>
        <v>164,9790</v>
      </c>
      <c r="M15" s="8"/>
    </row>
    <row r="16" spans="1:13" x14ac:dyDescent="0.2">
      <c r="A16" s="33" t="s">
        <v>77</v>
      </c>
      <c r="B16" s="11" t="s">
        <v>78</v>
      </c>
      <c r="C16" s="11" t="s">
        <v>79</v>
      </c>
      <c r="D16" s="11" t="str">
        <f>"0,7264"</f>
        <v>0,7264</v>
      </c>
      <c r="E16" s="11" t="s">
        <v>17</v>
      </c>
      <c r="F16" s="11" t="s">
        <v>40</v>
      </c>
      <c r="G16" s="12" t="s">
        <v>82</v>
      </c>
      <c r="H16" s="12" t="s">
        <v>57</v>
      </c>
      <c r="I16" s="12" t="s">
        <v>67</v>
      </c>
      <c r="J16" s="13"/>
      <c r="K16" s="33" t="str">
        <f>"180,0"</f>
        <v>180,0</v>
      </c>
      <c r="L16" s="36" t="str">
        <f>"130,7520"</f>
        <v>130,7520</v>
      </c>
      <c r="M16" s="11" t="s">
        <v>83</v>
      </c>
    </row>
    <row r="18" spans="1:13" ht="15" x14ac:dyDescent="0.2">
      <c r="A18" s="44" t="s">
        <v>59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3" x14ac:dyDescent="0.2">
      <c r="A19" s="32" t="s">
        <v>1608</v>
      </c>
      <c r="B19" s="8" t="s">
        <v>1609</v>
      </c>
      <c r="C19" s="8" t="s">
        <v>286</v>
      </c>
      <c r="D19" s="8" t="str">
        <f>"0,6749"</f>
        <v>0,6749</v>
      </c>
      <c r="E19" s="8" t="s">
        <v>17</v>
      </c>
      <c r="F19" s="8" t="s">
        <v>40</v>
      </c>
      <c r="G19" s="9" t="s">
        <v>73</v>
      </c>
      <c r="H19" s="10" t="s">
        <v>134</v>
      </c>
      <c r="I19" s="10" t="s">
        <v>134</v>
      </c>
      <c r="J19" s="10"/>
      <c r="K19" s="32" t="str">
        <f>"220,0"</f>
        <v>220,0</v>
      </c>
      <c r="L19" s="35" t="str">
        <f>"148,4780"</f>
        <v>148,4780</v>
      </c>
      <c r="M19" s="8"/>
    </row>
    <row r="20" spans="1:13" x14ac:dyDescent="0.2">
      <c r="A20" s="33" t="s">
        <v>789</v>
      </c>
      <c r="B20" s="11" t="s">
        <v>790</v>
      </c>
      <c r="C20" s="11" t="s">
        <v>660</v>
      </c>
      <c r="D20" s="11" t="str">
        <f>"0,6724"</f>
        <v>0,6724</v>
      </c>
      <c r="E20" s="11" t="s">
        <v>17</v>
      </c>
      <c r="F20" s="11" t="s">
        <v>40</v>
      </c>
      <c r="G20" s="12" t="s">
        <v>63</v>
      </c>
      <c r="H20" s="12" t="s">
        <v>64</v>
      </c>
      <c r="I20" s="12" t="s">
        <v>65</v>
      </c>
      <c r="J20" s="13"/>
      <c r="K20" s="33" t="str">
        <f>"210,0"</f>
        <v>210,0</v>
      </c>
      <c r="L20" s="36" t="str">
        <f>"141,2040"</f>
        <v>141,2040</v>
      </c>
      <c r="M20" s="11" t="s">
        <v>791</v>
      </c>
    </row>
    <row r="22" spans="1:13" ht="15" x14ac:dyDescent="0.2">
      <c r="A22" s="44" t="s">
        <v>96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3" x14ac:dyDescent="0.2">
      <c r="A23" s="32" t="s">
        <v>1611</v>
      </c>
      <c r="B23" s="8" t="s">
        <v>1612</v>
      </c>
      <c r="C23" s="8" t="s">
        <v>1613</v>
      </c>
      <c r="D23" s="8" t="str">
        <f>"0,6455"</f>
        <v>0,6455</v>
      </c>
      <c r="E23" s="8" t="s">
        <v>17</v>
      </c>
      <c r="F23" s="8" t="s">
        <v>751</v>
      </c>
      <c r="G23" s="9" t="s">
        <v>116</v>
      </c>
      <c r="H23" s="9" t="s">
        <v>508</v>
      </c>
      <c r="I23" s="10"/>
      <c r="J23" s="10"/>
      <c r="K23" s="32" t="str">
        <f>"252,5"</f>
        <v>252,5</v>
      </c>
      <c r="L23" s="35" t="str">
        <f>"210,4185"</f>
        <v>210,4185</v>
      </c>
      <c r="M23" s="8" t="s">
        <v>1614</v>
      </c>
    </row>
    <row r="24" spans="1:13" x14ac:dyDescent="0.2">
      <c r="A24" s="38" t="s">
        <v>1616</v>
      </c>
      <c r="B24" s="14" t="s">
        <v>1617</v>
      </c>
      <c r="C24" s="14" t="s">
        <v>478</v>
      </c>
      <c r="D24" s="14" t="str">
        <f>"0,6421"</f>
        <v>0,6421</v>
      </c>
      <c r="E24" s="14" t="s">
        <v>17</v>
      </c>
      <c r="F24" s="14" t="s">
        <v>1618</v>
      </c>
      <c r="G24" s="15" t="s">
        <v>54</v>
      </c>
      <c r="H24" s="15" t="s">
        <v>57</v>
      </c>
      <c r="I24" s="16" t="s">
        <v>41</v>
      </c>
      <c r="J24" s="16"/>
      <c r="K24" s="38" t="str">
        <f>"170,0"</f>
        <v>170,0</v>
      </c>
      <c r="L24" s="39" t="str">
        <f>"155,1121"</f>
        <v>155,1121</v>
      </c>
      <c r="M24" s="14" t="s">
        <v>1619</v>
      </c>
    </row>
    <row r="25" spans="1:13" x14ac:dyDescent="0.2">
      <c r="A25" s="33" t="s">
        <v>828</v>
      </c>
      <c r="B25" s="11" t="s">
        <v>307</v>
      </c>
      <c r="C25" s="11" t="s">
        <v>308</v>
      </c>
      <c r="D25" s="11" t="str">
        <f>"0,6471"</f>
        <v>0,6471</v>
      </c>
      <c r="E25" s="11" t="s">
        <v>17</v>
      </c>
      <c r="F25" s="11" t="s">
        <v>40</v>
      </c>
      <c r="G25" s="12" t="s">
        <v>34</v>
      </c>
      <c r="H25" s="13" t="s">
        <v>54</v>
      </c>
      <c r="I25" s="12" t="s">
        <v>54</v>
      </c>
      <c r="J25" s="13"/>
      <c r="K25" s="33" t="str">
        <f>"150,0"</f>
        <v>150,0</v>
      </c>
      <c r="L25" s="36" t="str">
        <f>"203,4482"</f>
        <v>203,4482</v>
      </c>
      <c r="M25" s="11"/>
    </row>
    <row r="27" spans="1:13" ht="15" x14ac:dyDescent="0.2">
      <c r="A27" s="44" t="s">
        <v>139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3" x14ac:dyDescent="0.2">
      <c r="A28" s="32" t="s">
        <v>1621</v>
      </c>
      <c r="B28" s="8" t="s">
        <v>1622</v>
      </c>
      <c r="C28" s="8" t="s">
        <v>389</v>
      </c>
      <c r="D28" s="8" t="str">
        <f>"0,6301"</f>
        <v>0,6301</v>
      </c>
      <c r="E28" s="8" t="s">
        <v>17</v>
      </c>
      <c r="F28" s="8" t="s">
        <v>40</v>
      </c>
      <c r="G28" s="9" t="s">
        <v>146</v>
      </c>
      <c r="H28" s="9" t="s">
        <v>225</v>
      </c>
      <c r="I28" s="10" t="s">
        <v>1623</v>
      </c>
      <c r="J28" s="10"/>
      <c r="K28" s="32" t="str">
        <f>"340,0"</f>
        <v>340,0</v>
      </c>
      <c r="L28" s="35" t="str">
        <f>"214,2340"</f>
        <v>214,2340</v>
      </c>
      <c r="M28" s="8" t="s">
        <v>1624</v>
      </c>
    </row>
    <row r="29" spans="1:13" x14ac:dyDescent="0.2">
      <c r="A29" s="38" t="s">
        <v>1626</v>
      </c>
      <c r="B29" s="14" t="s">
        <v>1627</v>
      </c>
      <c r="C29" s="14" t="s">
        <v>1628</v>
      </c>
      <c r="D29" s="14" t="str">
        <f>"0,6232"</f>
        <v>0,6232</v>
      </c>
      <c r="E29" s="14" t="s">
        <v>17</v>
      </c>
      <c r="F29" s="14" t="s">
        <v>40</v>
      </c>
      <c r="G29" s="15" t="s">
        <v>193</v>
      </c>
      <c r="H29" s="15" t="s">
        <v>518</v>
      </c>
      <c r="I29" s="15" t="s">
        <v>1629</v>
      </c>
      <c r="J29" s="16"/>
      <c r="K29" s="38" t="str">
        <f>"330,0"</f>
        <v>330,0</v>
      </c>
      <c r="L29" s="39" t="str">
        <f>"205,6560"</f>
        <v>205,6560</v>
      </c>
      <c r="M29" s="14"/>
    </row>
    <row r="30" spans="1:13" x14ac:dyDescent="0.2">
      <c r="A30" s="38" t="s">
        <v>1631</v>
      </c>
      <c r="B30" s="14" t="s">
        <v>1632</v>
      </c>
      <c r="C30" s="14" t="s">
        <v>1633</v>
      </c>
      <c r="D30" s="14" t="str">
        <f>"0,6223"</f>
        <v>0,6223</v>
      </c>
      <c r="E30" s="14" t="s">
        <v>17</v>
      </c>
      <c r="F30" s="14" t="s">
        <v>40</v>
      </c>
      <c r="G30" s="15" t="s">
        <v>193</v>
      </c>
      <c r="H30" s="16" t="s">
        <v>146</v>
      </c>
      <c r="I30" s="16" t="s">
        <v>146</v>
      </c>
      <c r="J30" s="16"/>
      <c r="K30" s="38" t="str">
        <f>"310,0"</f>
        <v>310,0</v>
      </c>
      <c r="L30" s="39" t="str">
        <f>"192,9130"</f>
        <v>192,9130</v>
      </c>
      <c r="M30" s="14" t="s">
        <v>1634</v>
      </c>
    </row>
    <row r="31" spans="1:13" x14ac:dyDescent="0.2">
      <c r="A31" s="38" t="s">
        <v>1636</v>
      </c>
      <c r="B31" s="14" t="s">
        <v>1637</v>
      </c>
      <c r="C31" s="14" t="s">
        <v>1638</v>
      </c>
      <c r="D31" s="14" t="str">
        <f>"0,6142"</f>
        <v>0,6142</v>
      </c>
      <c r="E31" s="14" t="s">
        <v>17</v>
      </c>
      <c r="F31" s="14" t="s">
        <v>40</v>
      </c>
      <c r="G31" s="15" t="s">
        <v>106</v>
      </c>
      <c r="H31" s="16" t="s">
        <v>180</v>
      </c>
      <c r="I31" s="16"/>
      <c r="J31" s="16"/>
      <c r="K31" s="38" t="str">
        <f>"290,0"</f>
        <v>290,0</v>
      </c>
      <c r="L31" s="39" t="str">
        <f>"178,1180"</f>
        <v>178,1180</v>
      </c>
      <c r="M31" s="14"/>
    </row>
    <row r="32" spans="1:13" x14ac:dyDescent="0.2">
      <c r="A32" s="38" t="s">
        <v>1639</v>
      </c>
      <c r="B32" s="14" t="s">
        <v>836</v>
      </c>
      <c r="C32" s="14" t="s">
        <v>312</v>
      </c>
      <c r="D32" s="14" t="str">
        <f>"0,6126"</f>
        <v>0,6126</v>
      </c>
      <c r="E32" s="14" t="s">
        <v>17</v>
      </c>
      <c r="F32" s="14" t="s">
        <v>837</v>
      </c>
      <c r="G32" s="15" t="s">
        <v>153</v>
      </c>
      <c r="H32" s="16"/>
      <c r="I32" s="16"/>
      <c r="J32" s="16"/>
      <c r="K32" s="38" t="str">
        <f>"280,0"</f>
        <v>280,0</v>
      </c>
      <c r="L32" s="39" t="str">
        <f>"171,5280"</f>
        <v>171,5280</v>
      </c>
      <c r="M32" s="14"/>
    </row>
    <row r="33" spans="1:13" x14ac:dyDescent="0.2">
      <c r="A33" s="38" t="s">
        <v>1641</v>
      </c>
      <c r="B33" s="14" t="s">
        <v>1642</v>
      </c>
      <c r="C33" s="14" t="s">
        <v>1643</v>
      </c>
      <c r="D33" s="14" t="str">
        <f>"0,6206"</f>
        <v>0,6206</v>
      </c>
      <c r="E33" s="14" t="s">
        <v>17</v>
      </c>
      <c r="F33" s="14" t="s">
        <v>1367</v>
      </c>
      <c r="G33" s="15" t="s">
        <v>73</v>
      </c>
      <c r="H33" s="15" t="s">
        <v>626</v>
      </c>
      <c r="I33" s="16" t="s">
        <v>126</v>
      </c>
      <c r="J33" s="16"/>
      <c r="K33" s="38" t="str">
        <f>"237,5"</f>
        <v>237,5</v>
      </c>
      <c r="L33" s="39" t="str">
        <f>"147,3925"</f>
        <v>147,3925</v>
      </c>
      <c r="M33" s="14" t="s">
        <v>1644</v>
      </c>
    </row>
    <row r="34" spans="1:13" x14ac:dyDescent="0.2">
      <c r="A34" s="38" t="s">
        <v>1646</v>
      </c>
      <c r="B34" s="14" t="s">
        <v>1586</v>
      </c>
      <c r="C34" s="14" t="s">
        <v>1647</v>
      </c>
      <c r="D34" s="14" t="str">
        <f>"0,6188"</f>
        <v>0,6188</v>
      </c>
      <c r="E34" s="14" t="s">
        <v>17</v>
      </c>
      <c r="F34" s="14" t="s">
        <v>1648</v>
      </c>
      <c r="G34" s="15" t="s">
        <v>1649</v>
      </c>
      <c r="H34" s="15" t="s">
        <v>1650</v>
      </c>
      <c r="I34" s="16" t="s">
        <v>145</v>
      </c>
      <c r="J34" s="16"/>
      <c r="K34" s="38" t="str">
        <f>"292,5"</f>
        <v>292,5</v>
      </c>
      <c r="L34" s="39" t="str">
        <f>"184,6190"</f>
        <v>184,6190</v>
      </c>
      <c r="M34" s="14"/>
    </row>
    <row r="35" spans="1:13" x14ac:dyDescent="0.2">
      <c r="A35" s="38" t="s">
        <v>1651</v>
      </c>
      <c r="B35" s="14" t="s">
        <v>845</v>
      </c>
      <c r="C35" s="14" t="s">
        <v>846</v>
      </c>
      <c r="D35" s="14" t="str">
        <f>"0,6315"</f>
        <v>0,6315</v>
      </c>
      <c r="E35" s="14" t="s">
        <v>847</v>
      </c>
      <c r="F35" s="14" t="s">
        <v>2205</v>
      </c>
      <c r="G35" s="15" t="s">
        <v>116</v>
      </c>
      <c r="H35" s="15" t="s">
        <v>126</v>
      </c>
      <c r="I35" s="15" t="s">
        <v>118</v>
      </c>
      <c r="J35" s="16"/>
      <c r="K35" s="38" t="str">
        <f>"260,0"</f>
        <v>260,0</v>
      </c>
      <c r="L35" s="39" t="str">
        <f>"171,2502"</f>
        <v>171,2502</v>
      </c>
      <c r="M35" s="14"/>
    </row>
    <row r="36" spans="1:13" x14ac:dyDescent="0.2">
      <c r="A36" s="33" t="s">
        <v>1652</v>
      </c>
      <c r="B36" s="11" t="s">
        <v>328</v>
      </c>
      <c r="C36" s="11" t="s">
        <v>329</v>
      </c>
      <c r="D36" s="11" t="str">
        <f>"0,6150"</f>
        <v>0,6150</v>
      </c>
      <c r="E36" s="11" t="s">
        <v>17</v>
      </c>
      <c r="F36" s="11" t="s">
        <v>152</v>
      </c>
      <c r="G36" s="12" t="s">
        <v>73</v>
      </c>
      <c r="H36" s="12" t="s">
        <v>108</v>
      </c>
      <c r="I36" s="13" t="s">
        <v>126</v>
      </c>
      <c r="J36" s="13"/>
      <c r="K36" s="33" t="str">
        <f>"235,0"</f>
        <v>235,0</v>
      </c>
      <c r="L36" s="36" t="str">
        <f>"152,4739"</f>
        <v>152,4739</v>
      </c>
      <c r="M36" s="11"/>
    </row>
    <row r="38" spans="1:13" ht="15" x14ac:dyDescent="0.2">
      <c r="A38" s="44" t="s">
        <v>175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">
      <c r="A39" s="32" t="s">
        <v>1654</v>
      </c>
      <c r="B39" s="8" t="s">
        <v>1655</v>
      </c>
      <c r="C39" s="8" t="s">
        <v>1656</v>
      </c>
      <c r="D39" s="8" t="str">
        <f>"0,5900"</f>
        <v>0,5900</v>
      </c>
      <c r="E39" s="8" t="s">
        <v>17</v>
      </c>
      <c r="F39" s="8" t="s">
        <v>1657</v>
      </c>
      <c r="G39" s="9" t="s">
        <v>225</v>
      </c>
      <c r="H39" s="9" t="s">
        <v>1008</v>
      </c>
      <c r="I39" s="10" t="s">
        <v>1658</v>
      </c>
      <c r="J39" s="10"/>
      <c r="K39" s="32" t="str">
        <f>"360,0"</f>
        <v>360,0</v>
      </c>
      <c r="L39" s="35" t="str">
        <f>"212,4000"</f>
        <v>212,4000</v>
      </c>
      <c r="M39" s="8" t="s">
        <v>1659</v>
      </c>
    </row>
    <row r="40" spans="1:13" x14ac:dyDescent="0.2">
      <c r="A40" s="38" t="s">
        <v>1661</v>
      </c>
      <c r="B40" s="14" t="s">
        <v>1662</v>
      </c>
      <c r="C40" s="14" t="s">
        <v>1419</v>
      </c>
      <c r="D40" s="14" t="str">
        <f>"0,5907"</f>
        <v>0,5907</v>
      </c>
      <c r="E40" s="14" t="s">
        <v>17</v>
      </c>
      <c r="F40" s="14" t="s">
        <v>1663</v>
      </c>
      <c r="G40" s="15" t="s">
        <v>1664</v>
      </c>
      <c r="H40" s="15" t="s">
        <v>1665</v>
      </c>
      <c r="I40" s="16" t="s">
        <v>730</v>
      </c>
      <c r="J40" s="16"/>
      <c r="K40" s="38" t="str">
        <f>"355,0"</f>
        <v>355,0</v>
      </c>
      <c r="L40" s="39" t="str">
        <f>"209,6985"</f>
        <v>209,6985</v>
      </c>
      <c r="M40" s="14" t="s">
        <v>1666</v>
      </c>
    </row>
    <row r="41" spans="1:13" x14ac:dyDescent="0.2">
      <c r="A41" s="33" t="s">
        <v>1668</v>
      </c>
      <c r="B41" s="11" t="s">
        <v>1669</v>
      </c>
      <c r="C41" s="11" t="s">
        <v>862</v>
      </c>
      <c r="D41" s="11" t="str">
        <f>"0,6026"</f>
        <v>0,6026</v>
      </c>
      <c r="E41" s="11" t="s">
        <v>17</v>
      </c>
      <c r="F41" s="11" t="s">
        <v>686</v>
      </c>
      <c r="G41" s="12" t="s">
        <v>145</v>
      </c>
      <c r="H41" s="12" t="s">
        <v>709</v>
      </c>
      <c r="I41" s="13"/>
      <c r="J41" s="13"/>
      <c r="K41" s="33" t="str">
        <f>"325,0"</f>
        <v>325,0</v>
      </c>
      <c r="L41" s="36" t="str">
        <f>"195,8450"</f>
        <v>195,8450</v>
      </c>
      <c r="M41" s="11" t="s">
        <v>1670</v>
      </c>
    </row>
    <row r="43" spans="1:13" ht="15" x14ac:dyDescent="0.2">
      <c r="A43" s="44" t="s">
        <v>196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3" x14ac:dyDescent="0.2">
      <c r="A44" s="32" t="s">
        <v>341</v>
      </c>
      <c r="B44" s="8" t="s">
        <v>342</v>
      </c>
      <c r="C44" s="8" t="s">
        <v>343</v>
      </c>
      <c r="D44" s="8" t="str">
        <f>"0,5731"</f>
        <v>0,5731</v>
      </c>
      <c r="E44" s="8" t="s">
        <v>17</v>
      </c>
      <c r="F44" s="8" t="s">
        <v>40</v>
      </c>
      <c r="G44" s="9" t="s">
        <v>134</v>
      </c>
      <c r="H44" s="9" t="s">
        <v>109</v>
      </c>
      <c r="I44" s="10" t="s">
        <v>119</v>
      </c>
      <c r="J44" s="10"/>
      <c r="K44" s="32" t="str">
        <f>"255,0"</f>
        <v>255,0</v>
      </c>
      <c r="L44" s="35" t="str">
        <f>"146,1405"</f>
        <v>146,1405</v>
      </c>
      <c r="M44" s="8" t="s">
        <v>344</v>
      </c>
    </row>
    <row r="45" spans="1:13" x14ac:dyDescent="0.2">
      <c r="A45" s="33" t="s">
        <v>1672</v>
      </c>
      <c r="B45" s="11" t="s">
        <v>1673</v>
      </c>
      <c r="C45" s="11" t="s">
        <v>1674</v>
      </c>
      <c r="D45" s="11" t="str">
        <f>"0,5778"</f>
        <v>0,5778</v>
      </c>
      <c r="E45" s="11" t="s">
        <v>17</v>
      </c>
      <c r="F45" s="11" t="s">
        <v>826</v>
      </c>
      <c r="G45" s="12" t="s">
        <v>126</v>
      </c>
      <c r="H45" s="12" t="s">
        <v>118</v>
      </c>
      <c r="I45" s="13" t="s">
        <v>105</v>
      </c>
      <c r="J45" s="13"/>
      <c r="K45" s="33" t="str">
        <f>"260,0"</f>
        <v>260,0</v>
      </c>
      <c r="L45" s="36" t="str">
        <f>"184,0293"</f>
        <v>184,0293</v>
      </c>
      <c r="M45" s="11" t="s">
        <v>158</v>
      </c>
    </row>
    <row r="47" spans="1:13" ht="15" x14ac:dyDescent="0.2">
      <c r="A47" s="44" t="s">
        <v>920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3" x14ac:dyDescent="0.2">
      <c r="A48" s="34" t="s">
        <v>1676</v>
      </c>
      <c r="B48" s="5" t="s">
        <v>1677</v>
      </c>
      <c r="C48" s="5" t="s">
        <v>1678</v>
      </c>
      <c r="D48" s="5" t="str">
        <f>"0,5682"</f>
        <v>0,5682</v>
      </c>
      <c r="E48" s="5" t="s">
        <v>847</v>
      </c>
      <c r="F48" s="5" t="s">
        <v>974</v>
      </c>
      <c r="G48" s="6" t="s">
        <v>63</v>
      </c>
      <c r="H48" s="6" t="s">
        <v>65</v>
      </c>
      <c r="I48" s="6" t="s">
        <v>134</v>
      </c>
      <c r="J48" s="7"/>
      <c r="K48" s="34" t="str">
        <f>"230,0"</f>
        <v>230,0</v>
      </c>
      <c r="L48" s="37" t="str">
        <f>"219,6832"</f>
        <v>219,6832</v>
      </c>
      <c r="M48" s="5"/>
    </row>
    <row r="50" spans="1:5" ht="15" x14ac:dyDescent="0.2">
      <c r="E50" s="17" t="s">
        <v>206</v>
      </c>
    </row>
    <row r="51" spans="1:5" ht="15" x14ac:dyDescent="0.2">
      <c r="E51" s="17" t="s">
        <v>207</v>
      </c>
    </row>
    <row r="52" spans="1:5" ht="15" x14ac:dyDescent="0.2">
      <c r="E52" s="17" t="s">
        <v>208</v>
      </c>
    </row>
    <row r="53" spans="1:5" ht="15" x14ac:dyDescent="0.2">
      <c r="E53" s="17" t="s">
        <v>209</v>
      </c>
    </row>
    <row r="54" spans="1:5" ht="15" x14ac:dyDescent="0.2">
      <c r="E54" s="17" t="s">
        <v>209</v>
      </c>
    </row>
    <row r="55" spans="1:5" ht="15" x14ac:dyDescent="0.2">
      <c r="E55" s="17" t="s">
        <v>210</v>
      </c>
    </row>
    <row r="56" spans="1:5" ht="15" x14ac:dyDescent="0.2">
      <c r="E56" s="17"/>
    </row>
    <row r="58" spans="1:5" ht="18" x14ac:dyDescent="0.25">
      <c r="A58" s="18" t="s">
        <v>211</v>
      </c>
      <c r="B58" s="18"/>
    </row>
    <row r="59" spans="1:5" ht="15" x14ac:dyDescent="0.2">
      <c r="A59" s="19" t="s">
        <v>226</v>
      </c>
      <c r="B59" s="19"/>
    </row>
    <row r="60" spans="1:5" ht="14.25" x14ac:dyDescent="0.2">
      <c r="A60" s="21"/>
      <c r="B60" s="22" t="s">
        <v>220</v>
      </c>
    </row>
    <row r="61" spans="1:5" ht="15" x14ac:dyDescent="0.2">
      <c r="A61" s="23" t="s">
        <v>213</v>
      </c>
      <c r="B61" s="23" t="s">
        <v>214</v>
      </c>
      <c r="C61" s="23" t="s">
        <v>215</v>
      </c>
      <c r="D61" s="23" t="s">
        <v>216</v>
      </c>
      <c r="E61" s="23" t="s">
        <v>217</v>
      </c>
    </row>
    <row r="62" spans="1:5" x14ac:dyDescent="0.2">
      <c r="A62" s="20" t="s">
        <v>1620</v>
      </c>
      <c r="B62" s="4" t="s">
        <v>220</v>
      </c>
      <c r="C62" s="4" t="s">
        <v>231</v>
      </c>
      <c r="D62" s="4" t="s">
        <v>225</v>
      </c>
      <c r="E62" s="24" t="s">
        <v>1679</v>
      </c>
    </row>
    <row r="63" spans="1:5" x14ac:dyDescent="0.2">
      <c r="A63" s="20" t="s">
        <v>1653</v>
      </c>
      <c r="B63" s="4" t="s">
        <v>220</v>
      </c>
      <c r="C63" s="4" t="s">
        <v>235</v>
      </c>
      <c r="D63" s="4" t="s">
        <v>1008</v>
      </c>
      <c r="E63" s="24" t="s">
        <v>1680</v>
      </c>
    </row>
    <row r="64" spans="1:5" x14ac:dyDescent="0.2">
      <c r="A64" s="20" t="s">
        <v>1660</v>
      </c>
      <c r="B64" s="4" t="s">
        <v>220</v>
      </c>
      <c r="C64" s="4" t="s">
        <v>235</v>
      </c>
      <c r="D64" s="4" t="s">
        <v>1665</v>
      </c>
      <c r="E64" s="24" t="s">
        <v>1681</v>
      </c>
    </row>
    <row r="65" spans="1:5" x14ac:dyDescent="0.2">
      <c r="A65" s="20" t="s">
        <v>1625</v>
      </c>
      <c r="B65" s="4" t="s">
        <v>220</v>
      </c>
      <c r="C65" s="4" t="s">
        <v>231</v>
      </c>
      <c r="D65" s="4" t="s">
        <v>1629</v>
      </c>
      <c r="E65" s="24" t="s">
        <v>1682</v>
      </c>
    </row>
    <row r="66" spans="1:5" x14ac:dyDescent="0.2">
      <c r="A66" s="20" t="s">
        <v>753</v>
      </c>
      <c r="B66" s="4" t="s">
        <v>220</v>
      </c>
      <c r="C66" s="4" t="s">
        <v>224</v>
      </c>
      <c r="D66" s="4" t="s">
        <v>127</v>
      </c>
      <c r="E66" s="24" t="s">
        <v>1683</v>
      </c>
    </row>
    <row r="67" spans="1:5" x14ac:dyDescent="0.2">
      <c r="A67" s="20" t="s">
        <v>1667</v>
      </c>
      <c r="B67" s="4" t="s">
        <v>220</v>
      </c>
      <c r="C67" s="4" t="s">
        <v>235</v>
      </c>
      <c r="D67" s="4" t="s">
        <v>709</v>
      </c>
      <c r="E67" s="24" t="s">
        <v>1684</v>
      </c>
    </row>
    <row r="68" spans="1:5" x14ac:dyDescent="0.2">
      <c r="A68" s="20" t="s">
        <v>1630</v>
      </c>
      <c r="B68" s="4" t="s">
        <v>220</v>
      </c>
      <c r="C68" s="4" t="s">
        <v>231</v>
      </c>
      <c r="D68" s="4" t="s">
        <v>193</v>
      </c>
      <c r="E68" s="24" t="s">
        <v>1685</v>
      </c>
    </row>
    <row r="69" spans="1:5" x14ac:dyDescent="0.2">
      <c r="A69" s="20" t="s">
        <v>1635</v>
      </c>
      <c r="B69" s="4" t="s">
        <v>220</v>
      </c>
      <c r="C69" s="4" t="s">
        <v>231</v>
      </c>
      <c r="D69" s="4" t="s">
        <v>106</v>
      </c>
      <c r="E69" s="24" t="s">
        <v>1686</v>
      </c>
    </row>
    <row r="70" spans="1:5" x14ac:dyDescent="0.2">
      <c r="A70" s="20" t="s">
        <v>834</v>
      </c>
      <c r="B70" s="4" t="s">
        <v>220</v>
      </c>
      <c r="C70" s="4" t="s">
        <v>231</v>
      </c>
      <c r="D70" s="4" t="s">
        <v>153</v>
      </c>
      <c r="E70" s="24" t="s">
        <v>1687</v>
      </c>
    </row>
    <row r="71" spans="1:5" x14ac:dyDescent="0.2">
      <c r="A71" s="20" t="s">
        <v>1603</v>
      </c>
      <c r="B71" s="4" t="s">
        <v>220</v>
      </c>
      <c r="C71" s="4" t="s">
        <v>221</v>
      </c>
      <c r="D71" s="4" t="s">
        <v>134</v>
      </c>
      <c r="E71" s="24" t="s">
        <v>1688</v>
      </c>
    </row>
    <row r="72" spans="1:5" x14ac:dyDescent="0.2">
      <c r="A72" s="20" t="s">
        <v>1607</v>
      </c>
      <c r="B72" s="4" t="s">
        <v>220</v>
      </c>
      <c r="C72" s="4" t="s">
        <v>219</v>
      </c>
      <c r="D72" s="4" t="s">
        <v>73</v>
      </c>
      <c r="E72" s="24" t="s">
        <v>1689</v>
      </c>
    </row>
    <row r="73" spans="1:5" x14ac:dyDescent="0.2">
      <c r="A73" s="20" t="s">
        <v>1640</v>
      </c>
      <c r="B73" s="4" t="s">
        <v>220</v>
      </c>
      <c r="C73" s="4" t="s">
        <v>231</v>
      </c>
      <c r="D73" s="4" t="s">
        <v>626</v>
      </c>
      <c r="E73" s="24" t="s">
        <v>1690</v>
      </c>
    </row>
    <row r="74" spans="1:5" x14ac:dyDescent="0.2">
      <c r="A74" s="20" t="s">
        <v>340</v>
      </c>
      <c r="B74" s="4" t="s">
        <v>220</v>
      </c>
      <c r="C74" s="4" t="s">
        <v>244</v>
      </c>
      <c r="D74" s="4" t="s">
        <v>109</v>
      </c>
      <c r="E74" s="24" t="s">
        <v>1691</v>
      </c>
    </row>
    <row r="75" spans="1:5" x14ac:dyDescent="0.2">
      <c r="A75" s="20" t="s">
        <v>788</v>
      </c>
      <c r="B75" s="4" t="s">
        <v>220</v>
      </c>
      <c r="C75" s="4" t="s">
        <v>219</v>
      </c>
      <c r="D75" s="4" t="s">
        <v>65</v>
      </c>
      <c r="E75" s="24" t="s">
        <v>1692</v>
      </c>
    </row>
    <row r="76" spans="1:5" x14ac:dyDescent="0.2">
      <c r="A76" s="20" t="s">
        <v>76</v>
      </c>
      <c r="B76" s="4" t="s">
        <v>220</v>
      </c>
      <c r="C76" s="4" t="s">
        <v>221</v>
      </c>
      <c r="D76" s="4" t="s">
        <v>67</v>
      </c>
      <c r="E76" s="24" t="s">
        <v>1693</v>
      </c>
    </row>
    <row r="78" spans="1:5" ht="14.25" x14ac:dyDescent="0.2">
      <c r="A78" s="21"/>
      <c r="B78" s="22" t="s">
        <v>222</v>
      </c>
    </row>
    <row r="79" spans="1:5" ht="15" x14ac:dyDescent="0.2">
      <c r="A79" s="23" t="s">
        <v>213</v>
      </c>
      <c r="B79" s="23" t="s">
        <v>214</v>
      </c>
      <c r="C79" s="23" t="s">
        <v>215</v>
      </c>
      <c r="D79" s="23" t="s">
        <v>216</v>
      </c>
      <c r="E79" s="23" t="s">
        <v>217</v>
      </c>
    </row>
    <row r="80" spans="1:5" x14ac:dyDescent="0.2">
      <c r="A80" s="20" t="s">
        <v>1675</v>
      </c>
      <c r="B80" s="4" t="s">
        <v>543</v>
      </c>
      <c r="C80" s="4" t="s">
        <v>944</v>
      </c>
      <c r="D80" s="4" t="s">
        <v>134</v>
      </c>
      <c r="E80" s="24" t="s">
        <v>1694</v>
      </c>
    </row>
    <row r="81" spans="1:5" x14ac:dyDescent="0.2">
      <c r="A81" s="20" t="s">
        <v>1610</v>
      </c>
      <c r="B81" s="4" t="s">
        <v>391</v>
      </c>
      <c r="C81" s="4" t="s">
        <v>229</v>
      </c>
      <c r="D81" s="4" t="s">
        <v>508</v>
      </c>
      <c r="E81" s="24" t="s">
        <v>1695</v>
      </c>
    </row>
    <row r="82" spans="1:5" x14ac:dyDescent="0.2">
      <c r="A82" s="20" t="s">
        <v>305</v>
      </c>
      <c r="B82" s="4" t="s">
        <v>951</v>
      </c>
      <c r="C82" s="4" t="s">
        <v>229</v>
      </c>
      <c r="D82" s="4" t="s">
        <v>54</v>
      </c>
      <c r="E82" s="24" t="s">
        <v>1696</v>
      </c>
    </row>
    <row r="83" spans="1:5" x14ac:dyDescent="0.2">
      <c r="A83" s="20" t="s">
        <v>1645</v>
      </c>
      <c r="B83" s="4" t="s">
        <v>370</v>
      </c>
      <c r="C83" s="4" t="s">
        <v>231</v>
      </c>
      <c r="D83" s="4" t="s">
        <v>1650</v>
      </c>
      <c r="E83" s="24" t="s">
        <v>1697</v>
      </c>
    </row>
    <row r="84" spans="1:5" x14ac:dyDescent="0.2">
      <c r="A84" s="20" t="s">
        <v>1671</v>
      </c>
      <c r="B84" s="4" t="s">
        <v>391</v>
      </c>
      <c r="C84" s="4" t="s">
        <v>244</v>
      </c>
      <c r="D84" s="4" t="s">
        <v>118</v>
      </c>
      <c r="E84" s="24" t="s">
        <v>1698</v>
      </c>
    </row>
    <row r="85" spans="1:5" x14ac:dyDescent="0.2">
      <c r="A85" s="20" t="s">
        <v>843</v>
      </c>
      <c r="B85" s="4" t="s">
        <v>370</v>
      </c>
      <c r="C85" s="4" t="s">
        <v>231</v>
      </c>
      <c r="D85" s="4" t="s">
        <v>118</v>
      </c>
      <c r="E85" s="24" t="s">
        <v>1699</v>
      </c>
    </row>
    <row r="86" spans="1:5" x14ac:dyDescent="0.2">
      <c r="A86" s="20" t="s">
        <v>1615</v>
      </c>
      <c r="B86" s="4" t="s">
        <v>367</v>
      </c>
      <c r="C86" s="4" t="s">
        <v>229</v>
      </c>
      <c r="D86" s="4" t="s">
        <v>57</v>
      </c>
      <c r="E86" s="24" t="s">
        <v>1700</v>
      </c>
    </row>
    <row r="87" spans="1:5" x14ac:dyDescent="0.2">
      <c r="A87" s="20" t="s">
        <v>326</v>
      </c>
      <c r="B87" s="4" t="s">
        <v>261</v>
      </c>
      <c r="C87" s="4" t="s">
        <v>231</v>
      </c>
      <c r="D87" s="4" t="s">
        <v>108</v>
      </c>
      <c r="E87" s="24" t="s">
        <v>1701</v>
      </c>
    </row>
  </sheetData>
  <mergeCells count="21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47:L47"/>
    <mergeCell ref="A14:L14"/>
    <mergeCell ref="A18:L18"/>
    <mergeCell ref="A22:L22"/>
    <mergeCell ref="A27:L27"/>
    <mergeCell ref="A38:L38"/>
    <mergeCell ref="A43:L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7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7.42578125" style="4" bestFit="1" customWidth="1"/>
    <col min="7" max="8" width="5.5703125" style="3" bestFit="1" customWidth="1"/>
    <col min="9" max="9" width="2.1406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50" t="s">
        <v>2240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.1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 x14ac:dyDescent="0.2">
      <c r="A3" s="56" t="s">
        <v>0</v>
      </c>
      <c r="B3" s="58" t="s">
        <v>6</v>
      </c>
      <c r="C3" s="58" t="s">
        <v>7</v>
      </c>
      <c r="D3" s="45" t="s">
        <v>9</v>
      </c>
      <c r="E3" s="45" t="s">
        <v>4</v>
      </c>
      <c r="F3" s="45" t="s">
        <v>8</v>
      </c>
      <c r="G3" s="45" t="s">
        <v>12</v>
      </c>
      <c r="H3" s="45"/>
      <c r="I3" s="45"/>
      <c r="J3" s="45"/>
      <c r="K3" s="45" t="s">
        <v>970</v>
      </c>
      <c r="L3" s="45" t="s">
        <v>3</v>
      </c>
      <c r="M3" s="47" t="s">
        <v>2</v>
      </c>
    </row>
    <row r="4" spans="1:13" s="1" customFormat="1" ht="31.5" customHeight="1" thickBot="1" x14ac:dyDescent="0.25">
      <c r="A4" s="57"/>
      <c r="B4" s="46"/>
      <c r="C4" s="46"/>
      <c r="D4" s="46"/>
      <c r="E4" s="46"/>
      <c r="F4" s="46"/>
      <c r="G4" s="30">
        <v>1</v>
      </c>
      <c r="H4" s="30">
        <v>2</v>
      </c>
      <c r="I4" s="30">
        <v>3</v>
      </c>
      <c r="J4" s="30" t="s">
        <v>5</v>
      </c>
      <c r="K4" s="46"/>
      <c r="L4" s="46"/>
      <c r="M4" s="48"/>
    </row>
    <row r="5" spans="1:13" ht="15" x14ac:dyDescent="0.2">
      <c r="A5" s="49" t="s">
        <v>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x14ac:dyDescent="0.2">
      <c r="A6" s="34" t="s">
        <v>782</v>
      </c>
      <c r="B6" s="5" t="s">
        <v>783</v>
      </c>
      <c r="C6" s="5" t="s">
        <v>79</v>
      </c>
      <c r="D6" s="5" t="str">
        <f>"0,7264"</f>
        <v>0,7264</v>
      </c>
      <c r="E6" s="5" t="s">
        <v>17</v>
      </c>
      <c r="F6" s="5" t="s">
        <v>459</v>
      </c>
      <c r="G6" s="6" t="s">
        <v>45</v>
      </c>
      <c r="H6" s="6" t="s">
        <v>408</v>
      </c>
      <c r="I6" s="7"/>
      <c r="J6" s="7"/>
      <c r="K6" s="34" t="str">
        <f>"122,5"</f>
        <v>122,5</v>
      </c>
      <c r="L6" s="37" t="str">
        <f>"182,4172"</f>
        <v>182,4172</v>
      </c>
      <c r="M6" s="5" t="s">
        <v>35</v>
      </c>
    </row>
    <row r="8" spans="1:13" ht="15" x14ac:dyDescent="0.2">
      <c r="E8" s="17" t="s">
        <v>206</v>
      </c>
    </row>
    <row r="9" spans="1:13" ht="15" x14ac:dyDescent="0.2">
      <c r="E9" s="17" t="s">
        <v>207</v>
      </c>
    </row>
    <row r="10" spans="1:13" ht="15" x14ac:dyDescent="0.2">
      <c r="E10" s="17" t="s">
        <v>208</v>
      </c>
    </row>
    <row r="11" spans="1:13" ht="15" x14ac:dyDescent="0.2">
      <c r="E11" s="17" t="s">
        <v>209</v>
      </c>
    </row>
    <row r="12" spans="1:13" ht="15" x14ac:dyDescent="0.2">
      <c r="E12" s="17" t="s">
        <v>209</v>
      </c>
    </row>
    <row r="13" spans="1:13" ht="15" x14ac:dyDescent="0.2">
      <c r="E13" s="17" t="s">
        <v>210</v>
      </c>
    </row>
    <row r="14" spans="1:13" ht="15" x14ac:dyDescent="0.2">
      <c r="E14" s="17"/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WPF PRO Жим безэк. Элита</vt:lpstr>
      <vt:lpstr>WPF PRO ПЛ безэк.</vt:lpstr>
      <vt:lpstr>WPF PRO ПЛ классик.</vt:lpstr>
      <vt:lpstr>WPF PRO ПЛ в 1-сл. эк.</vt:lpstr>
      <vt:lpstr>WPF PRO Жим безэк.</vt:lpstr>
      <vt:lpstr>WPF PRO Жим в 1-сл. эк.</vt:lpstr>
      <vt:lpstr>WPF PRO Жим в мн сл. эк.</vt:lpstr>
      <vt:lpstr>WPF PRO Тяга безэк.</vt:lpstr>
      <vt:lpstr>WPF PRO Тяга в 1-сл. эк.</vt:lpstr>
      <vt:lpstr>WPF AM ПЛ безэк.</vt:lpstr>
      <vt:lpstr>WPF AM ПЛ классик.</vt:lpstr>
      <vt:lpstr>WPF AM ПЛ в 1-сл. эк.</vt:lpstr>
      <vt:lpstr>WPF AM ПЛ в мн сл. эк.</vt:lpstr>
      <vt:lpstr>WPF AM Жим безэк.</vt:lpstr>
      <vt:lpstr>WPF AM Жим в 1-сл. эк.</vt:lpstr>
      <vt:lpstr>WPF AM Жим в мн сл. эк.</vt:lpstr>
      <vt:lpstr>WPF AM Тяга безэк.</vt:lpstr>
      <vt:lpstr>WPF AM Тяга в 1-сл. эк.</vt:lpstr>
      <vt:lpstr>НЖ 1_2 вес</vt:lpstr>
      <vt:lpstr>НЖ 1 вес</vt:lpstr>
      <vt:lpstr>НЖ 1_2 вес с ДК</vt:lpstr>
      <vt:lpstr>НЖ 1 вес с ДК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Соловьев И В</cp:lastModifiedBy>
  <cp:lastPrinted>2015-07-16T19:10:53Z</cp:lastPrinted>
  <dcterms:created xsi:type="dcterms:W3CDTF">2002-06-16T13:36:44Z</dcterms:created>
  <dcterms:modified xsi:type="dcterms:W3CDTF">2019-06-11T08:59:13Z</dcterms:modified>
</cp:coreProperties>
</file>