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горь\Google Диск\PowerLifting\WPF\Protocols\"/>
    </mc:Choice>
  </mc:AlternateContent>
  <bookViews>
    <workbookView xWindow="0" yWindow="0" windowWidth="15330" windowHeight="11760" activeTab="2"/>
  </bookViews>
  <sheets>
    <sheet name="WPF AM Тяга безэк." sheetId="27" r:id="rId1"/>
    <sheet name="WPF PRO Тяга в мн сл. эк." sheetId="24" r:id="rId2"/>
    <sheet name="WPF PRO Тяга безэк." sheetId="22" r:id="rId3"/>
    <sheet name="WPF AM Жим в 1-сл. эк." sheetId="20" r:id="rId4"/>
    <sheet name="WPF AM Жим безэк." sheetId="19" r:id="rId5"/>
    <sheet name="WPF PRO Жим в мн сл. эк." sheetId="16" r:id="rId6"/>
    <sheet name="WPF PRO Жим в 1-сл. эк." sheetId="15" r:id="rId7"/>
    <sheet name="WPF PRO Жим безэк." sheetId="14" r:id="rId8"/>
    <sheet name="WPF AM ПЛ безэк." sheetId="11" r:id="rId9"/>
    <sheet name="WPF AM ПЛ классик." sheetId="10" r:id="rId10"/>
    <sheet name="WPF PRO ПЛ в мн сл. эк." sheetId="8" r:id="rId11"/>
    <sheet name="WPF PRO ПЛ в 1-сл. эк." sheetId="7" r:id="rId12"/>
    <sheet name="WPF PRO ПЛ безэк." sheetId="6" r:id="rId13"/>
    <sheet name="WPF PRO ПЛ классик." sheetId="5" r:id="rId14"/>
    <sheet name="WPU НЖ 1_2 вес с д.к." sheetId="29" r:id="rId15"/>
    <sheet name="WPU НЖ 1 вес с д.к." sheetId="30" r:id="rId16"/>
    <sheet name="WPU НЖ 1_2 вес" sheetId="31" r:id="rId17"/>
    <sheet name="WPU НЖ 1 вес" sheetId="32" r:id="rId18"/>
  </sheets>
  <definedNames>
    <definedName name="_FilterDatabase" localSheetId="13" hidden="1">'WPF PRO ПЛ классик.'!$A$1:$S$3</definedName>
    <definedName name="_FilterDatabase" localSheetId="17" hidden="1">'WPU НЖ 1 вес'!$A$1:$I$3</definedName>
  </definedNames>
  <calcPr calcId="152511"/>
</workbook>
</file>

<file path=xl/calcChain.xml><?xml version="1.0" encoding="utf-8"?>
<calcChain xmlns="http://schemas.openxmlformats.org/spreadsheetml/2006/main">
  <c r="D47" i="27" l="1"/>
  <c r="K47" i="27"/>
  <c r="L47" i="27"/>
  <c r="D36" i="27"/>
  <c r="D34" i="27"/>
  <c r="L20" i="22"/>
  <c r="K20" i="22"/>
  <c r="D20" i="22"/>
  <c r="L15" i="22"/>
  <c r="K15" i="22"/>
  <c r="D15" i="22"/>
  <c r="D6" i="32"/>
  <c r="I6" i="32"/>
  <c r="J6" i="32"/>
  <c r="D9" i="32"/>
  <c r="I9" i="32"/>
  <c r="J9" i="32"/>
  <c r="D12" i="32"/>
  <c r="I12" i="32"/>
  <c r="J12" i="32"/>
  <c r="D15" i="32"/>
  <c r="I15" i="32"/>
  <c r="J15" i="32"/>
  <c r="D16" i="32"/>
  <c r="I16" i="32"/>
  <c r="J16" i="32"/>
  <c r="D19" i="32"/>
  <c r="I19" i="32"/>
  <c r="J19" i="32"/>
  <c r="D20" i="32"/>
  <c r="I20" i="32"/>
  <c r="J20" i="32"/>
  <c r="D21" i="32"/>
  <c r="I21" i="32"/>
  <c r="J21" i="32"/>
  <c r="D22" i="32"/>
  <c r="I22" i="32"/>
  <c r="J22" i="32"/>
  <c r="D25" i="32"/>
  <c r="I25" i="32"/>
  <c r="J25" i="32"/>
  <c r="D26" i="32"/>
  <c r="I26" i="32"/>
  <c r="J26" i="32"/>
  <c r="D27" i="32"/>
  <c r="I27" i="32"/>
  <c r="J27" i="32"/>
  <c r="D28" i="32"/>
  <c r="I28" i="32"/>
  <c r="J28" i="32"/>
  <c r="D31" i="32"/>
  <c r="I31" i="32"/>
  <c r="J31" i="32"/>
  <c r="D32" i="32"/>
  <c r="I32" i="32"/>
  <c r="J32" i="32"/>
  <c r="D35" i="32"/>
  <c r="I35" i="32"/>
  <c r="J35" i="32"/>
  <c r="D36" i="32"/>
  <c r="I36" i="32"/>
  <c r="J36" i="32"/>
  <c r="D37" i="32"/>
  <c r="I37" i="32"/>
  <c r="J37" i="32"/>
  <c r="D6" i="31"/>
  <c r="I6" i="31"/>
  <c r="J6" i="31"/>
  <c r="D9" i="31"/>
  <c r="I9" i="31"/>
  <c r="J9" i="31"/>
  <c r="D6" i="30"/>
  <c r="I6" i="30"/>
  <c r="J6" i="30"/>
  <c r="D7" i="30"/>
  <c r="I7" i="30"/>
  <c r="J7" i="30"/>
  <c r="D8" i="30"/>
  <c r="I8" i="30"/>
  <c r="J8" i="30"/>
  <c r="D11" i="30"/>
  <c r="I11" i="30"/>
  <c r="J11" i="30"/>
  <c r="D12" i="30"/>
  <c r="I12" i="30"/>
  <c r="J12" i="30"/>
  <c r="D13" i="30"/>
  <c r="I13" i="30"/>
  <c r="J13" i="30"/>
  <c r="D14" i="30"/>
  <c r="I14" i="30"/>
  <c r="J14" i="30"/>
  <c r="D17" i="30"/>
  <c r="I17" i="30"/>
  <c r="J17" i="30"/>
  <c r="D18" i="30"/>
  <c r="I18" i="30"/>
  <c r="J18" i="30"/>
  <c r="D21" i="30"/>
  <c r="I21" i="30"/>
  <c r="J21" i="30"/>
  <c r="D24" i="30"/>
  <c r="I24" i="30"/>
  <c r="J24" i="30"/>
  <c r="D25" i="30"/>
  <c r="I25" i="30"/>
  <c r="J25" i="30"/>
  <c r="D6" i="29"/>
  <c r="I6" i="29"/>
  <c r="J6" i="29"/>
  <c r="L59" i="27"/>
  <c r="K59" i="27"/>
  <c r="D59" i="27"/>
  <c r="L58" i="27"/>
  <c r="K58" i="27"/>
  <c r="D58" i="27"/>
  <c r="L55" i="27"/>
  <c r="K55" i="27"/>
  <c r="D55" i="27"/>
  <c r="L54" i="27"/>
  <c r="K54" i="27"/>
  <c r="D54" i="27"/>
  <c r="L53" i="27"/>
  <c r="K53" i="27"/>
  <c r="D53" i="27"/>
  <c r="L52" i="27"/>
  <c r="K52" i="27"/>
  <c r="D52" i="27"/>
  <c r="L51" i="27"/>
  <c r="K51" i="27"/>
  <c r="D51" i="27"/>
  <c r="L50" i="27"/>
  <c r="K50" i="27"/>
  <c r="D50" i="27"/>
  <c r="L46" i="27"/>
  <c r="K46" i="27"/>
  <c r="D46" i="27"/>
  <c r="L45" i="27"/>
  <c r="K45" i="27"/>
  <c r="D45" i="27"/>
  <c r="L44" i="27"/>
  <c r="K44" i="27"/>
  <c r="D44" i="27"/>
  <c r="L43" i="27"/>
  <c r="K43" i="27"/>
  <c r="D43" i="27"/>
  <c r="L42" i="27"/>
  <c r="K42" i="27"/>
  <c r="D42" i="27"/>
  <c r="L41" i="27"/>
  <c r="K41" i="27"/>
  <c r="D41" i="27"/>
  <c r="L38" i="27"/>
  <c r="K38" i="27"/>
  <c r="D38" i="27"/>
  <c r="L37" i="27"/>
  <c r="K37" i="27"/>
  <c r="D37" i="27"/>
  <c r="L35" i="27"/>
  <c r="K35" i="27"/>
  <c r="D35" i="27"/>
  <c r="L33" i="27"/>
  <c r="K33" i="27"/>
  <c r="D33" i="27"/>
  <c r="L32" i="27"/>
  <c r="K32" i="27"/>
  <c r="D32" i="27"/>
  <c r="L31" i="27"/>
  <c r="K31" i="27"/>
  <c r="D31" i="27"/>
  <c r="L28" i="27"/>
  <c r="K28" i="27"/>
  <c r="D28" i="27"/>
  <c r="L27" i="27"/>
  <c r="K27" i="27"/>
  <c r="D27" i="27"/>
  <c r="L26" i="27"/>
  <c r="K26" i="27"/>
  <c r="D26" i="27"/>
  <c r="L25" i="27"/>
  <c r="K25" i="27"/>
  <c r="D25" i="27"/>
  <c r="L24" i="27"/>
  <c r="K24" i="27"/>
  <c r="D24" i="27"/>
  <c r="L21" i="27"/>
  <c r="K21" i="27"/>
  <c r="D21" i="27"/>
  <c r="L18" i="27"/>
  <c r="K18" i="27"/>
  <c r="D18" i="27"/>
  <c r="L15" i="27"/>
  <c r="K15" i="27"/>
  <c r="D15" i="27"/>
  <c r="L12" i="27"/>
  <c r="K12" i="27"/>
  <c r="D12" i="27"/>
  <c r="L11" i="27"/>
  <c r="K11" i="27"/>
  <c r="D11" i="27"/>
  <c r="L10" i="27"/>
  <c r="K10" i="27"/>
  <c r="D10" i="27"/>
  <c r="L9" i="27"/>
  <c r="K9" i="27"/>
  <c r="D9" i="27"/>
  <c r="L6" i="27"/>
  <c r="K6" i="27"/>
  <c r="D6" i="27"/>
  <c r="L12" i="24"/>
  <c r="K12" i="24"/>
  <c r="D12" i="24"/>
  <c r="L9" i="24"/>
  <c r="K9" i="24"/>
  <c r="D9" i="24"/>
  <c r="L6" i="24"/>
  <c r="K6" i="24"/>
  <c r="D6" i="24"/>
  <c r="L30" i="22"/>
  <c r="K30" i="22"/>
  <c r="D30" i="22"/>
  <c r="L29" i="22"/>
  <c r="K29" i="22"/>
  <c r="D29" i="22"/>
  <c r="L28" i="22"/>
  <c r="K28" i="22"/>
  <c r="D28" i="22"/>
  <c r="L27" i="22"/>
  <c r="K27" i="22"/>
  <c r="D27" i="22"/>
  <c r="L24" i="22"/>
  <c r="K24" i="22"/>
  <c r="D24" i="22"/>
  <c r="L23" i="22"/>
  <c r="K23" i="22"/>
  <c r="D23" i="22"/>
  <c r="L22" i="22"/>
  <c r="K22" i="22"/>
  <c r="D22" i="22"/>
  <c r="L21" i="22"/>
  <c r="K21" i="22"/>
  <c r="D21" i="22"/>
  <c r="L19" i="22"/>
  <c r="K19" i="22"/>
  <c r="D19" i="22"/>
  <c r="L16" i="22"/>
  <c r="K16" i="22"/>
  <c r="D16" i="22"/>
  <c r="L12" i="22"/>
  <c r="K12" i="22"/>
  <c r="D12" i="22"/>
  <c r="L9" i="22"/>
  <c r="K9" i="22"/>
  <c r="D9" i="22"/>
  <c r="L6" i="22"/>
  <c r="K6" i="22"/>
  <c r="D6" i="22"/>
  <c r="L13" i="20"/>
  <c r="K13" i="20"/>
  <c r="D13" i="20"/>
  <c r="L10" i="20"/>
  <c r="K10" i="20"/>
  <c r="D10" i="20"/>
  <c r="L7" i="20"/>
  <c r="K7" i="20"/>
  <c r="D7" i="20"/>
  <c r="L6" i="20"/>
  <c r="K6" i="20"/>
  <c r="D6" i="20"/>
  <c r="L113" i="19"/>
  <c r="K113" i="19"/>
  <c r="D113" i="19"/>
  <c r="L112" i="19"/>
  <c r="K112" i="19"/>
  <c r="D112" i="19"/>
  <c r="L109" i="19"/>
  <c r="K109" i="19"/>
  <c r="D109" i="19"/>
  <c r="L108" i="19"/>
  <c r="K108" i="19"/>
  <c r="D108" i="19"/>
  <c r="L107" i="19"/>
  <c r="K107" i="19"/>
  <c r="D107" i="19"/>
  <c r="L106" i="19"/>
  <c r="K106" i="19"/>
  <c r="D106" i="19"/>
  <c r="L105" i="19"/>
  <c r="K105" i="19"/>
  <c r="D105" i="19"/>
  <c r="L102" i="19"/>
  <c r="K102" i="19"/>
  <c r="D102" i="19"/>
  <c r="L101" i="19"/>
  <c r="K101" i="19"/>
  <c r="D101" i="19"/>
  <c r="L100" i="19"/>
  <c r="K100" i="19"/>
  <c r="D100" i="19"/>
  <c r="L99" i="19"/>
  <c r="K99" i="19"/>
  <c r="D99" i="19"/>
  <c r="L98" i="19"/>
  <c r="K98" i="19"/>
  <c r="D98" i="19"/>
  <c r="L97" i="19"/>
  <c r="K97" i="19"/>
  <c r="D97" i="19"/>
  <c r="L96" i="19"/>
  <c r="K96" i="19"/>
  <c r="D96" i="19"/>
  <c r="L95" i="19"/>
  <c r="K95" i="19"/>
  <c r="D95" i="19"/>
  <c r="L94" i="19"/>
  <c r="K94" i="19"/>
  <c r="D94" i="19"/>
  <c r="L93" i="19"/>
  <c r="K93" i="19"/>
  <c r="D93" i="19"/>
  <c r="L92" i="19"/>
  <c r="K92" i="19"/>
  <c r="D92" i="19"/>
  <c r="L91" i="19"/>
  <c r="K91" i="19"/>
  <c r="D91" i="19"/>
  <c r="L90" i="19"/>
  <c r="K90" i="19"/>
  <c r="D90" i="19"/>
  <c r="L87" i="19"/>
  <c r="K87" i="19"/>
  <c r="D87" i="19"/>
  <c r="L86" i="19"/>
  <c r="K86" i="19"/>
  <c r="D86" i="19"/>
  <c r="L85" i="19"/>
  <c r="K85" i="19"/>
  <c r="D85" i="19"/>
  <c r="L84" i="19"/>
  <c r="K84" i="19"/>
  <c r="D84" i="19"/>
  <c r="L83" i="19"/>
  <c r="K83" i="19"/>
  <c r="D83" i="19"/>
  <c r="L82" i="19"/>
  <c r="K82" i="19"/>
  <c r="D82" i="19"/>
  <c r="L81" i="19"/>
  <c r="K81" i="19"/>
  <c r="D81" i="19"/>
  <c r="L80" i="19"/>
  <c r="K80" i="19"/>
  <c r="D80" i="19"/>
  <c r="L79" i="19"/>
  <c r="K79" i="19"/>
  <c r="D79" i="19"/>
  <c r="L78" i="19"/>
  <c r="K78" i="19"/>
  <c r="D78" i="19"/>
  <c r="L77" i="19"/>
  <c r="K77" i="19"/>
  <c r="D77" i="19"/>
  <c r="L76" i="19"/>
  <c r="K76" i="19"/>
  <c r="D76" i="19"/>
  <c r="L73" i="19"/>
  <c r="K73" i="19"/>
  <c r="D73" i="19"/>
  <c r="L72" i="19"/>
  <c r="K72" i="19"/>
  <c r="D72" i="19"/>
  <c r="L71" i="19"/>
  <c r="K71" i="19"/>
  <c r="D71" i="19"/>
  <c r="L70" i="19"/>
  <c r="K70" i="19"/>
  <c r="D70" i="19"/>
  <c r="L69" i="19"/>
  <c r="K69" i="19"/>
  <c r="D69" i="19"/>
  <c r="L68" i="19"/>
  <c r="K68" i="19"/>
  <c r="D68" i="19"/>
  <c r="L67" i="19"/>
  <c r="K67" i="19"/>
  <c r="D67" i="19"/>
  <c r="L66" i="19"/>
  <c r="K66" i="19"/>
  <c r="D66" i="19"/>
  <c r="L65" i="19"/>
  <c r="K65" i="19"/>
  <c r="D65" i="19"/>
  <c r="L64" i="19"/>
  <c r="K64" i="19"/>
  <c r="D64" i="19"/>
  <c r="L61" i="19"/>
  <c r="K61" i="19"/>
  <c r="D61" i="19"/>
  <c r="L60" i="19"/>
  <c r="K60" i="19"/>
  <c r="D60" i="19"/>
  <c r="L59" i="19"/>
  <c r="K59" i="19"/>
  <c r="D59" i="19"/>
  <c r="L58" i="19"/>
  <c r="K58" i="19"/>
  <c r="D58" i="19"/>
  <c r="L57" i="19"/>
  <c r="K57" i="19"/>
  <c r="D57" i="19"/>
  <c r="L56" i="19"/>
  <c r="K56" i="19"/>
  <c r="D56" i="19"/>
  <c r="L55" i="19"/>
  <c r="K55" i="19"/>
  <c r="D55" i="19"/>
  <c r="L52" i="19"/>
  <c r="K52" i="19"/>
  <c r="D52" i="19"/>
  <c r="L51" i="19"/>
  <c r="K51" i="19"/>
  <c r="D51" i="19"/>
  <c r="L50" i="19"/>
  <c r="K50" i="19"/>
  <c r="D50" i="19"/>
  <c r="L49" i="19"/>
  <c r="K49" i="19"/>
  <c r="D49" i="19"/>
  <c r="L48" i="19"/>
  <c r="K48" i="19"/>
  <c r="D48" i="19"/>
  <c r="L47" i="19"/>
  <c r="K47" i="19"/>
  <c r="D47" i="19"/>
  <c r="L46" i="19"/>
  <c r="K46" i="19"/>
  <c r="D46" i="19"/>
  <c r="L45" i="19"/>
  <c r="K45" i="19"/>
  <c r="D45" i="19"/>
  <c r="L44" i="19"/>
  <c r="K44" i="19"/>
  <c r="D44" i="19"/>
  <c r="L43" i="19"/>
  <c r="K43" i="19"/>
  <c r="D43" i="19"/>
  <c r="L40" i="19"/>
  <c r="K40" i="19"/>
  <c r="D40" i="19"/>
  <c r="L39" i="19"/>
  <c r="K39" i="19"/>
  <c r="D39" i="19"/>
  <c r="L38" i="19"/>
  <c r="K38" i="19"/>
  <c r="D38" i="19"/>
  <c r="L35" i="19"/>
  <c r="K35" i="19"/>
  <c r="D35" i="19"/>
  <c r="L32" i="19"/>
  <c r="K32" i="19"/>
  <c r="D32" i="19"/>
  <c r="L29" i="19"/>
  <c r="K29" i="19"/>
  <c r="D29" i="19"/>
  <c r="L26" i="19"/>
  <c r="K26" i="19"/>
  <c r="D26" i="19"/>
  <c r="L25" i="19"/>
  <c r="K25" i="19"/>
  <c r="D25" i="19"/>
  <c r="L22" i="19"/>
  <c r="K22" i="19"/>
  <c r="D22" i="19"/>
  <c r="L21" i="19"/>
  <c r="K21" i="19"/>
  <c r="D21" i="19"/>
  <c r="L20" i="19"/>
  <c r="K20" i="19"/>
  <c r="D20" i="19"/>
  <c r="L19" i="19"/>
  <c r="K19" i="19"/>
  <c r="D19" i="19"/>
  <c r="L16" i="19"/>
  <c r="K16" i="19"/>
  <c r="D16" i="19"/>
  <c r="L15" i="19"/>
  <c r="K15" i="19"/>
  <c r="D15" i="19"/>
  <c r="L12" i="19"/>
  <c r="K12" i="19"/>
  <c r="D12" i="19"/>
  <c r="L9" i="19"/>
  <c r="K9" i="19"/>
  <c r="D9" i="19"/>
  <c r="L8" i="19"/>
  <c r="K8" i="19"/>
  <c r="D8" i="19"/>
  <c r="L7" i="19"/>
  <c r="K7" i="19"/>
  <c r="D7" i="19"/>
  <c r="L6" i="19"/>
  <c r="K6" i="19"/>
  <c r="D6" i="19"/>
  <c r="L15" i="16"/>
  <c r="K15" i="16"/>
  <c r="D15" i="16"/>
  <c r="L12" i="16"/>
  <c r="K12" i="16"/>
  <c r="D12" i="16"/>
  <c r="L9" i="16"/>
  <c r="K9" i="16"/>
  <c r="D9" i="16"/>
  <c r="L6" i="16"/>
  <c r="K6" i="16"/>
  <c r="D6" i="16"/>
  <c r="L19" i="15"/>
  <c r="K19" i="15"/>
  <c r="D19" i="15"/>
  <c r="L18" i="15"/>
  <c r="K18" i="15"/>
  <c r="D18" i="15"/>
  <c r="L17" i="15"/>
  <c r="K17" i="15"/>
  <c r="D17" i="15"/>
  <c r="L14" i="15"/>
  <c r="K14" i="15"/>
  <c r="D14" i="15"/>
  <c r="L13" i="15"/>
  <c r="K13" i="15"/>
  <c r="D13" i="15"/>
  <c r="L10" i="15"/>
  <c r="K10" i="15"/>
  <c r="D10" i="15"/>
  <c r="L9" i="15"/>
  <c r="K9" i="15"/>
  <c r="D9" i="15"/>
  <c r="L6" i="15"/>
  <c r="K6" i="15"/>
  <c r="D6" i="15"/>
  <c r="L61" i="14"/>
  <c r="K61" i="14"/>
  <c r="D61" i="14"/>
  <c r="L58" i="14"/>
  <c r="K58" i="14"/>
  <c r="D58" i="14"/>
  <c r="L57" i="14"/>
  <c r="K57" i="14"/>
  <c r="D57" i="14"/>
  <c r="L54" i="14"/>
  <c r="K54" i="14"/>
  <c r="D54" i="14"/>
  <c r="L53" i="14"/>
  <c r="K53" i="14"/>
  <c r="D53" i="14"/>
  <c r="L52" i="14"/>
  <c r="K52" i="14"/>
  <c r="D52" i="14"/>
  <c r="L51" i="14"/>
  <c r="K51" i="14"/>
  <c r="D51" i="14"/>
  <c r="L50" i="14"/>
  <c r="K50" i="14"/>
  <c r="D50" i="14"/>
  <c r="L47" i="14"/>
  <c r="K47" i="14"/>
  <c r="D47" i="14"/>
  <c r="L46" i="14"/>
  <c r="K46" i="14"/>
  <c r="D46" i="14"/>
  <c r="L45" i="14"/>
  <c r="K45" i="14"/>
  <c r="D45" i="14"/>
  <c r="L44" i="14"/>
  <c r="K44" i="14"/>
  <c r="D44" i="14"/>
  <c r="L43" i="14"/>
  <c r="K43" i="14"/>
  <c r="D43" i="14"/>
  <c r="L42" i="14"/>
  <c r="K42" i="14"/>
  <c r="D42" i="14"/>
  <c r="L41" i="14"/>
  <c r="K41" i="14"/>
  <c r="D41" i="14"/>
  <c r="L38" i="14"/>
  <c r="K38" i="14"/>
  <c r="D38" i="14"/>
  <c r="L37" i="14"/>
  <c r="K37" i="14"/>
  <c r="D37" i="14"/>
  <c r="L36" i="14"/>
  <c r="K36" i="14"/>
  <c r="D36" i="14"/>
  <c r="L35" i="14"/>
  <c r="K35" i="14"/>
  <c r="D35" i="14"/>
  <c r="L34" i="14"/>
  <c r="K34" i="14"/>
  <c r="D34" i="14"/>
  <c r="L33" i="14"/>
  <c r="K33" i="14"/>
  <c r="D33" i="14"/>
  <c r="L32" i="14"/>
  <c r="K32" i="14"/>
  <c r="D32" i="14"/>
  <c r="L29" i="14"/>
  <c r="K29" i="14"/>
  <c r="D29" i="14"/>
  <c r="L28" i="14"/>
  <c r="K28" i="14"/>
  <c r="D28" i="14"/>
  <c r="L27" i="14"/>
  <c r="K27" i="14"/>
  <c r="D27" i="14"/>
  <c r="L24" i="14"/>
  <c r="K24" i="14"/>
  <c r="D24" i="14"/>
  <c r="L23" i="14"/>
  <c r="K23" i="14"/>
  <c r="D23" i="14"/>
  <c r="L22" i="14"/>
  <c r="K22" i="14"/>
  <c r="D22" i="14"/>
  <c r="L21" i="14"/>
  <c r="K21" i="14"/>
  <c r="D21" i="14"/>
  <c r="L20" i="14"/>
  <c r="K20" i="14"/>
  <c r="D20" i="14"/>
  <c r="L19" i="14"/>
  <c r="K19" i="14"/>
  <c r="D19" i="14"/>
  <c r="L16" i="14"/>
  <c r="K16" i="14"/>
  <c r="D16" i="14"/>
  <c r="L13" i="14"/>
  <c r="K13" i="14"/>
  <c r="D13" i="14"/>
  <c r="L10" i="14"/>
  <c r="K10" i="14"/>
  <c r="D10" i="14"/>
  <c r="L7" i="14"/>
  <c r="K7" i="14"/>
  <c r="D7" i="14"/>
  <c r="L6" i="14"/>
  <c r="K6" i="14"/>
  <c r="D6" i="14"/>
  <c r="T36" i="11"/>
  <c r="S36" i="11"/>
  <c r="D36" i="11"/>
  <c r="T33" i="11"/>
  <c r="S33" i="11"/>
  <c r="D33" i="11"/>
  <c r="T32" i="11"/>
  <c r="S32" i="11"/>
  <c r="D32" i="11"/>
  <c r="T31" i="11"/>
  <c r="S31" i="11"/>
  <c r="D31" i="11"/>
  <c r="T30" i="11"/>
  <c r="S30" i="11"/>
  <c r="D30" i="11"/>
  <c r="T27" i="11"/>
  <c r="S27" i="11"/>
  <c r="D27" i="11"/>
  <c r="T24" i="11"/>
  <c r="S24" i="11"/>
  <c r="D24" i="11"/>
  <c r="T23" i="11"/>
  <c r="S23" i="11"/>
  <c r="D23" i="11"/>
  <c r="T20" i="11"/>
  <c r="S20" i="11"/>
  <c r="D20" i="11"/>
  <c r="T19" i="11"/>
  <c r="S19" i="11"/>
  <c r="D19" i="11"/>
  <c r="T16" i="11"/>
  <c r="S16" i="11"/>
  <c r="D16" i="11"/>
  <c r="T13" i="11"/>
  <c r="S13" i="11"/>
  <c r="D13" i="11"/>
  <c r="T12" i="11"/>
  <c r="S12" i="11"/>
  <c r="D12" i="11"/>
  <c r="T9" i="11"/>
  <c r="S9" i="11"/>
  <c r="D9" i="11"/>
  <c r="T6" i="11"/>
  <c r="S6" i="11"/>
  <c r="D6" i="11"/>
  <c r="T25" i="10"/>
  <c r="S25" i="10"/>
  <c r="D25" i="10"/>
  <c r="T22" i="10"/>
  <c r="S22" i="10"/>
  <c r="D22" i="10"/>
  <c r="T21" i="10"/>
  <c r="S21" i="10"/>
  <c r="D21" i="10"/>
  <c r="T18" i="10"/>
  <c r="S18" i="10"/>
  <c r="D18" i="10"/>
  <c r="T17" i="10"/>
  <c r="S17" i="10"/>
  <c r="D17" i="10"/>
  <c r="T14" i="10"/>
  <c r="S14" i="10"/>
  <c r="D14" i="10"/>
  <c r="T11" i="10"/>
  <c r="S11" i="10"/>
  <c r="D11" i="10"/>
  <c r="T10" i="10"/>
  <c r="S10" i="10"/>
  <c r="D10" i="10"/>
  <c r="T7" i="10"/>
  <c r="S7" i="10"/>
  <c r="D7" i="10"/>
  <c r="T6" i="10"/>
  <c r="S6" i="10"/>
  <c r="D6" i="10"/>
  <c r="T16" i="8"/>
  <c r="S16" i="8"/>
  <c r="D16" i="8"/>
  <c r="T13" i="8"/>
  <c r="S13" i="8"/>
  <c r="D13" i="8"/>
  <c r="T12" i="8"/>
  <c r="S12" i="8"/>
  <c r="D12" i="8"/>
  <c r="T9" i="8"/>
  <c r="S9" i="8"/>
  <c r="D9" i="8"/>
  <c r="T6" i="8"/>
  <c r="S6" i="8"/>
  <c r="D6" i="8"/>
  <c r="T9" i="7"/>
  <c r="S9" i="7"/>
  <c r="D9" i="7"/>
  <c r="T6" i="7"/>
  <c r="S6" i="7"/>
  <c r="D6" i="7"/>
  <c r="T19" i="6"/>
  <c r="S19" i="6"/>
  <c r="D19" i="6"/>
  <c r="T16" i="6"/>
  <c r="S16" i="6"/>
  <c r="D16" i="6"/>
  <c r="T13" i="6"/>
  <c r="S13" i="6"/>
  <c r="D13" i="6"/>
  <c r="T12" i="6"/>
  <c r="S12" i="6"/>
  <c r="D12" i="6"/>
  <c r="T11" i="6"/>
  <c r="S11" i="6"/>
  <c r="D11" i="6"/>
  <c r="T10" i="6"/>
  <c r="S10" i="6"/>
  <c r="D10" i="6"/>
  <c r="T7" i="6"/>
  <c r="S7" i="6"/>
  <c r="D7" i="6"/>
  <c r="T6" i="6"/>
  <c r="S6" i="6"/>
  <c r="D6" i="6"/>
  <c r="T16" i="5"/>
  <c r="S16" i="5"/>
  <c r="D16" i="5"/>
  <c r="T13" i="5"/>
  <c r="S13" i="5"/>
  <c r="D13" i="5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<sst xmlns="http://schemas.openxmlformats.org/spreadsheetml/2006/main" count="4586" uniqueCount="1572">
  <si>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</si>
  <si>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</si>
  <si>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</si>
  <si>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</si>
  <si>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</si>
  <si>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</si>
  <si>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</si>
  <si>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</si>
  <si>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</si>
  <si>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Wilks</t>
  </si>
  <si>
    <t>Приседание</t>
  </si>
  <si>
    <t>Жим лёжа</t>
  </si>
  <si>
    <t>Становая тяга</t>
  </si>
  <si>
    <t>ВЕСОВАЯ КАТЕГОРИЯ   60</t>
  </si>
  <si>
    <t>Будкина Татьяна</t>
  </si>
  <si>
    <t>1. Будкина Татьяна</t>
  </si>
  <si>
    <t>Ветераны 40 - 44 (02.04.1979)/40</t>
  </si>
  <si>
    <t>59,40</t>
  </si>
  <si>
    <t xml:space="preserve">Russia </t>
  </si>
  <si>
    <t xml:space="preserve">Клин/Московская область </t>
  </si>
  <si>
    <t>115,0</t>
  </si>
  <si>
    <t>120,0</t>
  </si>
  <si>
    <t>125,0</t>
  </si>
  <si>
    <t>65,0</t>
  </si>
  <si>
    <t>75,0</t>
  </si>
  <si>
    <t>130,0</t>
  </si>
  <si>
    <t>140,0</t>
  </si>
  <si>
    <t>150,0</t>
  </si>
  <si>
    <t xml:space="preserve">Шель-Фетенгоф Д.М. </t>
  </si>
  <si>
    <t>ВЕСОВАЯ КАТЕГОРИЯ   82.5</t>
  </si>
  <si>
    <t>Ремизевич Евгений</t>
  </si>
  <si>
    <t>1. Ремизевич Евгений</t>
  </si>
  <si>
    <t>Открытая (03.03.1992)/27</t>
  </si>
  <si>
    <t>80,80</t>
  </si>
  <si>
    <t xml:space="preserve">Лично </t>
  </si>
  <si>
    <t xml:space="preserve">Москва/ </t>
  </si>
  <si>
    <t>160,0</t>
  </si>
  <si>
    <t>170,0</t>
  </si>
  <si>
    <t>105,0</t>
  </si>
  <si>
    <t>112,5</t>
  </si>
  <si>
    <t>117,5</t>
  </si>
  <si>
    <t>190,0</t>
  </si>
  <si>
    <t>205,0</t>
  </si>
  <si>
    <t>207,5</t>
  </si>
  <si>
    <t xml:space="preserve">Лакалин А.С. </t>
  </si>
  <si>
    <t>ВЕСОВАЯ КАТЕГОРИЯ   90</t>
  </si>
  <si>
    <t>Крошкин Роман</t>
  </si>
  <si>
    <t>1. Крошкин Роман</t>
  </si>
  <si>
    <t>Открытая (09.02.1981)/38</t>
  </si>
  <si>
    <t>90,00</t>
  </si>
  <si>
    <t xml:space="preserve">Подольск/Московская область </t>
  </si>
  <si>
    <t>260,0</t>
  </si>
  <si>
    <t>280,0</t>
  </si>
  <si>
    <t>290,0</t>
  </si>
  <si>
    <t>155,0</t>
  </si>
  <si>
    <t>250,0</t>
  </si>
  <si>
    <t>275,0</t>
  </si>
  <si>
    <t>285,0</t>
  </si>
  <si>
    <t xml:space="preserve">Филиппов И. </t>
  </si>
  <si>
    <t>-. Сапунков Константин</t>
  </si>
  <si>
    <t>Открытая (02.09.1981)/37</t>
  </si>
  <si>
    <t xml:space="preserve">Ивантеевка/Московская область </t>
  </si>
  <si>
    <t>270,0</t>
  </si>
  <si>
    <t xml:space="preserve">Брехов Р.О. </t>
  </si>
  <si>
    <t>ВЕСОВАЯ КАТЕГОРИЯ   110</t>
  </si>
  <si>
    <t>Плотников Максим</t>
  </si>
  <si>
    <t>1. Плотников Максим</t>
  </si>
  <si>
    <t>Открытая (20.05.1983)/36</t>
  </si>
  <si>
    <t>105,90</t>
  </si>
  <si>
    <t>230,0</t>
  </si>
  <si>
    <t>240,0</t>
  </si>
  <si>
    <t>165,0</t>
  </si>
  <si>
    <t>235,0</t>
  </si>
  <si>
    <t xml:space="preserve">Самост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</si>
  <si>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</si>
  <si>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</si>
  <si>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</si>
  <si>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</si>
  <si>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</si>
  <si>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</si>
  <si>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</si>
  <si>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Ветераны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</si>
  <si>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</si>
  <si>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</si>
  <si>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</si>
  <si>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</si>
  <si>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</si>
  <si>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 xml:space="preserve">Ветераны 40 - 44 </t>
  </si>
  <si>
    <t>60</t>
  </si>
  <si>
    <t>350,0</t>
  </si>
  <si>
    <t>393,2600</t>
  </si>
  <si>
    <t xml:space="preserve">Мужчины </t>
  </si>
  <si>
    <t xml:space="preserve">Открытая </t>
  </si>
  <si>
    <t>90</t>
  </si>
  <si>
    <t>720,0</t>
  </si>
  <si>
    <t>459,6480</t>
  </si>
  <si>
    <t>110</t>
  </si>
  <si>
    <t>650,0</t>
  </si>
  <si>
    <t>387,2700</t>
  </si>
  <si>
    <t>82.5</t>
  </si>
  <si>
    <t>495,0</t>
  </si>
  <si>
    <t>335,8575</t>
  </si>
  <si>
    <t>Блажчук Виталий</t>
  </si>
  <si>
    <t>1. Блажчук Виталий</t>
  </si>
  <si>
    <t>Открытая (15.01.1993)/26</t>
  </si>
  <si>
    <t>89,70</t>
  </si>
  <si>
    <t xml:space="preserve">Москва </t>
  </si>
  <si>
    <t xml:space="preserve">Омск/Омская область </t>
  </si>
  <si>
    <t>175,0</t>
  </si>
  <si>
    <t>282,5</t>
  </si>
  <si>
    <t>Решетов Владимир</t>
  </si>
  <si>
    <t>1. Решетов Владимир</t>
  </si>
  <si>
    <t>Ветераны 40 - 44 (07.07.1975)/44</t>
  </si>
  <si>
    <t>88,90</t>
  </si>
  <si>
    <t xml:space="preserve">Рязань/Рязанская область </t>
  </si>
  <si>
    <t>215,0</t>
  </si>
  <si>
    <t>225,0</t>
  </si>
  <si>
    <t>237,5</t>
  </si>
  <si>
    <t>145,0</t>
  </si>
  <si>
    <t>242,5</t>
  </si>
  <si>
    <t xml:space="preserve">Власкин.С.А </t>
  </si>
  <si>
    <t>ВЕСОВАЯ КАТЕГОРИЯ   100</t>
  </si>
  <si>
    <t>Михайлов Пётр</t>
  </si>
  <si>
    <t>1. Михайлов Пётр</t>
  </si>
  <si>
    <t>Юниоры 20 - 23 (24.06.1998)/21</t>
  </si>
  <si>
    <t>98,00</t>
  </si>
  <si>
    <t xml:space="preserve">Реутов/Московская область </t>
  </si>
  <si>
    <t>200,0</t>
  </si>
  <si>
    <t>135,0</t>
  </si>
  <si>
    <t>210,0</t>
  </si>
  <si>
    <t>217,5</t>
  </si>
  <si>
    <t xml:space="preserve">Михайлов Пётр Олегович </t>
  </si>
  <si>
    <t>Бурдаков Николай</t>
  </si>
  <si>
    <t>1. Бурдаков Николай</t>
  </si>
  <si>
    <t>Открытая (24.07.1988)/31</t>
  </si>
  <si>
    <t>99,30</t>
  </si>
  <si>
    <t>180,0</t>
  </si>
  <si>
    <t>315,0</t>
  </si>
  <si>
    <t>330,0</t>
  </si>
  <si>
    <t>345,0</t>
  </si>
  <si>
    <t xml:space="preserve"> </t>
  </si>
  <si>
    <t>Улановский Артем</t>
  </si>
  <si>
    <t>2. Улановский Артем</t>
  </si>
  <si>
    <t>Открытая (09.03.1995)/24</t>
  </si>
  <si>
    <t>96,20</t>
  </si>
  <si>
    <t>147,5</t>
  </si>
  <si>
    <t>157,5</t>
  </si>
  <si>
    <t>295,0</t>
  </si>
  <si>
    <t>310,0</t>
  </si>
  <si>
    <t>325,0</t>
  </si>
  <si>
    <t>Решетов Алексей</t>
  </si>
  <si>
    <t>1. Решетов Алексей</t>
  </si>
  <si>
    <t>220,0</t>
  </si>
  <si>
    <t xml:space="preserve">Решетов В.В. </t>
  </si>
  <si>
    <t>Солопов Евгений</t>
  </si>
  <si>
    <t>1. Солопов Евгений</t>
  </si>
  <si>
    <t>Открытая (04.09.1989)/29</t>
  </si>
  <si>
    <t>108,80</t>
  </si>
  <si>
    <t>265,0</t>
  </si>
  <si>
    <t>305,0</t>
  </si>
  <si>
    <t>322,5</t>
  </si>
  <si>
    <t>ВЕСОВАЯ КАТЕГОРИЯ   125</t>
  </si>
  <si>
    <t>Маркин Николай</t>
  </si>
  <si>
    <t>1. Маркин Николай</t>
  </si>
  <si>
    <t>Открытая (14.03.1981)/38</t>
  </si>
  <si>
    <t>114,90</t>
  </si>
  <si>
    <t>245,0</t>
  </si>
  <si>
    <t xml:space="preserve">Суровецкий А.Е. </t>
  </si>
  <si>
    <t xml:space="preserve">Юниоры </t>
  </si>
  <si>
    <t xml:space="preserve">Юниоры 20 - 23 </t>
  </si>
  <si>
    <t>100</t>
  </si>
  <si>
    <t>555,0</t>
  </si>
  <si>
    <t>340,5480</t>
  </si>
  <si>
    <t>780,0</t>
  </si>
  <si>
    <t>476,0340</t>
  </si>
  <si>
    <t>765,0</t>
  </si>
  <si>
    <t>473,2290</t>
  </si>
  <si>
    <t>790,0</t>
  </si>
  <si>
    <t>466,4950</t>
  </si>
  <si>
    <t>727,5</t>
  </si>
  <si>
    <t>465,2363</t>
  </si>
  <si>
    <t>125</t>
  </si>
  <si>
    <t>635,0</t>
  </si>
  <si>
    <t>369,0620</t>
  </si>
  <si>
    <t>645,0</t>
  </si>
  <si>
    <t>432,1650</t>
  </si>
  <si>
    <t>419,3799</t>
  </si>
  <si>
    <t>-. Тарасов Артём</t>
  </si>
  <si>
    <t>Открытая (31.07.1992)/27</t>
  </si>
  <si>
    <t>81,10</t>
  </si>
  <si>
    <t xml:space="preserve">. </t>
  </si>
  <si>
    <t>-. Извеков Андрей</t>
  </si>
  <si>
    <t>Открытая (15.10.1981)/37</t>
  </si>
  <si>
    <t>119,40</t>
  </si>
  <si>
    <t xml:space="preserve">Воронеж/Воронежская область </t>
  </si>
  <si>
    <t>340,0</t>
  </si>
  <si>
    <t>355,0</t>
  </si>
  <si>
    <t>300,0</t>
  </si>
  <si>
    <t xml:space="preserve">Извеков А.В. </t>
  </si>
  <si>
    <t>Khalili Sajjad</t>
  </si>
  <si>
    <t>1. Khalili Sajjad</t>
  </si>
  <si>
    <t>Открытая (19.08.1990)/29</t>
  </si>
  <si>
    <t>88,60</t>
  </si>
  <si>
    <t xml:space="preserve">Тегеран/ </t>
  </si>
  <si>
    <t>Mohammadian Alireza</t>
  </si>
  <si>
    <t>1. Mohammadian Alireza</t>
  </si>
  <si>
    <t>Открытая (04.07.1988)/31</t>
  </si>
  <si>
    <t>100,00</t>
  </si>
  <si>
    <t>320,0</t>
  </si>
  <si>
    <t>Garoosi Babak</t>
  </si>
  <si>
    <t>1. Garoosi Babak</t>
  </si>
  <si>
    <t>Открытая (03.07.1986)/33</t>
  </si>
  <si>
    <t>117,20</t>
  </si>
  <si>
    <t>Einanloo Reza</t>
  </si>
  <si>
    <t>2. Einanloo Reza</t>
  </si>
  <si>
    <t>Открытая (28.12.1985)/33</t>
  </si>
  <si>
    <t>111,30</t>
  </si>
  <si>
    <t>195,0</t>
  </si>
  <si>
    <t>ВЕСОВАЯ КАТЕГОРИЯ   140</t>
  </si>
  <si>
    <t>Halimimamaghani Bahman</t>
  </si>
  <si>
    <t>1. Halimimamaghani Bahman</t>
  </si>
  <si>
    <t>Открытая (08.02.1984)/35</t>
  </si>
  <si>
    <t>134,30</t>
  </si>
  <si>
    <t>400,0</t>
  </si>
  <si>
    <t>430,0</t>
  </si>
  <si>
    <t>360,0</t>
  </si>
  <si>
    <t>140</t>
  </si>
  <si>
    <t>1060,0</t>
  </si>
  <si>
    <t>596,1440</t>
  </si>
  <si>
    <t>820,0</t>
  </si>
  <si>
    <t>499,0520</t>
  </si>
  <si>
    <t>640,0</t>
  </si>
  <si>
    <t>370,0480</t>
  </si>
  <si>
    <t>615,0</t>
  </si>
  <si>
    <t>360,6360</t>
  </si>
  <si>
    <t>530,0</t>
  </si>
  <si>
    <t>341,1080</t>
  </si>
  <si>
    <t>ВЕСОВАЯ КАТЕГОРИЯ   56</t>
  </si>
  <si>
    <t>Кончакова Наталья</t>
  </si>
  <si>
    <t>1. Кончакова Наталья</t>
  </si>
  <si>
    <t>Открытая (14.08.1977)/42</t>
  </si>
  <si>
    <t>54,50</t>
  </si>
  <si>
    <t xml:space="preserve">Новосибирск/Новосибирская область </t>
  </si>
  <si>
    <t>162,5</t>
  </si>
  <si>
    <t>67,5</t>
  </si>
  <si>
    <t>72,5</t>
  </si>
  <si>
    <t xml:space="preserve">Исаков П.Г. </t>
  </si>
  <si>
    <t>Смирнова Людмила</t>
  </si>
  <si>
    <t>1. Смирнова Людмила</t>
  </si>
  <si>
    <t>Ветераны 40 - 44 (03.07.1979)/40</t>
  </si>
  <si>
    <t>53,00</t>
  </si>
  <si>
    <t xml:space="preserve">Одинцово/Московская область </t>
  </si>
  <si>
    <t>85,0</t>
  </si>
  <si>
    <t>92,5</t>
  </si>
  <si>
    <t>100,0</t>
  </si>
  <si>
    <t>42,5</t>
  </si>
  <si>
    <t>47,5</t>
  </si>
  <si>
    <t>90,0</t>
  </si>
  <si>
    <t>97,5</t>
  </si>
  <si>
    <t xml:space="preserve">Мавренков С.В. </t>
  </si>
  <si>
    <t>Туманова Вера</t>
  </si>
  <si>
    <t>1. Туманова Вера</t>
  </si>
  <si>
    <t>Открытая (15.08.1981)/38</t>
  </si>
  <si>
    <t xml:space="preserve">Воскресенск/Московская область </t>
  </si>
  <si>
    <t>80,0</t>
  </si>
  <si>
    <t>95,0</t>
  </si>
  <si>
    <t>55,0</t>
  </si>
  <si>
    <t>60,0</t>
  </si>
  <si>
    <t>62,5</t>
  </si>
  <si>
    <t xml:space="preserve">Севрюков М.И. </t>
  </si>
  <si>
    <t>Мищенко Тамара</t>
  </si>
  <si>
    <t>2. Мищенко Тамара</t>
  </si>
  <si>
    <t>Открытая (27.06.1988)/31</t>
  </si>
  <si>
    <t>57,00</t>
  </si>
  <si>
    <t>110,0</t>
  </si>
  <si>
    <t>50,0</t>
  </si>
  <si>
    <t>52,5</t>
  </si>
  <si>
    <t xml:space="preserve">Емельянов К. </t>
  </si>
  <si>
    <t>ВЕСОВАЯ КАТЕГОРИЯ   67.5</t>
  </si>
  <si>
    <t>Большакова Светлана</t>
  </si>
  <si>
    <t>1. Большакова Светлана</t>
  </si>
  <si>
    <t>Ветераны 40 - 44 (27.05.1975)/44</t>
  </si>
  <si>
    <t>64,80</t>
  </si>
  <si>
    <t>70,0</t>
  </si>
  <si>
    <t xml:space="preserve">Большакова С В </t>
  </si>
  <si>
    <t>Тарасов Виталий</t>
  </si>
  <si>
    <t>1. Тарасов Виталий</t>
  </si>
  <si>
    <t>Открытая (09.06.1977)/42</t>
  </si>
  <si>
    <t>87,30</t>
  </si>
  <si>
    <t>132,5</t>
  </si>
  <si>
    <t>197,5</t>
  </si>
  <si>
    <t xml:space="preserve">Филиппов Игорь </t>
  </si>
  <si>
    <t>Ветераны 40 - 44 (09.06.1977)/42</t>
  </si>
  <si>
    <t>Клыпов Сергей</t>
  </si>
  <si>
    <t>1. Клыпов Сергей</t>
  </si>
  <si>
    <t>Открытая (24.08.1980)/39</t>
  </si>
  <si>
    <t>97,70</t>
  </si>
  <si>
    <t>252,5</t>
  </si>
  <si>
    <t xml:space="preserve">Клыпов </t>
  </si>
  <si>
    <t>Пономарев Владимир</t>
  </si>
  <si>
    <t>-. Пономарев Владимир</t>
  </si>
  <si>
    <t>Открытая (03.08.1981)/38</t>
  </si>
  <si>
    <t>94,00</t>
  </si>
  <si>
    <t>Степанченко Алексей</t>
  </si>
  <si>
    <t>1. Степанченко Алексей</t>
  </si>
  <si>
    <t>Открытая (23.04.1988)/31</t>
  </si>
  <si>
    <t>123,90</t>
  </si>
  <si>
    <t>247,5</t>
  </si>
  <si>
    <t>267,5</t>
  </si>
  <si>
    <t>172,5</t>
  </si>
  <si>
    <t>257,5</t>
  </si>
  <si>
    <t>262,5</t>
  </si>
  <si>
    <t xml:space="preserve">Воронков А.А. </t>
  </si>
  <si>
    <t>56</t>
  </si>
  <si>
    <t>397,5</t>
  </si>
  <si>
    <t>477,7553</t>
  </si>
  <si>
    <t>325,8440</t>
  </si>
  <si>
    <t>301,7040</t>
  </si>
  <si>
    <t>67.5</t>
  </si>
  <si>
    <t>350,9486</t>
  </si>
  <si>
    <t>294,8160</t>
  </si>
  <si>
    <t>695,0</t>
  </si>
  <si>
    <t>396,7755</t>
  </si>
  <si>
    <t>620,0</t>
  </si>
  <si>
    <t>380,9280</t>
  </si>
  <si>
    <t>542,5</t>
  </si>
  <si>
    <t>351,9197</t>
  </si>
  <si>
    <t>358,9581</t>
  </si>
  <si>
    <t>Баранник Полина</t>
  </si>
  <si>
    <t>1. Баранник Полина</t>
  </si>
  <si>
    <t>Открытая (10.01.1994)/25</t>
  </si>
  <si>
    <t>58,80</t>
  </si>
  <si>
    <t xml:space="preserve">Шимановск/Амурская область </t>
  </si>
  <si>
    <t>57,5</t>
  </si>
  <si>
    <t xml:space="preserve">Хитров С.С. </t>
  </si>
  <si>
    <t>Кафтайлова Наталья</t>
  </si>
  <si>
    <t>1. Кафтайлова Наталья</t>
  </si>
  <si>
    <t>Ветераны 55 - 59 (24.08.1960)/59</t>
  </si>
  <si>
    <t>66,90</t>
  </si>
  <si>
    <t>45,0</t>
  </si>
  <si>
    <t>127,5</t>
  </si>
  <si>
    <t xml:space="preserve">Афанасьев Н.Н. </t>
  </si>
  <si>
    <t>ВЕСОВАЯ КАТЕГОРИЯ   75</t>
  </si>
  <si>
    <t>Морозова Анна</t>
  </si>
  <si>
    <t>1. Морозова Анна</t>
  </si>
  <si>
    <t>Открытая (17.07.1987)/32</t>
  </si>
  <si>
    <t>71,10</t>
  </si>
  <si>
    <t>102,5</t>
  </si>
  <si>
    <t xml:space="preserve">Морозов С. В. </t>
  </si>
  <si>
    <t>Викторова Наталья</t>
  </si>
  <si>
    <t>2. Викторова Наталья</t>
  </si>
  <si>
    <t>Открытая (29.12.1985)/33</t>
  </si>
  <si>
    <t>68,40</t>
  </si>
  <si>
    <t xml:space="preserve">Краснозаводск/Московская область </t>
  </si>
  <si>
    <t>107,5</t>
  </si>
  <si>
    <t xml:space="preserve">Пауесов А.И. </t>
  </si>
  <si>
    <t>Блажчук Артём</t>
  </si>
  <si>
    <t>1. Блажчук Артём</t>
  </si>
  <si>
    <t>Юноши 15-19 (29.08.2001)/17</t>
  </si>
  <si>
    <t>66,70</t>
  </si>
  <si>
    <t>185,0</t>
  </si>
  <si>
    <t xml:space="preserve">Блажчук А. И. </t>
  </si>
  <si>
    <t>Кашников Артём</t>
  </si>
  <si>
    <t>1. Кашников Артём</t>
  </si>
  <si>
    <t>Юноши 15-19 (22.08.2003)/16</t>
  </si>
  <si>
    <t>69,80</t>
  </si>
  <si>
    <t xml:space="preserve">Химки/Московская область </t>
  </si>
  <si>
    <t>87,5</t>
  </si>
  <si>
    <t>Карангин Иван</t>
  </si>
  <si>
    <t>1. Карангин Иван</t>
  </si>
  <si>
    <t>Открытая (17.09.1985)/33</t>
  </si>
  <si>
    <t>74,80</t>
  </si>
  <si>
    <t>222,5</t>
  </si>
  <si>
    <t>255,0</t>
  </si>
  <si>
    <t>Цепелев Андрей</t>
  </si>
  <si>
    <t>1. Цепелев Андрей</t>
  </si>
  <si>
    <t>Открытая (22.12.1987)/31</t>
  </si>
  <si>
    <t>82,30</t>
  </si>
  <si>
    <t>122,5</t>
  </si>
  <si>
    <t>-. Лободин Алексей</t>
  </si>
  <si>
    <t>Открытая (20.08.1988)/31</t>
  </si>
  <si>
    <t>81,30</t>
  </si>
  <si>
    <t xml:space="preserve">Краснодар/Краснодарский край </t>
  </si>
  <si>
    <t>187,5</t>
  </si>
  <si>
    <t>Ярлыков Максим</t>
  </si>
  <si>
    <t>1. Ярлыков Максим</t>
  </si>
  <si>
    <t>Открытая (16.10.1984)/34</t>
  </si>
  <si>
    <t>89,20</t>
  </si>
  <si>
    <t xml:space="preserve">Мытищи/Московская область </t>
  </si>
  <si>
    <t xml:space="preserve">Ярлыков М.И. </t>
  </si>
  <si>
    <t>Омаров Закир</t>
  </si>
  <si>
    <t>1. Омаров Закир</t>
  </si>
  <si>
    <t>Юниоры 20 - 23 (31.07.1998)/21</t>
  </si>
  <si>
    <t>99,70</t>
  </si>
  <si>
    <t>192,5</t>
  </si>
  <si>
    <t xml:space="preserve">Фролов М. </t>
  </si>
  <si>
    <t>Тарасов Антон</t>
  </si>
  <si>
    <t>1. Тарасов Антон</t>
  </si>
  <si>
    <t>Открытая (09.11.1986)/32</t>
  </si>
  <si>
    <t>98,60</t>
  </si>
  <si>
    <t>Анисимов Алексей</t>
  </si>
  <si>
    <t>2. Анисимов Алексей</t>
  </si>
  <si>
    <t>Открытая (25.02.1992)/27</t>
  </si>
  <si>
    <t>95,60</t>
  </si>
  <si>
    <t xml:space="preserve">Жиздра/Калужская область </t>
  </si>
  <si>
    <t>Бажин Виктор</t>
  </si>
  <si>
    <t>3. Бажин Виктор</t>
  </si>
  <si>
    <t>Открытая (23.10.1991)/27</t>
  </si>
  <si>
    <t>98,20</t>
  </si>
  <si>
    <t>Пронич Денис</t>
  </si>
  <si>
    <t>1. Пронич Денис</t>
  </si>
  <si>
    <t>Открытая (03.05.1995)/24</t>
  </si>
  <si>
    <t>108,00</t>
  </si>
  <si>
    <t xml:space="preserve">Смоленск/Смоленская область </t>
  </si>
  <si>
    <t>75</t>
  </si>
  <si>
    <t>417,5</t>
  </si>
  <si>
    <t>410,9453</t>
  </si>
  <si>
    <t>322,7625</t>
  </si>
  <si>
    <t>302,5</t>
  </si>
  <si>
    <t>305,8275</t>
  </si>
  <si>
    <t xml:space="preserve">Ветераны 55 - 59 </t>
  </si>
  <si>
    <t>337,6920</t>
  </si>
  <si>
    <t xml:space="preserve">Юноши </t>
  </si>
  <si>
    <t xml:space="preserve">Юноши 15-19 </t>
  </si>
  <si>
    <t>455,0</t>
  </si>
  <si>
    <t>354,2175</t>
  </si>
  <si>
    <t>266,6050</t>
  </si>
  <si>
    <t>490,0</t>
  </si>
  <si>
    <t>298,5570</t>
  </si>
  <si>
    <t>625,0</t>
  </si>
  <si>
    <t>446,1875</t>
  </si>
  <si>
    <t>662,5</t>
  </si>
  <si>
    <t>424,8613</t>
  </si>
  <si>
    <t>391,7440</t>
  </si>
  <si>
    <t>585,0</t>
  </si>
  <si>
    <t>362,8755</t>
  </si>
  <si>
    <t>507,5</t>
  </si>
  <si>
    <t>340,4817</t>
  </si>
  <si>
    <t>535,0</t>
  </si>
  <si>
    <t>328,0085</t>
  </si>
  <si>
    <t>485,0</t>
  </si>
  <si>
    <t>287,0715</t>
  </si>
  <si>
    <t>Результат</t>
  </si>
  <si>
    <t>Шумаева Ника</t>
  </si>
  <si>
    <t>1. Шумаева Ника</t>
  </si>
  <si>
    <t>Открытая (17.01.1993)/26</t>
  </si>
  <si>
    <t>58,70</t>
  </si>
  <si>
    <t>77,5</t>
  </si>
  <si>
    <t xml:space="preserve">Аблаева В.А. </t>
  </si>
  <si>
    <t>Немова Вера</t>
  </si>
  <si>
    <t>2. Немова Вера</t>
  </si>
  <si>
    <t>Открытая (24.05.1983)/36</t>
  </si>
  <si>
    <t>58,30</t>
  </si>
  <si>
    <t xml:space="preserve">Фрязино/Московская область </t>
  </si>
  <si>
    <t>40,0</t>
  </si>
  <si>
    <t xml:space="preserve">Дымов О. </t>
  </si>
  <si>
    <t>Макунина Маргарита</t>
  </si>
  <si>
    <t>1. Макунина Маргарита</t>
  </si>
  <si>
    <t>Ветераны 50 - 54 (07.03.1969)/50</t>
  </si>
  <si>
    <t>65,40</t>
  </si>
  <si>
    <t xml:space="preserve">Озёры/Московская область </t>
  </si>
  <si>
    <t>Евченков Давид</t>
  </si>
  <si>
    <t>1. Евченков Давид</t>
  </si>
  <si>
    <t>Юноши 15-19 (16.11.2005)/13</t>
  </si>
  <si>
    <t>47,00</t>
  </si>
  <si>
    <t xml:space="preserve">Бишкек/ </t>
  </si>
  <si>
    <t>35,0</t>
  </si>
  <si>
    <t xml:space="preserve">Евченков Д.А. </t>
  </si>
  <si>
    <t>Сычев Данила</t>
  </si>
  <si>
    <t>1. Сычев Данила</t>
  </si>
  <si>
    <t>Юноши 15-19 (02.06.2002)/17</t>
  </si>
  <si>
    <t>65,20</t>
  </si>
  <si>
    <t xml:space="preserve">Щелково-3/Московская </t>
  </si>
  <si>
    <t>Попов Максим</t>
  </si>
  <si>
    <t>1. Попов Максим</t>
  </si>
  <si>
    <t>Открытая (03.09.1984)/34</t>
  </si>
  <si>
    <t>70,80</t>
  </si>
  <si>
    <t>138,0</t>
  </si>
  <si>
    <t xml:space="preserve">Понамарев С. </t>
  </si>
  <si>
    <t>Кулаков Владимир</t>
  </si>
  <si>
    <t>2. Кулаков Владимир</t>
  </si>
  <si>
    <t>Открытая (24.12.1955)/63</t>
  </si>
  <si>
    <t>73,60</t>
  </si>
  <si>
    <t>82,5</t>
  </si>
  <si>
    <t>Чурин Юрий</t>
  </si>
  <si>
    <t>1. Чурин Юрий</t>
  </si>
  <si>
    <t>Ветераны 45 - 49 (09.06.1971)/48</t>
  </si>
  <si>
    <t xml:space="preserve">Орехово-Зуево/Московская область </t>
  </si>
  <si>
    <t>1. Кулаков Владимир</t>
  </si>
  <si>
    <t>Ветераны 60 - 64 (24.12.1955)/63</t>
  </si>
  <si>
    <t>Ионов Николай</t>
  </si>
  <si>
    <t>1. Ионов Николай</t>
  </si>
  <si>
    <t>Ветераны 70 - 74 (20.05.1949)/70</t>
  </si>
  <si>
    <t>72,10</t>
  </si>
  <si>
    <t xml:space="preserve">Хуснетдинова Т.И. </t>
  </si>
  <si>
    <t>Санников Владислав</t>
  </si>
  <si>
    <t>1. Санников Владислав</t>
  </si>
  <si>
    <t>Ветераны 80+ (29.10.1938)/80</t>
  </si>
  <si>
    <t>73,40</t>
  </si>
  <si>
    <t xml:space="preserve">Королёв/Московская область </t>
  </si>
  <si>
    <t>Zakharov Alexey</t>
  </si>
  <si>
    <t>1. Zakharov Alexey</t>
  </si>
  <si>
    <t>Открытая (07.07.1988)/31</t>
  </si>
  <si>
    <t>82,00</t>
  </si>
  <si>
    <t>Петракович Николай</t>
  </si>
  <si>
    <t>1. Петракович Николай</t>
  </si>
  <si>
    <t>Ветераны 40 - 44 (17.08.1979)/40</t>
  </si>
  <si>
    <t>Ковалев Анатолий</t>
  </si>
  <si>
    <t>1. Ковалев Анатолий</t>
  </si>
  <si>
    <t>Ветераны 80+ (11.08.1936)/83</t>
  </si>
  <si>
    <t>79,50</t>
  </si>
  <si>
    <t xml:space="preserve">Самара/Самарская область </t>
  </si>
  <si>
    <t>Снежков Илья</t>
  </si>
  <si>
    <t>1. Снежков Илья</t>
  </si>
  <si>
    <t>Открытая (06.12.1989)/29</t>
  </si>
  <si>
    <t>89,10</t>
  </si>
  <si>
    <t xml:space="preserve">Зеленоград/Московская область </t>
  </si>
  <si>
    <t>Фирюлин Сергей</t>
  </si>
  <si>
    <t>2. Фирюлин Сергей</t>
  </si>
  <si>
    <t>Открытая (05.04.1980)/39</t>
  </si>
  <si>
    <t>88,40</t>
  </si>
  <si>
    <t>Петриченко Максим</t>
  </si>
  <si>
    <t>3. Петриченко Максим</t>
  </si>
  <si>
    <t>Открытая (31.05.1987)/32</t>
  </si>
  <si>
    <t>87,70</t>
  </si>
  <si>
    <t xml:space="preserve">Петриченко м.с </t>
  </si>
  <si>
    <t>Любимский Семен</t>
  </si>
  <si>
    <t>4. Любимский Семен</t>
  </si>
  <si>
    <t>Открытая (31.03.1986)/33</t>
  </si>
  <si>
    <t>86,00</t>
  </si>
  <si>
    <t xml:space="preserve">Туапсе/Краснодарский край </t>
  </si>
  <si>
    <t xml:space="preserve">Любимский С.В. </t>
  </si>
  <si>
    <t>Дымов Олег</t>
  </si>
  <si>
    <t>1. Дымов Олег</t>
  </si>
  <si>
    <t>Ветераны 45 - 49 (02.05.1970)/49</t>
  </si>
  <si>
    <t>Базанов Сергей</t>
  </si>
  <si>
    <t>1. Базанов Сергей</t>
  </si>
  <si>
    <t>Ветераны 55 - 59 (22.06.1962)/57</t>
  </si>
  <si>
    <t xml:space="preserve">Ржев/Тверская область </t>
  </si>
  <si>
    <t>182,5</t>
  </si>
  <si>
    <t>Хуснетдинов Амир</t>
  </si>
  <si>
    <t>1. Хуснетдинов Амир</t>
  </si>
  <si>
    <t>Ветераны 70 - 74 (01.03.1948)/71</t>
  </si>
  <si>
    <t>85,20</t>
  </si>
  <si>
    <t>Матевосян Давид</t>
  </si>
  <si>
    <t>1. Матевосян Давид</t>
  </si>
  <si>
    <t>Юниоры 20 - 23 (12.06.1996)/23</t>
  </si>
  <si>
    <t>99,60</t>
  </si>
  <si>
    <t xml:space="preserve">Бронницы/Московская область </t>
  </si>
  <si>
    <t>Открытая (12.06.1996)/23</t>
  </si>
  <si>
    <t>Евтеев Алексей</t>
  </si>
  <si>
    <t>2. Евтеев Алексей</t>
  </si>
  <si>
    <t>Открытая (08.08.1994)/25</t>
  </si>
  <si>
    <t>98,70</t>
  </si>
  <si>
    <t>212,5</t>
  </si>
  <si>
    <t xml:space="preserve">Сайденцаль О. </t>
  </si>
  <si>
    <t>Виноградов Алексей</t>
  </si>
  <si>
    <t>3. Виноградов Алексей</t>
  </si>
  <si>
    <t>Открытая (22.12.1983)/35</t>
  </si>
  <si>
    <t xml:space="preserve">Наумова Наталья </t>
  </si>
  <si>
    <t>Сугак Олег</t>
  </si>
  <si>
    <t>4. Сугак Олег</t>
  </si>
  <si>
    <t>Открытая (27.03.1991)/28</t>
  </si>
  <si>
    <t>Мучлер Александр</t>
  </si>
  <si>
    <t>5. Мучлер Александр</t>
  </si>
  <si>
    <t>Открытая (06.08.1979)/40</t>
  </si>
  <si>
    <t>97,30</t>
  </si>
  <si>
    <t xml:space="preserve">Репета В. </t>
  </si>
  <si>
    <t>Шабалин Александр</t>
  </si>
  <si>
    <t>1. Шабалин Александр</t>
  </si>
  <si>
    <t>Ветераны 45 - 49 (07.09.1971)/47</t>
  </si>
  <si>
    <t xml:space="preserve">Балашиха/Московская область </t>
  </si>
  <si>
    <t xml:space="preserve">Лазариди Г.К. </t>
  </si>
  <si>
    <t>Быковников Вячеслав</t>
  </si>
  <si>
    <t>1. Быковников Вячеслав</t>
  </si>
  <si>
    <t>Открытая (10.09.1979)/39</t>
  </si>
  <si>
    <t>106,40</t>
  </si>
  <si>
    <t xml:space="preserve">Якутск/Якутия </t>
  </si>
  <si>
    <t>202,5</t>
  </si>
  <si>
    <t xml:space="preserve">Устинов П.С </t>
  </si>
  <si>
    <t>Печняков Артем</t>
  </si>
  <si>
    <t>2. Печняков Артем</t>
  </si>
  <si>
    <t>Открытая (16.03.1988)/31</t>
  </si>
  <si>
    <t>108,60</t>
  </si>
  <si>
    <t xml:space="preserve">Печняков Артем </t>
  </si>
  <si>
    <t>Котов Алексей</t>
  </si>
  <si>
    <t>1. Котов Алексей</t>
  </si>
  <si>
    <t>Ветераны 45 - 49 (04.01.1974)/45</t>
  </si>
  <si>
    <t>105,50</t>
  </si>
  <si>
    <t xml:space="preserve">Котов А.В </t>
  </si>
  <si>
    <t>Герштанский Сергей</t>
  </si>
  <si>
    <t>2. Герштанский Сергей</t>
  </si>
  <si>
    <t>Ветераны 45 - 49 (06.04.1974)/45</t>
  </si>
  <si>
    <t>109,10</t>
  </si>
  <si>
    <t>167,5</t>
  </si>
  <si>
    <t>Шабардин Юрий</t>
  </si>
  <si>
    <t>1. Шабардин Юрий</t>
  </si>
  <si>
    <t>Ветераны 50 - 54 (28.06.1965)/54</t>
  </si>
  <si>
    <t>105,60</t>
  </si>
  <si>
    <t xml:space="preserve">Киров/Калужская область </t>
  </si>
  <si>
    <t xml:space="preserve">Шабардин Ю.Н. </t>
  </si>
  <si>
    <t>Усынин Константин</t>
  </si>
  <si>
    <t>1. Усынин Константин</t>
  </si>
  <si>
    <t>Открытая (13.05.1988)/31</t>
  </si>
  <si>
    <t>121,20</t>
  </si>
  <si>
    <t>227,5</t>
  </si>
  <si>
    <t>232,5</t>
  </si>
  <si>
    <t xml:space="preserve">Краснов Н.Н. </t>
  </si>
  <si>
    <t>Гордяков Юрий</t>
  </si>
  <si>
    <t>1. Гордяков Юрий</t>
  </si>
  <si>
    <t>Ветераны 40 - 44 (27.04.1976)/43</t>
  </si>
  <si>
    <t>120,40</t>
  </si>
  <si>
    <t xml:space="preserve">Железнодорожный/Московская область </t>
  </si>
  <si>
    <t>ВЕСОВАЯ КАТЕГОРИЯ   140+</t>
  </si>
  <si>
    <t>Дерюженко Евгений</t>
  </si>
  <si>
    <t>1. Дерюженко Евгений</t>
  </si>
  <si>
    <t>Открытая (07.06.1981)/38</t>
  </si>
  <si>
    <t>170,20</t>
  </si>
  <si>
    <t>85,0500</t>
  </si>
  <si>
    <t>45,6040</t>
  </si>
  <si>
    <t xml:space="preserve">Ветераны 50 - 54 </t>
  </si>
  <si>
    <t>91,4633</t>
  </si>
  <si>
    <t>81,3030</t>
  </si>
  <si>
    <t>46,5885</t>
  </si>
  <si>
    <t>146,3040</t>
  </si>
  <si>
    <t>136,1255</t>
  </si>
  <si>
    <t>133,3620</t>
  </si>
  <si>
    <t>128,3400</t>
  </si>
  <si>
    <t>123,4210</t>
  </si>
  <si>
    <t>122,4360</t>
  </si>
  <si>
    <t>122,3600</t>
  </si>
  <si>
    <t>119,7135</t>
  </si>
  <si>
    <t>140+</t>
  </si>
  <si>
    <t>119,4600</t>
  </si>
  <si>
    <t>118,1800</t>
  </si>
  <si>
    <t>115,2000</t>
  </si>
  <si>
    <t>112,3287</t>
  </si>
  <si>
    <t>107,9100</t>
  </si>
  <si>
    <t>104,2220</t>
  </si>
  <si>
    <t>102,5340</t>
  </si>
  <si>
    <t>59,5733</t>
  </si>
  <si>
    <t>150,1157</t>
  </si>
  <si>
    <t xml:space="preserve">Ветераны 80+ </t>
  </si>
  <si>
    <t>142,5975</t>
  </si>
  <si>
    <t xml:space="preserve">Ветераны 45 - 49 </t>
  </si>
  <si>
    <t>141,6179</t>
  </si>
  <si>
    <t>129,2518</t>
  </si>
  <si>
    <t xml:space="preserve">Ветераны 70 - 74 </t>
  </si>
  <si>
    <t>121,5783</t>
  </si>
  <si>
    <t>120,5785</t>
  </si>
  <si>
    <t>114,9461</t>
  </si>
  <si>
    <t>109,6408</t>
  </si>
  <si>
    <t>107,1318</t>
  </si>
  <si>
    <t>101,1481</t>
  </si>
  <si>
    <t>100,6926</t>
  </si>
  <si>
    <t>99,5061</t>
  </si>
  <si>
    <t xml:space="preserve">Ветераны 60 - 64 </t>
  </si>
  <si>
    <t>84,6536</t>
  </si>
  <si>
    <t>74,6350</t>
  </si>
  <si>
    <t>Тарбонов Юрий</t>
  </si>
  <si>
    <t>1. Тарбонов Юрий</t>
  </si>
  <si>
    <t>Открытая (26.11.1987)/31</t>
  </si>
  <si>
    <t>88,70</t>
  </si>
  <si>
    <t xml:space="preserve">Московская </t>
  </si>
  <si>
    <t xml:space="preserve">Щелково/Московская область </t>
  </si>
  <si>
    <t>Нечпал Вячеслав</t>
  </si>
  <si>
    <t>1. Нечпал Вячеслав</t>
  </si>
  <si>
    <t>Открытая (02.07.1973)/46</t>
  </si>
  <si>
    <t>92,90</t>
  </si>
  <si>
    <t>Ветераны 45 - 49 (02.07.1973)/46</t>
  </si>
  <si>
    <t>Брехов Роман</t>
  </si>
  <si>
    <t>1. Брехов Роман</t>
  </si>
  <si>
    <t>Открытая (24.02.1990)/29</t>
  </si>
  <si>
    <t>109,80</t>
  </si>
  <si>
    <t>273,0</t>
  </si>
  <si>
    <t xml:space="preserve">Соловьёв В. </t>
  </si>
  <si>
    <t>Ольховский Александр</t>
  </si>
  <si>
    <t>2. Ольховский Александр</t>
  </si>
  <si>
    <t>Открытая (25.12.1978)/40</t>
  </si>
  <si>
    <t>104,60</t>
  </si>
  <si>
    <t xml:space="preserve">Ольховский Александр </t>
  </si>
  <si>
    <t>3. Быковников Вячеслав</t>
  </si>
  <si>
    <t>160,7424</t>
  </si>
  <si>
    <t>152,5920</t>
  </si>
  <si>
    <t>150,8400</t>
  </si>
  <si>
    <t>144,7200</t>
  </si>
  <si>
    <t>142,7520</t>
  </si>
  <si>
    <t>161,0971</t>
  </si>
  <si>
    <t>87,2189</t>
  </si>
  <si>
    <t>Соловьев Юрий</t>
  </si>
  <si>
    <t>1. Соловьев Юрий</t>
  </si>
  <si>
    <t>Открытая (25.01.1974)/45</t>
  </si>
  <si>
    <t>109,50</t>
  </si>
  <si>
    <t xml:space="preserve">Чевордаев В.А. </t>
  </si>
  <si>
    <t>1. Einanloo Reza</t>
  </si>
  <si>
    <t>185,5920</t>
  </si>
  <si>
    <t>147,3250</t>
  </si>
  <si>
    <t>121,7200</t>
  </si>
  <si>
    <t>114,3480</t>
  </si>
  <si>
    <t>ВЕСОВАЯ КАТЕГОРИЯ   48</t>
  </si>
  <si>
    <t>Балясина Евгения</t>
  </si>
  <si>
    <t>1. Балясина Евгения</t>
  </si>
  <si>
    <t>Открытая (21.05.1989)/30</t>
  </si>
  <si>
    <t>46,90</t>
  </si>
  <si>
    <t xml:space="preserve">Зайцев С. </t>
  </si>
  <si>
    <t>Лукасевич Мария</t>
  </si>
  <si>
    <t>2. Лукасевич Мария</t>
  </si>
  <si>
    <t>Открытая (28.04.1989)/30</t>
  </si>
  <si>
    <t xml:space="preserve">Афанасьев Н. </t>
  </si>
  <si>
    <t>Сидорова Виктория</t>
  </si>
  <si>
    <t>3. Сидорова Виктория</t>
  </si>
  <si>
    <t>Открытая (26.08.1993)/25</t>
  </si>
  <si>
    <t>Аверина Мария</t>
  </si>
  <si>
    <t>1. Аверина Мария</t>
  </si>
  <si>
    <t>Ветераны 40 - 44 (23.12.1977)/41</t>
  </si>
  <si>
    <t>47,40</t>
  </si>
  <si>
    <t xml:space="preserve">Боев В.Ф. </t>
  </si>
  <si>
    <t>ВЕСОВАЯ КАТЕГОРИЯ   52</t>
  </si>
  <si>
    <t>Бажина Екатерина</t>
  </si>
  <si>
    <t>1. Бажина Екатерина</t>
  </si>
  <si>
    <t>Открытая (04.04.1983)/36</t>
  </si>
  <si>
    <t>51,20</t>
  </si>
  <si>
    <t xml:space="preserve">Бажина Е.В. </t>
  </si>
  <si>
    <t>Давыденко Дарья</t>
  </si>
  <si>
    <t>1. Давыденко Дарья</t>
  </si>
  <si>
    <t>Открытая (29.04.1984)/35</t>
  </si>
  <si>
    <t>55,00</t>
  </si>
  <si>
    <t>30,0</t>
  </si>
  <si>
    <t>32,5</t>
  </si>
  <si>
    <t>-. Щербакова Елена</t>
  </si>
  <si>
    <t>Ветераны 40 - 44 (14.04.1979)/40</t>
  </si>
  <si>
    <t>54,00</t>
  </si>
  <si>
    <t>37,5</t>
  </si>
  <si>
    <t xml:space="preserve">Щербакова Елена Александровна </t>
  </si>
  <si>
    <t>Кричмар Ольга</t>
  </si>
  <si>
    <t>1. Кричмар Ольга</t>
  </si>
  <si>
    <t>Открытая (09.03.1982)/37</t>
  </si>
  <si>
    <t>59,70</t>
  </si>
  <si>
    <t xml:space="preserve">Чекренев А.В. </t>
  </si>
  <si>
    <t>Филиппова Анна</t>
  </si>
  <si>
    <t>2. Филиппова Анна</t>
  </si>
  <si>
    <t>Открытая (05.10.1979)/39</t>
  </si>
  <si>
    <t>58,90</t>
  </si>
  <si>
    <t xml:space="preserve">Ушаков А. </t>
  </si>
  <si>
    <t>Попова Мария</t>
  </si>
  <si>
    <t>3. Попова Мария</t>
  </si>
  <si>
    <t>Открытая (28.01.1984)/35</t>
  </si>
  <si>
    <t>59,90</t>
  </si>
  <si>
    <t xml:space="preserve">Попова М.С. </t>
  </si>
  <si>
    <t>Павлюченко Анна</t>
  </si>
  <si>
    <t>1. Павлюченко Анна</t>
  </si>
  <si>
    <t>Ветераны 40 - 44 (20.06.1977)/42</t>
  </si>
  <si>
    <t>58,50</t>
  </si>
  <si>
    <t xml:space="preserve">Зорин Е. </t>
  </si>
  <si>
    <t>Миндлина Анастасия</t>
  </si>
  <si>
    <t>1. Миндлина Анастасия</t>
  </si>
  <si>
    <t>Юниорки 20 - 23 (09.06.1996)/23</t>
  </si>
  <si>
    <t>65,00</t>
  </si>
  <si>
    <t xml:space="preserve">Волков В. </t>
  </si>
  <si>
    <t>Открытая (09.06.1996)/23</t>
  </si>
  <si>
    <t>Мишина Ирина</t>
  </si>
  <si>
    <t>1. Мишина Ирина</t>
  </si>
  <si>
    <t>Ветераны 40 - 44 (08.08.1979)/40</t>
  </si>
  <si>
    <t>72,80</t>
  </si>
  <si>
    <t xml:space="preserve">Московская область/Московская </t>
  </si>
  <si>
    <t>Петрокович Евгения</t>
  </si>
  <si>
    <t>1. Петрокович Евгения</t>
  </si>
  <si>
    <t>Открытая (18.07.1985)/34</t>
  </si>
  <si>
    <t xml:space="preserve">Петрокович Николай </t>
  </si>
  <si>
    <t>Кузнецов Александр</t>
  </si>
  <si>
    <t>1. Кузнецов Александр</t>
  </si>
  <si>
    <t>Открытая (16.12.1993)/25</t>
  </si>
  <si>
    <t>133,0</t>
  </si>
  <si>
    <t>136,0</t>
  </si>
  <si>
    <t>Ключников Андрей</t>
  </si>
  <si>
    <t>1. Ключников Андрей</t>
  </si>
  <si>
    <t>Юниоры 20 - 23 (09.06.1997)/22</t>
  </si>
  <si>
    <t>66,40</t>
  </si>
  <si>
    <t xml:space="preserve">посёлок городского типа Лесной </t>
  </si>
  <si>
    <t xml:space="preserve">Бусов Л.А. </t>
  </si>
  <si>
    <t>-. Тухватуллин Дмитрий</t>
  </si>
  <si>
    <t>Открытая (07.11.1990)/28</t>
  </si>
  <si>
    <t xml:space="preserve">Шаров К. И. </t>
  </si>
  <si>
    <t>-. Кузнецов Павел</t>
  </si>
  <si>
    <t>Открытая (23.09.1990)/28</t>
  </si>
  <si>
    <t>66,10</t>
  </si>
  <si>
    <t xml:space="preserve">Липецк/Липецкая область </t>
  </si>
  <si>
    <t xml:space="preserve">Кузнецов П.М. </t>
  </si>
  <si>
    <t>Кукуев Александр</t>
  </si>
  <si>
    <t>1. Кукуев Александр</t>
  </si>
  <si>
    <t>Юноши 15-19 (07.05.2002)/17</t>
  </si>
  <si>
    <t>72,40</t>
  </si>
  <si>
    <t>137,5</t>
  </si>
  <si>
    <t xml:space="preserve">Кукуев А.Н. </t>
  </si>
  <si>
    <t>Кузнецов Родослав</t>
  </si>
  <si>
    <t>2. Кузнецов Родослав</t>
  </si>
  <si>
    <t>Юноши 15-19 (24.10.2000)/18</t>
  </si>
  <si>
    <t>75,00</t>
  </si>
  <si>
    <t xml:space="preserve">Виноградов А. </t>
  </si>
  <si>
    <t>3. Кашников Артём</t>
  </si>
  <si>
    <t>-. Емельянов Всеволод</t>
  </si>
  <si>
    <t xml:space="preserve">Долгопрудный/Московская область </t>
  </si>
  <si>
    <t>Грицан Алексей</t>
  </si>
  <si>
    <t>1. Грицан Алексей</t>
  </si>
  <si>
    <t>Открытая (02.04.1992)/27</t>
  </si>
  <si>
    <t>72,20</t>
  </si>
  <si>
    <t xml:space="preserve">Зверев Р.О. </t>
  </si>
  <si>
    <t>Мокрушин Сергей</t>
  </si>
  <si>
    <t>2. Мокрушин Сергей</t>
  </si>
  <si>
    <t>Открытая (25.07.1984)/35</t>
  </si>
  <si>
    <t>74,00</t>
  </si>
  <si>
    <t>142,5</t>
  </si>
  <si>
    <t xml:space="preserve">Акимов Д. </t>
  </si>
  <si>
    <t>Мелымко Иван</t>
  </si>
  <si>
    <t>3. Мелымко Иван</t>
  </si>
  <si>
    <t>Открытая (17.10.1988)/30</t>
  </si>
  <si>
    <t>74,20</t>
  </si>
  <si>
    <t xml:space="preserve">Мелымко И.О. </t>
  </si>
  <si>
    <t>Пекарский Николай</t>
  </si>
  <si>
    <t>4. Пекарский Николай</t>
  </si>
  <si>
    <t>Открытая (16.12.1989)/29</t>
  </si>
  <si>
    <t>74,50</t>
  </si>
  <si>
    <t>Демкин Андрей</t>
  </si>
  <si>
    <t>1. Демкин Андрей</t>
  </si>
  <si>
    <t>Ветераны 40 - 44 (02.12.1978)/40</t>
  </si>
  <si>
    <t>72,50</t>
  </si>
  <si>
    <t xml:space="preserve">Демкин </t>
  </si>
  <si>
    <t>Солодов Олег</t>
  </si>
  <si>
    <t>1. Солодов Олег</t>
  </si>
  <si>
    <t>Ветераны 45 - 49 (14.10.1971)/47</t>
  </si>
  <si>
    <t>Кожевников Алексей</t>
  </si>
  <si>
    <t>1. Кожевников Алексей</t>
  </si>
  <si>
    <t>Открытая (20.12.1983)/35</t>
  </si>
  <si>
    <t>81,80</t>
  </si>
  <si>
    <t xml:space="preserve">Домашевский А </t>
  </si>
  <si>
    <t>Никитин Роман</t>
  </si>
  <si>
    <t>2. Никитин Роман</t>
  </si>
  <si>
    <t>Открытая (20.03.1993)/26</t>
  </si>
  <si>
    <t>81,60</t>
  </si>
  <si>
    <t xml:space="preserve">Луховицы/Московская область </t>
  </si>
  <si>
    <t>Салосалов Сергей</t>
  </si>
  <si>
    <t>3. Салосалов Сергей</t>
  </si>
  <si>
    <t>Открытая (11.09.2004)/14</t>
  </si>
  <si>
    <t xml:space="preserve">Салосалов С. </t>
  </si>
  <si>
    <t>Лурье Дмитрий</t>
  </si>
  <si>
    <t>4. Лурье Дмитрий</t>
  </si>
  <si>
    <t>Открытая (11.09.1992)/26</t>
  </si>
  <si>
    <t>80,40</t>
  </si>
  <si>
    <t xml:space="preserve">Лурье Дмитрий </t>
  </si>
  <si>
    <t>-. Шаров Константин</t>
  </si>
  <si>
    <t>Открытая (30.10.1986)/32</t>
  </si>
  <si>
    <t>80,90</t>
  </si>
  <si>
    <t xml:space="preserve">Сапунков К.В. </t>
  </si>
  <si>
    <t>1. Фатеев Владимир</t>
  </si>
  <si>
    <t>Ветераны 55 - 59 (01.08.1964)/55</t>
  </si>
  <si>
    <t>78,00</t>
  </si>
  <si>
    <t xml:space="preserve">Лесной/Московская область </t>
  </si>
  <si>
    <t xml:space="preserve">Бусов А.Б. </t>
  </si>
  <si>
    <t>Ветров Николай</t>
  </si>
  <si>
    <t>1. Ветров Николай</t>
  </si>
  <si>
    <t>Ветераны 70 - 74 (12.09.1945)/73</t>
  </si>
  <si>
    <t>76,20</t>
  </si>
  <si>
    <t xml:space="preserve">Санников В.М. </t>
  </si>
  <si>
    <t>Собцов Дмитрий</t>
  </si>
  <si>
    <t>1. Собцов Дмитрий</t>
  </si>
  <si>
    <t>Открытая (04.06.1991)/28</t>
  </si>
  <si>
    <t>88,20</t>
  </si>
  <si>
    <t xml:space="preserve">Трофимов А. </t>
  </si>
  <si>
    <t>Талдыкин Алексей</t>
  </si>
  <si>
    <t>2. Талдыкин Алексей</t>
  </si>
  <si>
    <t>Открытая (29.03.1980)/39</t>
  </si>
  <si>
    <t>89,00</t>
  </si>
  <si>
    <t>Бирюков Никита</t>
  </si>
  <si>
    <t>3. Бирюков Никита</t>
  </si>
  <si>
    <t>Открытая (09.08.1992)/27</t>
  </si>
  <si>
    <t xml:space="preserve">Мазур Е.А. </t>
  </si>
  <si>
    <t>Некрасов Марат</t>
  </si>
  <si>
    <t>4. Некрасов Марат</t>
  </si>
  <si>
    <t>Открытая (14.08.1990)/29</t>
  </si>
  <si>
    <t>Савин Игорь</t>
  </si>
  <si>
    <t>5. Савин Игорь</t>
  </si>
  <si>
    <t>Открытая (12.01.1987)/32</t>
  </si>
  <si>
    <t>88,00</t>
  </si>
  <si>
    <t>Терехов Анатолий</t>
  </si>
  <si>
    <t>1. Терехов Анатолий</t>
  </si>
  <si>
    <t>Ветераны 45 - 49 (20.03.1971)/48</t>
  </si>
  <si>
    <t>87,10</t>
  </si>
  <si>
    <t xml:space="preserve">Раменское/Московская область </t>
  </si>
  <si>
    <t>2. Хромчихин Николай</t>
  </si>
  <si>
    <t>Ветераны 45 - 49 (17.05.1973)/46</t>
  </si>
  <si>
    <t xml:space="preserve">Хромчихин Н.И. </t>
  </si>
  <si>
    <t>Гнатюк Сергей</t>
  </si>
  <si>
    <t>1. Гнатюк Сергей</t>
  </si>
  <si>
    <t>Ветераны 55 - 59 (10.12.1960)/58</t>
  </si>
  <si>
    <t>85,80</t>
  </si>
  <si>
    <t>Алексаков Михаил</t>
  </si>
  <si>
    <t>1. Алексаков Михаил</t>
  </si>
  <si>
    <t>Ветераны 60 - 64 (04.12.1954)/64</t>
  </si>
  <si>
    <t>88,50</t>
  </si>
  <si>
    <t xml:space="preserve">Нахабино/Московская область </t>
  </si>
  <si>
    <t>Ли Владимир</t>
  </si>
  <si>
    <t>1. Ли Владимир</t>
  </si>
  <si>
    <t>Ветераны 65 - 69 (16.10.1951)/67</t>
  </si>
  <si>
    <t>89,50</t>
  </si>
  <si>
    <t xml:space="preserve">Ли Владимир Самбонович </t>
  </si>
  <si>
    <t>2. Пономарев Владимир</t>
  </si>
  <si>
    <t>Шишка Александр</t>
  </si>
  <si>
    <t>3. Шишка Александр</t>
  </si>
  <si>
    <t>Открытая (15.07.1987)/32</t>
  </si>
  <si>
    <t>98,90</t>
  </si>
  <si>
    <t xml:space="preserve">Звенигород/Московская область </t>
  </si>
  <si>
    <t>Емельянов Кирилл</t>
  </si>
  <si>
    <t>4. Емельянов Кирилл</t>
  </si>
  <si>
    <t>Открытая (02.06.1986)/33</t>
  </si>
  <si>
    <t>99,80</t>
  </si>
  <si>
    <t xml:space="preserve">Евсюткин А.С. </t>
  </si>
  <si>
    <t>Григорьев Андрей</t>
  </si>
  <si>
    <t>1. Григорьев Андрей</t>
  </si>
  <si>
    <t>Ветераны 40 - 44 (05.03.1975)/44</t>
  </si>
  <si>
    <t xml:space="preserve">Степанец А. </t>
  </si>
  <si>
    <t>2. Ковальский Алексей</t>
  </si>
  <si>
    <t>Ветераны 40 - 44 (25.12.1975)/43</t>
  </si>
  <si>
    <t>96,90</t>
  </si>
  <si>
    <t xml:space="preserve">Краснов Н. </t>
  </si>
  <si>
    <t>Шабанов Вадим</t>
  </si>
  <si>
    <t>1. Шабанов Вадим</t>
  </si>
  <si>
    <t>Ветераны 45 - 49 (03.02.1972)/47</t>
  </si>
  <si>
    <t>93,00</t>
  </si>
  <si>
    <t xml:space="preserve">Книщук Р. </t>
  </si>
  <si>
    <t>2. Канищев Роман</t>
  </si>
  <si>
    <t>Ветераны 45 - 49 (05.09.1973)/45</t>
  </si>
  <si>
    <t>97,80</t>
  </si>
  <si>
    <t xml:space="preserve">Канищев Р.В. </t>
  </si>
  <si>
    <t>Литовцев Василий</t>
  </si>
  <si>
    <t>1. Литовцев Василий</t>
  </si>
  <si>
    <t>Ветераны 50 - 54 (27.06.1968)/51</t>
  </si>
  <si>
    <t>98,30</t>
  </si>
  <si>
    <t xml:space="preserve">Жуковский/Московская область </t>
  </si>
  <si>
    <t xml:space="preserve">Закружной В. П. </t>
  </si>
  <si>
    <t>Михин Михаил</t>
  </si>
  <si>
    <t>2. Михин Михаил</t>
  </si>
  <si>
    <t>Ветераны 50 - 54 (21.07.1969)/50</t>
  </si>
  <si>
    <t>94,70</t>
  </si>
  <si>
    <t xml:space="preserve">Кемерово/Кемеровская область </t>
  </si>
  <si>
    <t xml:space="preserve">самост. </t>
  </si>
  <si>
    <t>1. Гаршин Александр</t>
  </si>
  <si>
    <t>Ветераны 65 - 69 (29.06.1954)/65</t>
  </si>
  <si>
    <t>91,90</t>
  </si>
  <si>
    <t xml:space="preserve">Гаршин А.Ф. </t>
  </si>
  <si>
    <t>Кожаринов Евгений</t>
  </si>
  <si>
    <t>1. Кожаринов Евгений</t>
  </si>
  <si>
    <t>Ветераны 70 - 74 (04.11.1945)/73</t>
  </si>
  <si>
    <t>97,50</t>
  </si>
  <si>
    <t xml:space="preserve">Воркута/Коми </t>
  </si>
  <si>
    <t xml:space="preserve">Кожаринов Евгений Эдуардович </t>
  </si>
  <si>
    <t>Лапченко Даниил</t>
  </si>
  <si>
    <t>1. Лапченко Даниил</t>
  </si>
  <si>
    <t>Юноши 15-19 (09.09.2005)/13</t>
  </si>
  <si>
    <t>106,50</t>
  </si>
  <si>
    <t xml:space="preserve">Терехов А. </t>
  </si>
  <si>
    <t>Воронин Дмитрий</t>
  </si>
  <si>
    <t>1. Воронин Дмитрий</t>
  </si>
  <si>
    <t>Открытая (17.09.1980)/38</t>
  </si>
  <si>
    <t>108,30</t>
  </si>
  <si>
    <t>177,5</t>
  </si>
  <si>
    <t xml:space="preserve">Воронин Д.С. </t>
  </si>
  <si>
    <t>Гришин Евгений</t>
  </si>
  <si>
    <t>2. Гришин Евгений</t>
  </si>
  <si>
    <t>Открытая (05.07.1987)/32</t>
  </si>
  <si>
    <t>104,30</t>
  </si>
  <si>
    <t xml:space="preserve">Дубна/Московская область </t>
  </si>
  <si>
    <t>Мищенко Сергей</t>
  </si>
  <si>
    <t>3. Мищенко Сергей</t>
  </si>
  <si>
    <t>Открытая (21.07.1988)/31</t>
  </si>
  <si>
    <t>Мишин Станислав</t>
  </si>
  <si>
    <t>1. Мишин Станислав</t>
  </si>
  <si>
    <t>Ветераны 40 - 44 (02.11.1978)/40</t>
  </si>
  <si>
    <t>109,70</t>
  </si>
  <si>
    <t>Ремин Кирилл</t>
  </si>
  <si>
    <t>2. Ремин Кирилл</t>
  </si>
  <si>
    <t>Ветераны 40 - 44 (13.08.1975)/44</t>
  </si>
  <si>
    <t>103,20</t>
  </si>
  <si>
    <t xml:space="preserve">Пушнин М. </t>
  </si>
  <si>
    <t>3. Рудецких Андрей</t>
  </si>
  <si>
    <t>Ветераны 40 - 44 (17.11.1978)/40</t>
  </si>
  <si>
    <t>108,20</t>
  </si>
  <si>
    <t xml:space="preserve">Лазариди Г. </t>
  </si>
  <si>
    <t>Рыбальченко Игорь</t>
  </si>
  <si>
    <t>1. Рыбальченко Игорь</t>
  </si>
  <si>
    <t>Ветераны 50 - 54 (22.03.1964)/55</t>
  </si>
  <si>
    <t>101,70</t>
  </si>
  <si>
    <t xml:space="preserve">Рыбальченко И.А. </t>
  </si>
  <si>
    <t>Фокин Николай</t>
  </si>
  <si>
    <t>2. Фокин Николай</t>
  </si>
  <si>
    <t>Ветераны 50 - 54 (15.02.1966)/53</t>
  </si>
  <si>
    <t>104,90</t>
  </si>
  <si>
    <t>152,5</t>
  </si>
  <si>
    <t>Куротченко Игорь</t>
  </si>
  <si>
    <t>1. Куротченко Игорь</t>
  </si>
  <si>
    <t>Ветераны 55 - 59 (20.03.1962)/57</t>
  </si>
  <si>
    <t>109,00</t>
  </si>
  <si>
    <t>Кондратьев Валерий</t>
  </si>
  <si>
    <t>2. Кондратьев Валерий</t>
  </si>
  <si>
    <t>Ветераны 55 - 59 (15.01.1964)/55</t>
  </si>
  <si>
    <t>105,70</t>
  </si>
  <si>
    <t>Милованов Николай</t>
  </si>
  <si>
    <t>1. Милованов Николай</t>
  </si>
  <si>
    <t>Ветераны 60 - 64 (11.12.1957)/61</t>
  </si>
  <si>
    <t>101,50</t>
  </si>
  <si>
    <t xml:space="preserve">Рязанская </t>
  </si>
  <si>
    <t>Пауесов Анатолий</t>
  </si>
  <si>
    <t>1. Пауесов Анатолий</t>
  </si>
  <si>
    <t>Ветераны 65 - 69 (14.06.1953)/66</t>
  </si>
  <si>
    <t>Бабуев Саидмагомед</t>
  </si>
  <si>
    <t>1. Бабуев Саидмагомед</t>
  </si>
  <si>
    <t>Открытая (12.01.1988)/31</t>
  </si>
  <si>
    <t>115,10</t>
  </si>
  <si>
    <t>Киреёнок Василий</t>
  </si>
  <si>
    <t>1. Киреёнок Василий</t>
  </si>
  <si>
    <t>Ветераны 40 - 44 (14.12.1978)/40</t>
  </si>
  <si>
    <t>Урусов Дмитрий</t>
  </si>
  <si>
    <t>1. Урусов Дмитрий</t>
  </si>
  <si>
    <t>Ветераны 45 - 49 (04.06.1974)/45</t>
  </si>
  <si>
    <t>112,50</t>
  </si>
  <si>
    <t xml:space="preserve">Урусов Дмитрий Николаевич </t>
  </si>
  <si>
    <t>Чубаров Владимир</t>
  </si>
  <si>
    <t>1. Чубаров Владимир</t>
  </si>
  <si>
    <t>Ветераны 55 - 59 (03.04.1964)/55</t>
  </si>
  <si>
    <t>125,00</t>
  </si>
  <si>
    <t>1. Беляев Владимир</t>
  </si>
  <si>
    <t>Ветераны 70 - 74 (14.07.1946)/73</t>
  </si>
  <si>
    <t>113,70</t>
  </si>
  <si>
    <t>Зуйков Евгений</t>
  </si>
  <si>
    <t>1. Зуйков Евгений</t>
  </si>
  <si>
    <t>Открытая (10.05.1994)/25</t>
  </si>
  <si>
    <t>134,00</t>
  </si>
  <si>
    <t xml:space="preserve">Беловал Е. </t>
  </si>
  <si>
    <t>Шония Алексей</t>
  </si>
  <si>
    <t>1. Шония Алексей</t>
  </si>
  <si>
    <t>Ветераны 45 - 49 (20.09.1970)/48</t>
  </si>
  <si>
    <t>137,20</t>
  </si>
  <si>
    <t xml:space="preserve">Литвиново/Московская </t>
  </si>
  <si>
    <t xml:space="preserve">Юниорки </t>
  </si>
  <si>
    <t>104,9100</t>
  </si>
  <si>
    <t>48</t>
  </si>
  <si>
    <t>97,6575</t>
  </si>
  <si>
    <t>83,9400</t>
  </si>
  <si>
    <t>73,5150</t>
  </si>
  <si>
    <t>66,9780</t>
  </si>
  <si>
    <t>63,8828</t>
  </si>
  <si>
    <t>52</t>
  </si>
  <si>
    <t>63,0800</t>
  </si>
  <si>
    <t>57,2475</t>
  </si>
  <si>
    <t>52,1880</t>
  </si>
  <si>
    <t>35,7990</t>
  </si>
  <si>
    <t>69,5905</t>
  </si>
  <si>
    <t>60,7530</t>
  </si>
  <si>
    <t>53,2895</t>
  </si>
  <si>
    <t>100,4713</t>
  </si>
  <si>
    <t>71,3450</t>
  </si>
  <si>
    <t>71,2600</t>
  </si>
  <si>
    <t>60,9465</t>
  </si>
  <si>
    <t>70,3170</t>
  </si>
  <si>
    <t>122,5690</t>
  </si>
  <si>
    <t>117,1125</t>
  </si>
  <si>
    <t>116,1615</t>
  </si>
  <si>
    <t>115,3535</t>
  </si>
  <si>
    <t>111,2760</t>
  </si>
  <si>
    <t>110,3710</t>
  </si>
  <si>
    <t>109,1570</t>
  </si>
  <si>
    <t>107,9995</t>
  </si>
  <si>
    <t>107,5517</t>
  </si>
  <si>
    <t>107,1175</t>
  </si>
  <si>
    <t>104,9735</t>
  </si>
  <si>
    <t>104,8250</t>
  </si>
  <si>
    <t>103,7400</t>
  </si>
  <si>
    <t>103,1250</t>
  </si>
  <si>
    <t>102,5002</t>
  </si>
  <si>
    <t>101,0100</t>
  </si>
  <si>
    <t>100,1145</t>
  </si>
  <si>
    <t>93,3270</t>
  </si>
  <si>
    <t>91,6950</t>
  </si>
  <si>
    <t>91,5275</t>
  </si>
  <si>
    <t>91,3650</t>
  </si>
  <si>
    <t>88,4780</t>
  </si>
  <si>
    <t>75,1695</t>
  </si>
  <si>
    <t>140,3922</t>
  </si>
  <si>
    <t xml:space="preserve">Ветераны 65 - 69 </t>
  </si>
  <si>
    <t>133,3569</t>
  </si>
  <si>
    <t>124,5548</t>
  </si>
  <si>
    <t>118,5016</t>
  </si>
  <si>
    <t>118,3666</t>
  </si>
  <si>
    <t>117,7519</t>
  </si>
  <si>
    <t>116,3594</t>
  </si>
  <si>
    <t>115,1708</t>
  </si>
  <si>
    <t>111,3202</t>
  </si>
  <si>
    <t>111,0155</t>
  </si>
  <si>
    <t>110,4533</t>
  </si>
  <si>
    <t>110,3851</t>
  </si>
  <si>
    <t>109,7083</t>
  </si>
  <si>
    <t>106,8752</t>
  </si>
  <si>
    <t>106,0200</t>
  </si>
  <si>
    <t>104,5276</t>
  </si>
  <si>
    <t>103,5239</t>
  </si>
  <si>
    <t>103,3038</t>
  </si>
  <si>
    <t>102,2000</t>
  </si>
  <si>
    <t>102,0622</t>
  </si>
  <si>
    <t>98,5966</t>
  </si>
  <si>
    <t>98,0490</t>
  </si>
  <si>
    <t>97,8520</t>
  </si>
  <si>
    <t>95,9162</t>
  </si>
  <si>
    <t>Саунин Дмитрий</t>
  </si>
  <si>
    <t>1. Саунин Дмитрий</t>
  </si>
  <si>
    <t>Открытая (23.04.1994)/25</t>
  </si>
  <si>
    <t xml:space="preserve">Шабров А. Г. </t>
  </si>
  <si>
    <t>Кончаков Владимир</t>
  </si>
  <si>
    <t>1. Кончаков Владимир</t>
  </si>
  <si>
    <t>Открытая (25.05.1973)/46</t>
  </si>
  <si>
    <t>173,7360</t>
  </si>
  <si>
    <t>118,2800</t>
  </si>
  <si>
    <t>111,2797</t>
  </si>
  <si>
    <t>153,1134</t>
  </si>
  <si>
    <t>Турковская Ольга</t>
  </si>
  <si>
    <t>1. Турковская Ольга</t>
  </si>
  <si>
    <t>Ветераны 50 - 54 (05.06.1967)/52</t>
  </si>
  <si>
    <t>69,00</t>
  </si>
  <si>
    <t>Нилова Наталья</t>
  </si>
  <si>
    <t>1. Нилова Наталья</t>
  </si>
  <si>
    <t>Ветераны 45 - 49 (13.11.1973)/45</t>
  </si>
  <si>
    <t xml:space="preserve">Мишенин С.В. </t>
  </si>
  <si>
    <t>Бородин Виталий</t>
  </si>
  <si>
    <t>Открытая (20.06.1987)/32</t>
  </si>
  <si>
    <t>80,70</t>
  </si>
  <si>
    <t xml:space="preserve">Озеры/Московская область </t>
  </si>
  <si>
    <t xml:space="preserve">Бородин В В. </t>
  </si>
  <si>
    <t>Поляков Артем</t>
  </si>
  <si>
    <t>1. Поляков Артем</t>
  </si>
  <si>
    <t>Открытая (05.12.1994)/24</t>
  </si>
  <si>
    <t>86,80</t>
  </si>
  <si>
    <t>Афанасьев Николай</t>
  </si>
  <si>
    <t>Открытая (27.04.1981)/38</t>
  </si>
  <si>
    <t>Шумаев Вячеслав</t>
  </si>
  <si>
    <t>Открытая (22.05.1991)/28</t>
  </si>
  <si>
    <t>84,90</t>
  </si>
  <si>
    <t>Сагитов Марат</t>
  </si>
  <si>
    <t>1. Сагитов Марат</t>
  </si>
  <si>
    <t>Ветераны 45 - 49 (05.03.1971)/48</t>
  </si>
  <si>
    <t>85,50</t>
  </si>
  <si>
    <t xml:space="preserve">Сагитов М.З. </t>
  </si>
  <si>
    <t>Гореликов Дмитрий</t>
  </si>
  <si>
    <t>1. Гореликов Дмитрий</t>
  </si>
  <si>
    <t>Ветераны 50 - 54 (23.06.1968)/51</t>
  </si>
  <si>
    <t xml:space="preserve">Сергиев Посад/Московская область </t>
  </si>
  <si>
    <t>Дворцов Александр</t>
  </si>
  <si>
    <t>2. Дворцов Александр</t>
  </si>
  <si>
    <t>Открытая (09.07.1981)/38</t>
  </si>
  <si>
    <t xml:space="preserve">Дворцов А.В. </t>
  </si>
  <si>
    <t>Елов Владимир</t>
  </si>
  <si>
    <t>3. Елов Владимир</t>
  </si>
  <si>
    <t>Открытая (04.03.1991)/28</t>
  </si>
  <si>
    <t>92,40</t>
  </si>
  <si>
    <t>Порядков Евгений</t>
  </si>
  <si>
    <t>4. Порядков Евгений</t>
  </si>
  <si>
    <t>Открытая (22.01.1994)/25</t>
  </si>
  <si>
    <t>94,90</t>
  </si>
  <si>
    <t xml:space="preserve">Порядков Е.А </t>
  </si>
  <si>
    <t>147,4200</t>
  </si>
  <si>
    <t>146,3240</t>
  </si>
  <si>
    <t>73,9133</t>
  </si>
  <si>
    <t>201,3990</t>
  </si>
  <si>
    <t>196,8367</t>
  </si>
  <si>
    <t>178,7520</t>
  </si>
  <si>
    <t>167,3650</t>
  </si>
  <si>
    <t>163,8260</t>
  </si>
  <si>
    <t>131,7600</t>
  </si>
  <si>
    <t>118,8250</t>
  </si>
  <si>
    <t>112,0140</t>
  </si>
  <si>
    <t>177,8034</t>
  </si>
  <si>
    <t>143,9703</t>
  </si>
  <si>
    <t>188,6660</t>
  </si>
  <si>
    <t>156,1140</t>
  </si>
  <si>
    <t>122,2840</t>
  </si>
  <si>
    <t>Баринова Полина</t>
  </si>
  <si>
    <t>1. Баринова Полина</t>
  </si>
  <si>
    <t>Юниорки 20 - 23 (15.11.1998)/20</t>
  </si>
  <si>
    <t>58,60</t>
  </si>
  <si>
    <t xml:space="preserve">Бойко Ю.М. </t>
  </si>
  <si>
    <t>Огородникова Мария</t>
  </si>
  <si>
    <t>1. Огородникова Мария</t>
  </si>
  <si>
    <t>Открытая (28.04.1982)/37</t>
  </si>
  <si>
    <t>59,60</t>
  </si>
  <si>
    <t>132,0</t>
  </si>
  <si>
    <t>Барбат Елена</t>
  </si>
  <si>
    <t>2. Барбат Елена</t>
  </si>
  <si>
    <t>Открытая (23.07.1984)/35</t>
  </si>
  <si>
    <t>57,20</t>
  </si>
  <si>
    <t xml:space="preserve">Бобарев М.А. </t>
  </si>
  <si>
    <t>-. Гришина Полина</t>
  </si>
  <si>
    <t>Открытая (19.04.1988)/31</t>
  </si>
  <si>
    <t>Менькова Илона</t>
  </si>
  <si>
    <t>1. Менькова Илона</t>
  </si>
  <si>
    <t>Открытая (16.02.1983)/36</t>
  </si>
  <si>
    <t>Маслаков Сергей</t>
  </si>
  <si>
    <t>1. Маслаков Сергей</t>
  </si>
  <si>
    <t>Юноши 15-19 (23.06.2000)/19</t>
  </si>
  <si>
    <t xml:space="preserve">Дмитров/Московская область </t>
  </si>
  <si>
    <t xml:space="preserve">Будко А. </t>
  </si>
  <si>
    <t>Щемелев Владимир</t>
  </si>
  <si>
    <t>1. Щемелев Владимир</t>
  </si>
  <si>
    <t>Ветераны 55 - 59 (02.04.1961)/58</t>
  </si>
  <si>
    <t>Рыжов Даниил</t>
  </si>
  <si>
    <t>1. Рыжов Даниил</t>
  </si>
  <si>
    <t>Юноши 15-19 (30.11.1999)/19</t>
  </si>
  <si>
    <t>81,00</t>
  </si>
  <si>
    <t>Евсеев Сергей</t>
  </si>
  <si>
    <t>1. Евсеев Сергей</t>
  </si>
  <si>
    <t>Открытая (09.10.1990)/28</t>
  </si>
  <si>
    <t>78,80</t>
  </si>
  <si>
    <t xml:space="preserve">Великие Луки/Псковская область </t>
  </si>
  <si>
    <t xml:space="preserve">Евсеев М.И. </t>
  </si>
  <si>
    <t>Евсеев Роман</t>
  </si>
  <si>
    <t>2. Евсеев Роман</t>
  </si>
  <si>
    <t>Открытая (12.08.1993)/26</t>
  </si>
  <si>
    <t>78,90</t>
  </si>
  <si>
    <t xml:space="preserve">Шабров А.Г. </t>
  </si>
  <si>
    <t>Гараев Радик</t>
  </si>
  <si>
    <t>1. Гараев Радик</t>
  </si>
  <si>
    <t>Юноши 15-19 (30.05.2000)/19</t>
  </si>
  <si>
    <t>Гамов Александр</t>
  </si>
  <si>
    <t>1. Гамов Александр</t>
  </si>
  <si>
    <t>Открытая (20.09.1978)/40</t>
  </si>
  <si>
    <t>Пантелеев Александр</t>
  </si>
  <si>
    <t>2. Пантелеев Александр</t>
  </si>
  <si>
    <t>Открытая (01.12.1991)/27</t>
  </si>
  <si>
    <t>Ветераны 40 - 44 (20.09.1978)/40</t>
  </si>
  <si>
    <t>Паскеев Борис</t>
  </si>
  <si>
    <t>1. Паскеев Борис</t>
  </si>
  <si>
    <t>Ветераны 60 - 64 (17.09.1955)/63</t>
  </si>
  <si>
    <t>87,20</t>
  </si>
  <si>
    <t>Бобков Михаил</t>
  </si>
  <si>
    <t>1. Бобков Михаил</t>
  </si>
  <si>
    <t>Ветераны 70 - 74 (27.11.1947)/71</t>
  </si>
  <si>
    <t>85,10</t>
  </si>
  <si>
    <t xml:space="preserve">Балахна/Нижегородская область </t>
  </si>
  <si>
    <t xml:space="preserve">Тумаков Р.О. </t>
  </si>
  <si>
    <t>Маклаков Денис</t>
  </si>
  <si>
    <t>1. Маклаков Денис</t>
  </si>
  <si>
    <t>Юниоры 20 - 23 (02.05.1997)/22</t>
  </si>
  <si>
    <t>94,20</t>
  </si>
  <si>
    <t xml:space="preserve">Истра/Московская область </t>
  </si>
  <si>
    <t>Суржиков Владислав</t>
  </si>
  <si>
    <t>2. Суржиков Владислав</t>
  </si>
  <si>
    <t>Юниоры 20 - 23 (10.02.1999)/20</t>
  </si>
  <si>
    <t>96,60</t>
  </si>
  <si>
    <t>Шляхитский Александр</t>
  </si>
  <si>
    <t>1. Шляхитский Александр</t>
  </si>
  <si>
    <t>Открытая (09.02.1980)/39</t>
  </si>
  <si>
    <t>97,60</t>
  </si>
  <si>
    <t xml:space="preserve">Новомосковск/Тульская область </t>
  </si>
  <si>
    <t xml:space="preserve">Шляхитский Александр </t>
  </si>
  <si>
    <t>Моисеев Роман</t>
  </si>
  <si>
    <t>2. Моисеев Роман</t>
  </si>
  <si>
    <t>Открытая (27.11.1990)/28</t>
  </si>
  <si>
    <t>93,70</t>
  </si>
  <si>
    <t xml:space="preserve">Кубинка/Московская область </t>
  </si>
  <si>
    <t>Ушаков Артем</t>
  </si>
  <si>
    <t>3. Ушаков Артем</t>
  </si>
  <si>
    <t>Открытая (21.01.1986)/33</t>
  </si>
  <si>
    <t>Бубнов Вадим</t>
  </si>
  <si>
    <t>4. Бубнов Вадим</t>
  </si>
  <si>
    <t>Открытая (05.05.1993)/26</t>
  </si>
  <si>
    <t xml:space="preserve">Бубнов В.А. </t>
  </si>
  <si>
    <t>Кретов Сергей</t>
  </si>
  <si>
    <t>1. Кретов Сергей</t>
  </si>
  <si>
    <t>Ветераны 55 - 59 (19.03.1964)/55</t>
  </si>
  <si>
    <t>96,00</t>
  </si>
  <si>
    <t xml:space="preserve">КРЕТОВ С.Д </t>
  </si>
  <si>
    <t>Холодов Сергей</t>
  </si>
  <si>
    <t>1. Холодов Сергей</t>
  </si>
  <si>
    <t>Открытая (08.07.1989)/30</t>
  </si>
  <si>
    <t>272,5</t>
  </si>
  <si>
    <t>Кулебякин Руслан</t>
  </si>
  <si>
    <t>2. Кулебякин Руслан</t>
  </si>
  <si>
    <t>Открытая (26.02.1991)/28</t>
  </si>
  <si>
    <t>104,40</t>
  </si>
  <si>
    <t xml:space="preserve">Таганрог/Ростовская область </t>
  </si>
  <si>
    <t xml:space="preserve">Стародубский С.В. </t>
  </si>
  <si>
    <t>Рогачев Андрей</t>
  </si>
  <si>
    <t>3. Рогачев Андрей</t>
  </si>
  <si>
    <t>Открытая (30.11.1990)/28</t>
  </si>
  <si>
    <t>102,80</t>
  </si>
  <si>
    <t xml:space="preserve">Рогачев А. Н. </t>
  </si>
  <si>
    <t>Абрамов Максим</t>
  </si>
  <si>
    <t>4. Абрамов Максим</t>
  </si>
  <si>
    <t>Открытая (19.04.1982)/37</t>
  </si>
  <si>
    <t>106,00</t>
  </si>
  <si>
    <t xml:space="preserve">Чехов/Московская область </t>
  </si>
  <si>
    <t xml:space="preserve">Абрамов М.С. </t>
  </si>
  <si>
    <t>Беженарь Иван</t>
  </si>
  <si>
    <t>1. Беженарь Иван</t>
  </si>
  <si>
    <t>Ветераны 55 - 59 (19.08.1961)/58</t>
  </si>
  <si>
    <t>102,50</t>
  </si>
  <si>
    <t xml:space="preserve">Беженарь А. </t>
  </si>
  <si>
    <t>Баранов Михаил</t>
  </si>
  <si>
    <t>1. Баранов Михаил</t>
  </si>
  <si>
    <t>Ветераны 60 - 64 (02.03.1957)/62</t>
  </si>
  <si>
    <t>108,90</t>
  </si>
  <si>
    <t xml:space="preserve">Санкт-Петербург </t>
  </si>
  <si>
    <t>Кафтайлов Антон</t>
  </si>
  <si>
    <t>1. Кафтайлов Антон</t>
  </si>
  <si>
    <t>Открытая (16.03.1992)/27</t>
  </si>
  <si>
    <t>123,60</t>
  </si>
  <si>
    <t>Прудников Александр</t>
  </si>
  <si>
    <t>1. Прудников Александр</t>
  </si>
  <si>
    <t>Ветераны 45 - 49 (25.04.1974)/45</t>
  </si>
  <si>
    <t>115,20</t>
  </si>
  <si>
    <t xml:space="preserve">Сумин А.В. </t>
  </si>
  <si>
    <t>141,9375</t>
  </si>
  <si>
    <t>185,2125</t>
  </si>
  <si>
    <t>147,9324</t>
  </si>
  <si>
    <t>138,8640</t>
  </si>
  <si>
    <t>122,0302</t>
  </si>
  <si>
    <t>155,8020</t>
  </si>
  <si>
    <t>136,6470</t>
  </si>
  <si>
    <t>123,2560</t>
  </si>
  <si>
    <t>134,2460</t>
  </si>
  <si>
    <t>117,3060</t>
  </si>
  <si>
    <t>168,8785</t>
  </si>
  <si>
    <t>162,8955</t>
  </si>
  <si>
    <t>162,7600</t>
  </si>
  <si>
    <t>160,9112</t>
  </si>
  <si>
    <t>160,5250</t>
  </si>
  <si>
    <t>155,6880</t>
  </si>
  <si>
    <t>150,3320</t>
  </si>
  <si>
    <t>147,5145</t>
  </si>
  <si>
    <t>147,2460</t>
  </si>
  <si>
    <t>145,9220</t>
  </si>
  <si>
    <t>145,9200</t>
  </si>
  <si>
    <t>144,2280</t>
  </si>
  <si>
    <t>123,9840</t>
  </si>
  <si>
    <t>221,1860</t>
  </si>
  <si>
    <t>202,9216</t>
  </si>
  <si>
    <t>195,2934</t>
  </si>
  <si>
    <t>193,1930</t>
  </si>
  <si>
    <t>185,6443</t>
  </si>
  <si>
    <t>167,3162</t>
  </si>
  <si>
    <t>151,6795</t>
  </si>
  <si>
    <t>147,0586</t>
  </si>
  <si>
    <t>КУБОК МИРА WPF 2019
WPF PRO Пауэрлифтинг Классический
Москва/ 24 августа 2019 г.</t>
  </si>
  <si>
    <t>КУБОК МИРА WPF 2019
WPF PRO Пауэрлифтинг Безэкипировочный
Москва/ 24 августа 2019 г.</t>
  </si>
  <si>
    <t>КУБОК МИРА WPF 2019
WPF PRO  Пауэрлифтинг в Однослойной экипировке
Москва/ 24 августа 2019 г.</t>
  </si>
  <si>
    <t>КУБОК МИРА WPF 2019
WPF PRO Пауэрлифтинг в Многослойной экипировке
Москва/ 24 августа 2019 г.</t>
  </si>
  <si>
    <t>КУБОК МИРА WPF 2019
WPF AM Пауэрлифтинг Классический
Москва/ 24 августа 2019 г.</t>
  </si>
  <si>
    <t>КУБОК МИРА WPF 2019
WPF AM Пауэрлифтинг Безэкипировочный
Москва/ 24 августа 2019 г.</t>
  </si>
  <si>
    <t>КУБОК МИРА WPF 2019
WPF PRO Жим лежа Безэкипировочный
Москва/ 24 августа 2019 г.</t>
  </si>
  <si>
    <t>КУБОК МИРА WPF 2019
WPF PRO Жим лежа в Однослойной экипировке
Москва/ 24 августа 2019 г.</t>
  </si>
  <si>
    <t>КУБОК МИРА WPF 2019
WPF PRO Жим лежа в Многослойной экипировке
Москва/ 24 августа 2019 г.</t>
  </si>
  <si>
    <t>КУБОК МИРА WPF 2019
WPF AM Жим лежа Безэкипировочный
Москва/ 24 августа 2019 г.</t>
  </si>
  <si>
    <t>КУБОК МИРА WPF 2019
WPF AM Жим лежа в Однослойной экипировке
Москва/ 24 августа 2019 г.</t>
  </si>
  <si>
    <t>КУБОК МИРА WPF 2019
WPF PRO Становая тяга Безэкипировочная
Москва/ 24 августа 2019 г.</t>
  </si>
  <si>
    <t>КУБОК МИРА WPF 2019
WPF PRO Становая тяга в Многослойной экипировке
Москва/ 24 августа 2019 г.</t>
  </si>
  <si>
    <t>КУБОК МИРА WPF 2019
WPF AM Становая тяга Безэкипировочная
Москва/ 24 августа 2019 г.</t>
  </si>
  <si>
    <t>КУБОК МИРА WPF 2019
WPU Народный жим (1/2 вес) с д.к.
Москва/ 24 августа 2019 г.</t>
  </si>
  <si>
    <t>Gloss</t>
  </si>
  <si>
    <t>Народный жим</t>
  </si>
  <si>
    <t>Тоннаж</t>
  </si>
  <si>
    <t>Вес</t>
  </si>
  <si>
    <t>Повторы</t>
  </si>
  <si>
    <t>1. Кузнецов Родослав</t>
  </si>
  <si>
    <t>Юноши 13 - 19 (24.10.2000)/18</t>
  </si>
  <si>
    <t xml:space="preserve">Gloss </t>
  </si>
  <si>
    <t xml:space="preserve">Юноши 13 - 19 </t>
  </si>
  <si>
    <t>2062,5</t>
  </si>
  <si>
    <t>1420,1344</t>
  </si>
  <si>
    <t>1522,4956</t>
  </si>
  <si>
    <t>2152,5</t>
  </si>
  <si>
    <t xml:space="preserve">Мастера 50 - 59 </t>
  </si>
  <si>
    <t>1643,6585</t>
  </si>
  <si>
    <t>2100,0</t>
  </si>
  <si>
    <t>Кушинас Русланас</t>
  </si>
  <si>
    <t>1710,4291</t>
  </si>
  <si>
    <t>2400,0</t>
  </si>
  <si>
    <t xml:space="preserve">Мастера 40 - 49 </t>
  </si>
  <si>
    <t>Калинин Сергей</t>
  </si>
  <si>
    <t>1832,5803</t>
  </si>
  <si>
    <t>2340,0</t>
  </si>
  <si>
    <t>Ложешников Сергей</t>
  </si>
  <si>
    <t xml:space="preserve">Мастера </t>
  </si>
  <si>
    <t>1367,3000</t>
  </si>
  <si>
    <t>2420,0</t>
  </si>
  <si>
    <t>1386,1125</t>
  </si>
  <si>
    <t>2250,0</t>
  </si>
  <si>
    <t>Мищенко Артем</t>
  </si>
  <si>
    <t>1602,8549</t>
  </si>
  <si>
    <t>2092,5</t>
  </si>
  <si>
    <t>Куранов Евгений</t>
  </si>
  <si>
    <t>1903,0951</t>
  </si>
  <si>
    <t>2497,5</t>
  </si>
  <si>
    <t>Кузнецов Павел</t>
  </si>
  <si>
    <t>1927,7925</t>
  </si>
  <si>
    <t>2775,0</t>
  </si>
  <si>
    <t>Артюшенко Сергей</t>
  </si>
  <si>
    <t>1942,3011</t>
  </si>
  <si>
    <t>2867,5</t>
  </si>
  <si>
    <t>Мишин Николай</t>
  </si>
  <si>
    <t>2945,9717</t>
  </si>
  <si>
    <t>4537,5</t>
  </si>
  <si>
    <t>2272,2150</t>
  </si>
  <si>
    <t>3300,0</t>
  </si>
  <si>
    <t>Емельянов Всеволод</t>
  </si>
  <si>
    <t>21,0</t>
  </si>
  <si>
    <t>Мастера 50 - 59 (22.03.1964)/55</t>
  </si>
  <si>
    <t>22,0</t>
  </si>
  <si>
    <t xml:space="preserve">Чокаев У. </t>
  </si>
  <si>
    <t>25,0</t>
  </si>
  <si>
    <t>Открытая (26.06.1984)/35</t>
  </si>
  <si>
    <t>1. Мищенко Артем</t>
  </si>
  <si>
    <t xml:space="preserve">Воронин Е.Н. </t>
  </si>
  <si>
    <t>37,0</t>
  </si>
  <si>
    <t>76,70</t>
  </si>
  <si>
    <t>Открытая (22.12.1982)/36</t>
  </si>
  <si>
    <t>2. Мишин Николай</t>
  </si>
  <si>
    <t>1. Никитин Роман</t>
  </si>
  <si>
    <t xml:space="preserve">Кушинас Р. </t>
  </si>
  <si>
    <t>28,0</t>
  </si>
  <si>
    <t xml:space="preserve">Тверь/Тверская область </t>
  </si>
  <si>
    <t>74,40</t>
  </si>
  <si>
    <t>Мастера 50 - 59 (23.08.1969)/50</t>
  </si>
  <si>
    <t>1. Кушинас Русланас</t>
  </si>
  <si>
    <t xml:space="preserve">Калинин Сергей Иванович </t>
  </si>
  <si>
    <t>32,0</t>
  </si>
  <si>
    <t>74,60</t>
  </si>
  <si>
    <t>Мастера 40 - 49 (19.11.1975)/43</t>
  </si>
  <si>
    <t>1. Калинин Сергей</t>
  </si>
  <si>
    <t>74,10</t>
  </si>
  <si>
    <t>Открытая (31.03.1980)/39</t>
  </si>
  <si>
    <t>1. Артюшенко Сергей</t>
  </si>
  <si>
    <t>44,0</t>
  </si>
  <si>
    <t>1. Емельянов Всеволод</t>
  </si>
  <si>
    <t>36,0</t>
  </si>
  <si>
    <t>Мастера 40 - 49 (09.07.1978)/41</t>
  </si>
  <si>
    <t>1. Ложешников Сергей</t>
  </si>
  <si>
    <t xml:space="preserve">Куранов Е.В </t>
  </si>
  <si>
    <t>31,0</t>
  </si>
  <si>
    <t>65,70</t>
  </si>
  <si>
    <t>Открытая (01.03.1990)/29</t>
  </si>
  <si>
    <t>2. Куранов Евгений</t>
  </si>
  <si>
    <t>1. Кузнецов Павел</t>
  </si>
  <si>
    <t>КУБОК МИРА WPF 2019
WPU Народный жим (1 вес) с д.к.
Москва/ 24 августа 2019 г.</t>
  </si>
  <si>
    <t>1350,8370</t>
  </si>
  <si>
    <t>1020,0</t>
  </si>
  <si>
    <t>Евченков Даниил</t>
  </si>
  <si>
    <t>2504,9641</t>
  </si>
  <si>
    <t>2310,0</t>
  </si>
  <si>
    <t>Евченкова Екатерина</t>
  </si>
  <si>
    <t>51,0</t>
  </si>
  <si>
    <t>20,0</t>
  </si>
  <si>
    <t>37,20</t>
  </si>
  <si>
    <t>Юноши 13 - 19 (09.02.2008)/11</t>
  </si>
  <si>
    <t>1. Евченков Даниил</t>
  </si>
  <si>
    <t xml:space="preserve">Евченкова Е.А. </t>
  </si>
  <si>
    <t>84,0</t>
  </si>
  <si>
    <t>27,5</t>
  </si>
  <si>
    <t>53,40</t>
  </si>
  <si>
    <t>Открытая (18.10.1980)/38</t>
  </si>
  <si>
    <t>1. Евченкова Екатерина</t>
  </si>
  <si>
    <t>КУБОК МИРА WPF 2019
WPU Народный жим (1/2 вес)
Москва/ 24 августа 2019 г.</t>
  </si>
  <si>
    <t>1493,7074</t>
  </si>
  <si>
    <t>2210,0</t>
  </si>
  <si>
    <t>Евченков Александр</t>
  </si>
  <si>
    <t>1713,2527</t>
  </si>
  <si>
    <t>2800,0</t>
  </si>
  <si>
    <t>Сивачев Дмитрий</t>
  </si>
  <si>
    <t>3134,5597</t>
  </si>
  <si>
    <t>4770,0</t>
  </si>
  <si>
    <t>Меженин Иван</t>
  </si>
  <si>
    <t>976,1606</t>
  </si>
  <si>
    <t>1762,5</t>
  </si>
  <si>
    <t>1050,8269</t>
  </si>
  <si>
    <t>1207,5</t>
  </si>
  <si>
    <t>Рузибадалов Турсунали</t>
  </si>
  <si>
    <t>1055,5830</t>
  </si>
  <si>
    <t>1710,0</t>
  </si>
  <si>
    <t>1198,4962</t>
  </si>
  <si>
    <t>2137,5</t>
  </si>
  <si>
    <t>1330,4000</t>
  </si>
  <si>
    <t>2000,0</t>
  </si>
  <si>
    <t>Батыев Дмитрий</t>
  </si>
  <si>
    <t>1336,9900</t>
  </si>
  <si>
    <t>2300,0</t>
  </si>
  <si>
    <t>1460,9910</t>
  </si>
  <si>
    <t>2030,0</t>
  </si>
  <si>
    <t>1488,4281</t>
  </si>
  <si>
    <t>2562,5</t>
  </si>
  <si>
    <t>Боев Виталий</t>
  </si>
  <si>
    <t>1534,1072</t>
  </si>
  <si>
    <t>2665,0</t>
  </si>
  <si>
    <t>Розинкевич Павел</t>
  </si>
  <si>
    <t>1535,8020</t>
  </si>
  <si>
    <t>2760,0</t>
  </si>
  <si>
    <t>Арсенин Роман</t>
  </si>
  <si>
    <t>1642,6200</t>
  </si>
  <si>
    <t>1695,1951</t>
  </si>
  <si>
    <t>2900,0</t>
  </si>
  <si>
    <t>2934,9810</t>
  </si>
  <si>
    <t>9308,6957</t>
  </si>
  <si>
    <t>13717,5</t>
  </si>
  <si>
    <t>Воронин Евгений</t>
  </si>
  <si>
    <t>1325,3174</t>
  </si>
  <si>
    <t>1102,5</t>
  </si>
  <si>
    <t>Карнаушкина Ирина</t>
  </si>
  <si>
    <t>15,0</t>
  </si>
  <si>
    <t>3. Garoosi Babak</t>
  </si>
  <si>
    <t>19,0</t>
  </si>
  <si>
    <t>24,0</t>
  </si>
  <si>
    <t xml:space="preserve">Люберцы/Московская область </t>
  </si>
  <si>
    <t>114,80</t>
  </si>
  <si>
    <t>Открытая (25.05.1987)/32</t>
  </si>
  <si>
    <t>1. Арсенин Роман</t>
  </si>
  <si>
    <t xml:space="preserve">Орёл/Орловская область </t>
  </si>
  <si>
    <t>100,20</t>
  </si>
  <si>
    <t>Открытая (27.06.1984)/35</t>
  </si>
  <si>
    <t>2. Боев Виталий</t>
  </si>
  <si>
    <t>26,0</t>
  </si>
  <si>
    <t xml:space="preserve">Калининград/Калининградская об </t>
  </si>
  <si>
    <t>Открытая (25.05.1989)/30</t>
  </si>
  <si>
    <t>1. Розинкевич Павел</t>
  </si>
  <si>
    <t xml:space="preserve">Сивачев Д. Н. </t>
  </si>
  <si>
    <t>97,90</t>
  </si>
  <si>
    <t>Мастера 40 - 49 (20.03.1975)/44</t>
  </si>
  <si>
    <t>1. Сивачев Дмитрий</t>
  </si>
  <si>
    <t>23,0</t>
  </si>
  <si>
    <t>3. Mohammadian Alireza</t>
  </si>
  <si>
    <t>Открытая (20.03.1975)/44</t>
  </si>
  <si>
    <t>2. Сивачев Дмитрий</t>
  </si>
  <si>
    <t>29,0</t>
  </si>
  <si>
    <t>1. Виноградов Алексей</t>
  </si>
  <si>
    <t xml:space="preserve">Евченков А.С. </t>
  </si>
  <si>
    <t>83,30</t>
  </si>
  <si>
    <t>Мастера 40 - 49 (21.10.1973)/45</t>
  </si>
  <si>
    <t>2. Евченков Александр</t>
  </si>
  <si>
    <t xml:space="preserve">Алексеев В. </t>
  </si>
  <si>
    <t>53,0</t>
  </si>
  <si>
    <t>Мастера 40 - 49 (08.01.1973)/46</t>
  </si>
  <si>
    <t>1. Меженин Иван</t>
  </si>
  <si>
    <t>2. Khalili Sajjad</t>
  </si>
  <si>
    <t>Открытая (08.01.1973)/46</t>
  </si>
  <si>
    <t>78,70</t>
  </si>
  <si>
    <t>Открытая (27.09.1988)/30</t>
  </si>
  <si>
    <t>2. Батыев Дмитрий</t>
  </si>
  <si>
    <t>177,0</t>
  </si>
  <si>
    <t xml:space="preserve">Брянск/Брянская область </t>
  </si>
  <si>
    <t>76,50</t>
  </si>
  <si>
    <t>Открытая (07.05.1985)/34</t>
  </si>
  <si>
    <t>1. Воронин Евгений</t>
  </si>
  <si>
    <t>57,40</t>
  </si>
  <si>
    <t>Открытая (02.06.1994)/25</t>
  </si>
  <si>
    <t>1. Рузибадалов Турсунали</t>
  </si>
  <si>
    <t xml:space="preserve">Филоненко И. </t>
  </si>
  <si>
    <t>51,80</t>
  </si>
  <si>
    <t>Мастера 40 - 49 (30.06.1972)/47</t>
  </si>
  <si>
    <t>1. Карнаушкина Ирина</t>
  </si>
  <si>
    <t>КУБОК МИРА WPF 2019
WPU Народный жим (1 вес)
Москва/ 24 августа 2019 г.</t>
  </si>
  <si>
    <t>2. Бородин Виталий</t>
  </si>
  <si>
    <t>2. Крошкин Роман</t>
  </si>
  <si>
    <t>3. Афанасьев Николай</t>
  </si>
  <si>
    <t>4. Шумаев Вячеслав</t>
  </si>
  <si>
    <t>123.2530</t>
  </si>
  <si>
    <t>125,7180</t>
  </si>
  <si>
    <t>3. Тарасов Виталий</t>
  </si>
  <si>
    <t>2. Тарасов Виталий</t>
  </si>
  <si>
    <t>181,9440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</si>
</sst>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left"/>
    </xf>
    <xf numFmtId="49" fontId="0" fillId="0" borderId="18" xfId="0" applyNumberFormat="1" applyFont="1" applyFill="1" applyBorder="1" applyAlignment="1">
      <alignment horizontal="left"/>
    </xf>
    <xf numFmtId="49" fontId="0" fillId="0" borderId="19" xfId="0" applyNumberFormat="1" applyFont="1" applyFill="1" applyBorder="1" applyAlignment="1">
      <alignment horizontal="left"/>
    </xf>
    <xf numFmtId="49" fontId="0" fillId="0" borderId="20" xfId="0" applyNumberFormat="1" applyFont="1" applyFill="1" applyBorder="1" applyAlignment="1">
      <alignment horizontal="left"/>
    </xf>
    <xf numFmtId="49" fontId="0" fillId="0" borderId="21" xfId="0" applyNumberFormat="1" applyFont="1" applyFill="1" applyBorder="1" applyAlignment="1">
      <alignment horizontal="left"/>
    </xf>
    <xf numFmtId="49" fontId="0" fillId="0" borderId="17" xfId="0" applyNumberFormat="1" applyFont="1" applyFill="1" applyBorder="1" applyAlignment="1">
      <alignment horizontal="center"/>
    </xf>
    <xf numFmtId="49" fontId="0" fillId="0" borderId="18" xfId="0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49" fontId="0" fillId="0" borderId="19" xfId="0" applyNumberFormat="1" applyFont="1" applyFill="1" applyBorder="1" applyAlignment="1">
      <alignment horizontal="center"/>
    </xf>
    <xf numFmtId="49" fontId="0" fillId="0" borderId="20" xfId="0" applyNumberFormat="1" applyFont="1" applyFill="1" applyBorder="1" applyAlignment="1">
      <alignment horizontal="center"/>
    </xf>
    <xf numFmtId="49" fontId="0" fillId="0" borderId="21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center"/>
    </xf>
    <xf numFmtId="49" fontId="6" fillId="0" borderId="19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49" fontId="6" fillId="0" borderId="2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5" fillId="0" borderId="2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opLeftCell="A22" workbookViewId="0">
      <selection activeCell="R41" sqref="R41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22" style="4" bestFit="1" customWidth="1"/>
    <col min="14" max="16384" width="9.140625" style="3"/>
  </cols>
  <sheetData>
    <row r="1" spans="1:13" s="2" customFormat="1" ht="29.1" customHeight="1" x14ac:dyDescent="0.2">
      <c r="A1" s="51" t="s">
        <v>1361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12</v>
      </c>
      <c r="H3" s="61"/>
      <c r="I3" s="61"/>
      <c r="J3" s="61"/>
      <c r="K3" s="61" t="s">
        <v>442</v>
      </c>
      <c r="L3" s="61" t="s">
        <v>3</v>
      </c>
      <c r="M3" s="62" t="s">
        <v>2</v>
      </c>
    </row>
    <row r="4" spans="1:13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60"/>
      <c r="L4" s="60"/>
      <c r="M4" s="63"/>
    </row>
    <row r="5" spans="1:13" ht="15" x14ac:dyDescent="0.2">
      <c r="A5" s="64" t="s">
        <v>699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x14ac:dyDescent="0.2">
      <c r="A6" s="7" t="s">
        <v>701</v>
      </c>
      <c r="B6" s="7" t="s">
        <v>702</v>
      </c>
      <c r="C6" s="7" t="s">
        <v>703</v>
      </c>
      <c r="D6" s="7" t="str">
        <f>"1,3470"</f>
        <v>1,3470</v>
      </c>
      <c r="E6" s="7" t="s">
        <v>34</v>
      </c>
      <c r="F6" s="7" t="s">
        <v>106</v>
      </c>
      <c r="G6" s="8" t="s">
        <v>25</v>
      </c>
      <c r="H6" s="8" t="s">
        <v>792</v>
      </c>
      <c r="I6" s="9" t="s">
        <v>811</v>
      </c>
      <c r="J6" s="9"/>
      <c r="K6" s="7" t="str">
        <f>"137,5"</f>
        <v>137,5</v>
      </c>
      <c r="L6" s="8" t="str">
        <f>"185,2125"</f>
        <v>185,2125</v>
      </c>
      <c r="M6" s="7" t="s">
        <v>704</v>
      </c>
    </row>
    <row r="8" spans="1:13" ht="15" x14ac:dyDescent="0.2">
      <c r="A8" s="50" t="s">
        <v>13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3" x14ac:dyDescent="0.2">
      <c r="A9" s="10" t="s">
        <v>1183</v>
      </c>
      <c r="B9" s="10" t="s">
        <v>1184</v>
      </c>
      <c r="C9" s="10" t="s">
        <v>1185</v>
      </c>
      <c r="D9" s="10" t="str">
        <f>"1,1355"</f>
        <v>1,1355</v>
      </c>
      <c r="E9" s="10" t="s">
        <v>34</v>
      </c>
      <c r="F9" s="10" t="s">
        <v>35</v>
      </c>
      <c r="G9" s="12" t="s">
        <v>22</v>
      </c>
      <c r="H9" s="11" t="s">
        <v>22</v>
      </c>
      <c r="I9" s="12" t="s">
        <v>25</v>
      </c>
      <c r="J9" s="12"/>
      <c r="K9" s="10" t="str">
        <f>"125,0"</f>
        <v>125,0</v>
      </c>
      <c r="L9" s="11" t="str">
        <f>"141,9375"</f>
        <v>141,9375</v>
      </c>
      <c r="M9" s="10" t="s">
        <v>1186</v>
      </c>
    </row>
    <row r="10" spans="1:13" x14ac:dyDescent="0.2">
      <c r="A10" s="24" t="s">
        <v>1188</v>
      </c>
      <c r="B10" s="24" t="s">
        <v>1189</v>
      </c>
      <c r="C10" s="24" t="s">
        <v>1190</v>
      </c>
      <c r="D10" s="24" t="str">
        <f>"1,1207"</f>
        <v>1,1207</v>
      </c>
      <c r="E10" s="24" t="s">
        <v>18</v>
      </c>
      <c r="F10" s="24" t="s">
        <v>35</v>
      </c>
      <c r="G10" s="26" t="s">
        <v>340</v>
      </c>
      <c r="H10" s="26" t="s">
        <v>1191</v>
      </c>
      <c r="I10" s="25" t="s">
        <v>128</v>
      </c>
      <c r="J10" s="25"/>
      <c r="K10" s="24" t="str">
        <f>"132,0"</f>
        <v>132,0</v>
      </c>
      <c r="L10" s="26" t="str">
        <f>"147,9324"</f>
        <v>147,9324</v>
      </c>
      <c r="M10" s="24" t="s">
        <v>708</v>
      </c>
    </row>
    <row r="11" spans="1:13" x14ac:dyDescent="0.2">
      <c r="A11" s="24" t="s">
        <v>1193</v>
      </c>
      <c r="B11" s="24" t="s">
        <v>1194</v>
      </c>
      <c r="C11" s="24" t="s">
        <v>1195</v>
      </c>
      <c r="D11" s="24" t="str">
        <f>"1,1572"</f>
        <v>1,1572</v>
      </c>
      <c r="E11" s="24" t="s">
        <v>34</v>
      </c>
      <c r="F11" s="24" t="s">
        <v>35</v>
      </c>
      <c r="G11" s="26" t="s">
        <v>39</v>
      </c>
      <c r="H11" s="26" t="s">
        <v>40</v>
      </c>
      <c r="I11" s="26" t="s">
        <v>21</v>
      </c>
      <c r="J11" s="25"/>
      <c r="K11" s="24" t="str">
        <f>"120,0"</f>
        <v>120,0</v>
      </c>
      <c r="L11" s="26" t="str">
        <f>"138,8640"</f>
        <v>138,8640</v>
      </c>
      <c r="M11" s="24" t="s">
        <v>1196</v>
      </c>
    </row>
    <row r="12" spans="1:13" x14ac:dyDescent="0.2">
      <c r="A12" s="13" t="s">
        <v>1197</v>
      </c>
      <c r="B12" s="13" t="s">
        <v>1198</v>
      </c>
      <c r="C12" s="13" t="s">
        <v>17</v>
      </c>
      <c r="D12" s="13" t="str">
        <f>"1,1236"</f>
        <v>1,1236</v>
      </c>
      <c r="E12" s="13" t="s">
        <v>34</v>
      </c>
      <c r="F12" s="13" t="s">
        <v>251</v>
      </c>
      <c r="G12" s="14" t="s">
        <v>347</v>
      </c>
      <c r="H12" s="14" t="s">
        <v>347</v>
      </c>
      <c r="I12" s="14" t="s">
        <v>347</v>
      </c>
      <c r="J12" s="14"/>
      <c r="K12" s="13" t="str">
        <f>"0.00"</f>
        <v>0.00</v>
      </c>
      <c r="L12" s="16" t="str">
        <f>"0,0000"</f>
        <v>0,0000</v>
      </c>
      <c r="M12" s="13" t="s">
        <v>73</v>
      </c>
    </row>
    <row r="14" spans="1:13" ht="15" x14ac:dyDescent="0.2">
      <c r="A14" s="50" t="s">
        <v>342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3" x14ac:dyDescent="0.2">
      <c r="A15" s="7" t="s">
        <v>1200</v>
      </c>
      <c r="B15" s="7" t="s">
        <v>1201</v>
      </c>
      <c r="C15" s="7" t="s">
        <v>816</v>
      </c>
      <c r="D15" s="7" t="str">
        <f>"0,9571"</f>
        <v>0,9571</v>
      </c>
      <c r="E15" s="7" t="s">
        <v>34</v>
      </c>
      <c r="F15" s="7" t="s">
        <v>35</v>
      </c>
      <c r="G15" s="9" t="s">
        <v>21</v>
      </c>
      <c r="H15" s="9" t="s">
        <v>340</v>
      </c>
      <c r="I15" s="8" t="s">
        <v>340</v>
      </c>
      <c r="J15" s="9"/>
      <c r="K15" s="7" t="str">
        <f>"127,5"</f>
        <v>127,5</v>
      </c>
      <c r="L15" s="8" t="str">
        <f>"122,0302"</f>
        <v>122,0302</v>
      </c>
      <c r="M15" s="7" t="s">
        <v>140</v>
      </c>
    </row>
    <row r="17" spans="1:13" ht="15" x14ac:dyDescent="0.2">
      <c r="A17" s="50" t="s">
        <v>278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3" x14ac:dyDescent="0.2">
      <c r="A18" s="7" t="s">
        <v>1203</v>
      </c>
      <c r="B18" s="7" t="s">
        <v>1204</v>
      </c>
      <c r="C18" s="7" t="s">
        <v>757</v>
      </c>
      <c r="D18" s="7" t="str">
        <f>"0,7952"</f>
        <v>0,7952</v>
      </c>
      <c r="E18" s="7" t="s">
        <v>34</v>
      </c>
      <c r="F18" s="7" t="s">
        <v>1205</v>
      </c>
      <c r="G18" s="8" t="s">
        <v>26</v>
      </c>
      <c r="H18" s="9" t="s">
        <v>54</v>
      </c>
      <c r="I18" s="8" t="s">
        <v>54</v>
      </c>
      <c r="J18" s="9"/>
      <c r="K18" s="7" t="str">
        <f>"155,0"</f>
        <v>155,0</v>
      </c>
      <c r="L18" s="8" t="str">
        <f>"123,2560"</f>
        <v>123,2560</v>
      </c>
      <c r="M18" s="7" t="s">
        <v>1206</v>
      </c>
    </row>
    <row r="20" spans="1:13" ht="15" x14ac:dyDescent="0.2">
      <c r="A20" s="50" t="s">
        <v>342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</row>
    <row r="21" spans="1:13" x14ac:dyDescent="0.2">
      <c r="A21" s="7" t="s">
        <v>1208</v>
      </c>
      <c r="B21" s="7" t="s">
        <v>1209</v>
      </c>
      <c r="C21" s="7" t="s">
        <v>797</v>
      </c>
      <c r="D21" s="7" t="str">
        <f>"0,7126"</f>
        <v>0,7126</v>
      </c>
      <c r="E21" s="7" t="s">
        <v>34</v>
      </c>
      <c r="F21" s="7" t="s">
        <v>35</v>
      </c>
      <c r="G21" s="8" t="s">
        <v>127</v>
      </c>
      <c r="H21" s="9" t="s">
        <v>129</v>
      </c>
      <c r="I21" s="8" t="s">
        <v>129</v>
      </c>
      <c r="J21" s="9"/>
      <c r="K21" s="7" t="str">
        <f>"210,0"</f>
        <v>210,0</v>
      </c>
      <c r="L21" s="8" t="str">
        <f>"193,1930"</f>
        <v>193,1930</v>
      </c>
      <c r="M21" s="7" t="s">
        <v>190</v>
      </c>
    </row>
    <row r="23" spans="1:13" ht="15" x14ac:dyDescent="0.2">
      <c r="A23" s="50" t="s">
        <v>29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3" x14ac:dyDescent="0.2">
      <c r="A24" s="10" t="s">
        <v>1211</v>
      </c>
      <c r="B24" s="10" t="s">
        <v>1212</v>
      </c>
      <c r="C24" s="10" t="s">
        <v>1213</v>
      </c>
      <c r="D24" s="10" t="str">
        <f>"0,6774"</f>
        <v>0,6774</v>
      </c>
      <c r="E24" s="10" t="s">
        <v>34</v>
      </c>
      <c r="F24" s="10" t="s">
        <v>35</v>
      </c>
      <c r="G24" s="11" t="s">
        <v>129</v>
      </c>
      <c r="H24" s="11" t="s">
        <v>152</v>
      </c>
      <c r="I24" s="11" t="s">
        <v>69</v>
      </c>
      <c r="J24" s="12"/>
      <c r="K24" s="10" t="str">
        <f>"230,0"</f>
        <v>230,0</v>
      </c>
      <c r="L24" s="11" t="str">
        <f>"155,8020"</f>
        <v>155,8020</v>
      </c>
      <c r="M24" s="10" t="s">
        <v>73</v>
      </c>
    </row>
    <row r="25" spans="1:13" x14ac:dyDescent="0.2">
      <c r="A25" s="24" t="s">
        <v>1215</v>
      </c>
      <c r="B25" s="24" t="s">
        <v>1216</v>
      </c>
      <c r="C25" s="24" t="s">
        <v>1217</v>
      </c>
      <c r="D25" s="24" t="str">
        <f>"0,6893"</f>
        <v>0,6893</v>
      </c>
      <c r="E25" s="24" t="s">
        <v>106</v>
      </c>
      <c r="F25" s="24" t="s">
        <v>1218</v>
      </c>
      <c r="G25" s="26" t="s">
        <v>72</v>
      </c>
      <c r="H25" s="25" t="s">
        <v>166</v>
      </c>
      <c r="I25" s="26" t="s">
        <v>166</v>
      </c>
      <c r="J25" s="25"/>
      <c r="K25" s="24" t="str">
        <f>"245,0"</f>
        <v>245,0</v>
      </c>
      <c r="L25" s="26" t="str">
        <f>"168,8785"</f>
        <v>168,8785</v>
      </c>
      <c r="M25" s="24" t="s">
        <v>1219</v>
      </c>
    </row>
    <row r="26" spans="1:13" x14ac:dyDescent="0.2">
      <c r="A26" s="24" t="s">
        <v>1221</v>
      </c>
      <c r="B26" s="24" t="s">
        <v>1222</v>
      </c>
      <c r="C26" s="24" t="s">
        <v>1223</v>
      </c>
      <c r="D26" s="24" t="str">
        <f>"0,6888"</f>
        <v>0,6888</v>
      </c>
      <c r="E26" s="24" t="s">
        <v>34</v>
      </c>
      <c r="F26" s="24" t="s">
        <v>970</v>
      </c>
      <c r="G26" s="26" t="s">
        <v>136</v>
      </c>
      <c r="H26" s="25" t="s">
        <v>127</v>
      </c>
      <c r="I26" s="25" t="s">
        <v>127</v>
      </c>
      <c r="J26" s="25"/>
      <c r="K26" s="24" t="str">
        <f>"180,0"</f>
        <v>180,0</v>
      </c>
      <c r="L26" s="26" t="str">
        <f>"123,9840"</f>
        <v>123,9840</v>
      </c>
      <c r="M26" s="24" t="s">
        <v>1224</v>
      </c>
    </row>
    <row r="27" spans="1:13" x14ac:dyDescent="0.2">
      <c r="A27" s="24" t="s">
        <v>379</v>
      </c>
      <c r="B27" s="24" t="s">
        <v>380</v>
      </c>
      <c r="C27" s="24" t="s">
        <v>381</v>
      </c>
      <c r="D27" s="24" t="str">
        <f>"0,6759"</f>
        <v>0,6759</v>
      </c>
      <c r="E27" s="24" t="s">
        <v>34</v>
      </c>
      <c r="F27" s="24" t="s">
        <v>382</v>
      </c>
      <c r="G27" s="25" t="s">
        <v>136</v>
      </c>
      <c r="H27" s="25" t="s">
        <v>383</v>
      </c>
      <c r="I27" s="25" t="s">
        <v>383</v>
      </c>
      <c r="J27" s="25"/>
      <c r="K27" s="24" t="str">
        <f>"0.00"</f>
        <v>0.00</v>
      </c>
      <c r="L27" s="26" t="str">
        <f>"0,0000"</f>
        <v>0,0000</v>
      </c>
      <c r="M27" s="24" t="s">
        <v>291</v>
      </c>
    </row>
    <row r="28" spans="1:13" x14ac:dyDescent="0.2">
      <c r="A28" s="13" t="s">
        <v>859</v>
      </c>
      <c r="B28" s="13" t="s">
        <v>860</v>
      </c>
      <c r="C28" s="13" t="s">
        <v>861</v>
      </c>
      <c r="D28" s="13" t="str">
        <f>"0,7048"</f>
        <v>0,7048</v>
      </c>
      <c r="E28" s="13" t="s">
        <v>34</v>
      </c>
      <c r="F28" s="13" t="s">
        <v>499</v>
      </c>
      <c r="G28" s="16" t="s">
        <v>118</v>
      </c>
      <c r="H28" s="16" t="s">
        <v>27</v>
      </c>
      <c r="I28" s="14" t="s">
        <v>54</v>
      </c>
      <c r="J28" s="14"/>
      <c r="K28" s="13" t="str">
        <f>"150,0"</f>
        <v>150,0</v>
      </c>
      <c r="L28" s="16" t="str">
        <f>"185,6443"</f>
        <v>185,6443</v>
      </c>
      <c r="M28" s="13" t="s">
        <v>862</v>
      </c>
    </row>
    <row r="30" spans="1:13" ht="15" x14ac:dyDescent="0.2">
      <c r="A30" s="50" t="s">
        <v>45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3" x14ac:dyDescent="0.2">
      <c r="A31" s="10" t="s">
        <v>1226</v>
      </c>
      <c r="B31" s="10" t="s">
        <v>1227</v>
      </c>
      <c r="C31" s="10" t="s">
        <v>1138</v>
      </c>
      <c r="D31" s="10" t="str">
        <f>"0,6507"</f>
        <v>0,6507</v>
      </c>
      <c r="E31" s="10" t="s">
        <v>34</v>
      </c>
      <c r="F31" s="10" t="s">
        <v>839</v>
      </c>
      <c r="G31" s="11" t="s">
        <v>41</v>
      </c>
      <c r="H31" s="11" t="s">
        <v>127</v>
      </c>
      <c r="I31" s="11" t="s">
        <v>129</v>
      </c>
      <c r="J31" s="12"/>
      <c r="K31" s="10" t="str">
        <f>"210,0"</f>
        <v>210,0</v>
      </c>
      <c r="L31" s="11" t="str">
        <f>"136,6470"</f>
        <v>136,6470</v>
      </c>
      <c r="M31" s="10" t="s">
        <v>73</v>
      </c>
    </row>
    <row r="32" spans="1:13" x14ac:dyDescent="0.2">
      <c r="A32" s="24" t="s">
        <v>1229</v>
      </c>
      <c r="B32" s="24" t="s">
        <v>1230</v>
      </c>
      <c r="C32" s="24" t="s">
        <v>871</v>
      </c>
      <c r="D32" s="24" t="str">
        <f>"0,6421"</f>
        <v>0,6421</v>
      </c>
      <c r="E32" s="24" t="s">
        <v>34</v>
      </c>
      <c r="F32" s="24" t="s">
        <v>35</v>
      </c>
      <c r="G32" s="26" t="s">
        <v>69</v>
      </c>
      <c r="H32" s="26" t="s">
        <v>55</v>
      </c>
      <c r="I32" s="25" t="s">
        <v>158</v>
      </c>
      <c r="J32" s="25"/>
      <c r="K32" s="24" t="str">
        <f>"250,0"</f>
        <v>250,0</v>
      </c>
      <c r="L32" s="26" t="str">
        <f>"160,5250"</f>
        <v>160,5250</v>
      </c>
      <c r="M32" s="24" t="s">
        <v>73</v>
      </c>
    </row>
    <row r="33" spans="1:13" x14ac:dyDescent="0.2">
      <c r="A33" s="24" t="s">
        <v>1232</v>
      </c>
      <c r="B33" s="24" t="s">
        <v>1233</v>
      </c>
      <c r="C33" s="24" t="s">
        <v>903</v>
      </c>
      <c r="D33" s="24" t="str">
        <f>"0,6402"</f>
        <v>0,6402</v>
      </c>
      <c r="E33" s="24" t="s">
        <v>34</v>
      </c>
      <c r="F33" s="24" t="s">
        <v>106</v>
      </c>
      <c r="G33" s="25" t="s">
        <v>69</v>
      </c>
      <c r="H33" s="26" t="s">
        <v>69</v>
      </c>
      <c r="I33" s="25" t="s">
        <v>166</v>
      </c>
      <c r="J33" s="25"/>
      <c r="K33" s="24" t="str">
        <f>"230,0"</f>
        <v>230,0</v>
      </c>
      <c r="L33" s="26" t="str">
        <f>"147,2460"</f>
        <v>147,2460</v>
      </c>
      <c r="M33" s="24" t="s">
        <v>140</v>
      </c>
    </row>
    <row r="34" spans="1:13" x14ac:dyDescent="0.2">
      <c r="A34" s="24" t="s">
        <v>1569</v>
      </c>
      <c r="B34" s="4" t="s">
        <v>287</v>
      </c>
      <c r="C34" s="24" t="s">
        <v>288</v>
      </c>
      <c r="D34" s="4" t="str">
        <f>"0,6487"</f>
        <v>0,6487</v>
      </c>
      <c r="E34" s="24" t="s">
        <v>34</v>
      </c>
      <c r="F34" s="4" t="s">
        <v>35</v>
      </c>
      <c r="G34" s="26" t="s">
        <v>108</v>
      </c>
      <c r="H34" s="3" t="s">
        <v>41</v>
      </c>
      <c r="I34" s="25" t="s">
        <v>290</v>
      </c>
      <c r="J34" s="34"/>
      <c r="K34" s="24" t="s">
        <v>41</v>
      </c>
      <c r="L34" s="3" t="s">
        <v>1567</v>
      </c>
      <c r="M34" s="24" t="s">
        <v>291</v>
      </c>
    </row>
    <row r="35" spans="1:13" x14ac:dyDescent="0.2">
      <c r="A35" s="24" t="s">
        <v>1229</v>
      </c>
      <c r="B35" s="24" t="s">
        <v>1234</v>
      </c>
      <c r="C35" s="24" t="s">
        <v>871</v>
      </c>
      <c r="D35" s="24" t="str">
        <f>"0,6421"</f>
        <v>0,6421</v>
      </c>
      <c r="E35" s="24" t="s">
        <v>34</v>
      </c>
      <c r="F35" s="24" t="s">
        <v>35</v>
      </c>
      <c r="G35" s="26" t="s">
        <v>69</v>
      </c>
      <c r="H35" s="26" t="s">
        <v>55</v>
      </c>
      <c r="I35" s="25" t="s">
        <v>158</v>
      </c>
      <c r="J35" s="25"/>
      <c r="K35" s="24" t="str">
        <f>"250,0"</f>
        <v>250,0</v>
      </c>
      <c r="L35" s="26" t="str">
        <f>"160,5250"</f>
        <v>160,5250</v>
      </c>
      <c r="M35" s="24" t="s">
        <v>73</v>
      </c>
    </row>
    <row r="36" spans="1:13" x14ac:dyDescent="0.2">
      <c r="A36" s="24" t="s">
        <v>1570</v>
      </c>
      <c r="B36" s="4" t="s">
        <v>292</v>
      </c>
      <c r="C36" s="24" t="s">
        <v>288</v>
      </c>
      <c r="D36" s="4" t="str">
        <f>"0,6487"</f>
        <v>0,6487</v>
      </c>
      <c r="E36" s="24" t="s">
        <v>34</v>
      </c>
      <c r="F36" s="4" t="s">
        <v>35</v>
      </c>
      <c r="G36" s="26" t="s">
        <v>108</v>
      </c>
      <c r="H36" s="3" t="s">
        <v>41</v>
      </c>
      <c r="I36" s="25" t="s">
        <v>290</v>
      </c>
      <c r="J36" s="34"/>
      <c r="K36" s="24" t="s">
        <v>41</v>
      </c>
      <c r="L36" s="3" t="s">
        <v>1568</v>
      </c>
      <c r="M36" s="24" t="s">
        <v>291</v>
      </c>
    </row>
    <row r="37" spans="1:13" x14ac:dyDescent="0.2">
      <c r="A37" s="24" t="s">
        <v>1236</v>
      </c>
      <c r="B37" s="24" t="s">
        <v>1237</v>
      </c>
      <c r="C37" s="24" t="s">
        <v>1238</v>
      </c>
      <c r="D37" s="24" t="str">
        <f>"0,6491"</f>
        <v>0,6491</v>
      </c>
      <c r="E37" s="24" t="s">
        <v>34</v>
      </c>
      <c r="F37" s="24" t="s">
        <v>35</v>
      </c>
      <c r="G37" s="26" t="s">
        <v>129</v>
      </c>
      <c r="H37" s="26" t="s">
        <v>152</v>
      </c>
      <c r="I37" s="25" t="s">
        <v>69</v>
      </c>
      <c r="J37" s="25"/>
      <c r="K37" s="24" t="str">
        <f>"220,0"</f>
        <v>220,0</v>
      </c>
      <c r="L37" s="26" t="str">
        <f>"202,9216"</f>
        <v>202,9216</v>
      </c>
      <c r="M37" s="24" t="s">
        <v>190</v>
      </c>
    </row>
    <row r="38" spans="1:13" x14ac:dyDescent="0.2">
      <c r="A38" s="13" t="s">
        <v>1240</v>
      </c>
      <c r="B38" s="13" t="s">
        <v>1241</v>
      </c>
      <c r="C38" s="13" t="s">
        <v>1242</v>
      </c>
      <c r="D38" s="13" t="str">
        <f>"0,6579"</f>
        <v>0,6579</v>
      </c>
      <c r="E38" s="13" t="s">
        <v>34</v>
      </c>
      <c r="F38" s="13" t="s">
        <v>1243</v>
      </c>
      <c r="G38" s="16" t="s">
        <v>41</v>
      </c>
      <c r="H38" s="16" t="s">
        <v>217</v>
      </c>
      <c r="I38" s="16" t="s">
        <v>127</v>
      </c>
      <c r="J38" s="14"/>
      <c r="K38" s="13" t="str">
        <f>"200,0"</f>
        <v>200,0</v>
      </c>
      <c r="L38" s="16" t="str">
        <f>"221,1860"</f>
        <v>221,1860</v>
      </c>
      <c r="M38" s="13" t="s">
        <v>1244</v>
      </c>
    </row>
    <row r="40" spans="1:13" ht="15" x14ac:dyDescent="0.2">
      <c r="A40" s="50" t="s">
        <v>121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3" x14ac:dyDescent="0.2">
      <c r="A41" s="10" t="s">
        <v>1246</v>
      </c>
      <c r="B41" s="35" t="s">
        <v>1247</v>
      </c>
      <c r="C41" s="10" t="s">
        <v>1248</v>
      </c>
      <c r="D41" s="35" t="str">
        <f>"0,6244"</f>
        <v>0,6244</v>
      </c>
      <c r="E41" s="10" t="s">
        <v>34</v>
      </c>
      <c r="F41" s="35" t="s">
        <v>1249</v>
      </c>
      <c r="G41" s="11" t="s">
        <v>127</v>
      </c>
      <c r="H41" s="40" t="s">
        <v>115</v>
      </c>
      <c r="I41" s="12" t="s">
        <v>372</v>
      </c>
      <c r="J41" s="46"/>
      <c r="K41" s="10" t="str">
        <f>"215,0"</f>
        <v>215,0</v>
      </c>
      <c r="L41" s="40" t="str">
        <f>"134,2460"</f>
        <v>134,2460</v>
      </c>
      <c r="M41" s="10" t="s">
        <v>190</v>
      </c>
    </row>
    <row r="42" spans="1:13" x14ac:dyDescent="0.2">
      <c r="A42" s="24" t="s">
        <v>1251</v>
      </c>
      <c r="B42" s="36" t="s">
        <v>1252</v>
      </c>
      <c r="C42" s="24" t="s">
        <v>1253</v>
      </c>
      <c r="D42" s="36" t="str">
        <f>"0,6174"</f>
        <v>0,6174</v>
      </c>
      <c r="E42" s="24" t="s">
        <v>18</v>
      </c>
      <c r="F42" s="36" t="s">
        <v>1205</v>
      </c>
      <c r="G42" s="26" t="s">
        <v>41</v>
      </c>
      <c r="H42" s="42" t="s">
        <v>43</v>
      </c>
      <c r="I42" s="25" t="s">
        <v>43</v>
      </c>
      <c r="J42" s="42"/>
      <c r="K42" s="24" t="str">
        <f>"190,0"</f>
        <v>190,0</v>
      </c>
      <c r="L42" s="41" t="str">
        <f>"117,3060"</f>
        <v>117,3060</v>
      </c>
      <c r="M42" s="24" t="s">
        <v>1206</v>
      </c>
    </row>
    <row r="43" spans="1:13" x14ac:dyDescent="0.2">
      <c r="A43" s="24" t="s">
        <v>1255</v>
      </c>
      <c r="B43" s="36" t="s">
        <v>1256</v>
      </c>
      <c r="C43" s="24" t="s">
        <v>1257</v>
      </c>
      <c r="D43" s="36" t="str">
        <f>"0,6147"</f>
        <v>0,6147</v>
      </c>
      <c r="E43" s="24" t="s">
        <v>34</v>
      </c>
      <c r="F43" s="36" t="s">
        <v>1258</v>
      </c>
      <c r="G43" s="26" t="s">
        <v>69</v>
      </c>
      <c r="H43" s="41" t="s">
        <v>55</v>
      </c>
      <c r="I43" s="26" t="s">
        <v>158</v>
      </c>
      <c r="J43" s="42"/>
      <c r="K43" s="24" t="str">
        <f>"265,0"</f>
        <v>265,0</v>
      </c>
      <c r="L43" s="41" t="str">
        <f>"162,8955"</f>
        <v>162,8955</v>
      </c>
      <c r="M43" s="24" t="s">
        <v>1259</v>
      </c>
    </row>
    <row r="44" spans="1:13" x14ac:dyDescent="0.2">
      <c r="A44" s="24" t="s">
        <v>1261</v>
      </c>
      <c r="B44" s="36" t="s">
        <v>1262</v>
      </c>
      <c r="C44" s="24" t="s">
        <v>1263</v>
      </c>
      <c r="D44" s="36" t="str">
        <f>"0,6260"</f>
        <v>0,6260</v>
      </c>
      <c r="E44" s="24" t="s">
        <v>663</v>
      </c>
      <c r="F44" s="36" t="s">
        <v>1264</v>
      </c>
      <c r="G44" s="26" t="s">
        <v>55</v>
      </c>
      <c r="H44" s="41" t="s">
        <v>373</v>
      </c>
      <c r="I44" s="26" t="s">
        <v>51</v>
      </c>
      <c r="J44" s="42"/>
      <c r="K44" s="24" t="str">
        <f>"260,0"</f>
        <v>260,0</v>
      </c>
      <c r="L44" s="41" t="str">
        <f>"162,7600"</f>
        <v>162,7600</v>
      </c>
      <c r="M44" s="24" t="s">
        <v>73</v>
      </c>
    </row>
    <row r="45" spans="1:13" x14ac:dyDescent="0.2">
      <c r="A45" s="24" t="s">
        <v>1266</v>
      </c>
      <c r="B45" s="36" t="s">
        <v>1267</v>
      </c>
      <c r="C45" s="24" t="s">
        <v>125</v>
      </c>
      <c r="D45" s="36" t="str">
        <f>"0,6136"</f>
        <v>0,6136</v>
      </c>
      <c r="E45" s="24" t="s">
        <v>34</v>
      </c>
      <c r="F45" s="36" t="s">
        <v>50</v>
      </c>
      <c r="G45" s="26" t="s">
        <v>69</v>
      </c>
      <c r="H45" s="41" t="s">
        <v>166</v>
      </c>
      <c r="I45" s="25" t="s">
        <v>51</v>
      </c>
      <c r="J45" s="42"/>
      <c r="K45" s="24" t="str">
        <f>"245,0"</f>
        <v>245,0</v>
      </c>
      <c r="L45" s="41" t="str">
        <f>"150,3320"</f>
        <v>150,3320</v>
      </c>
      <c r="M45" s="24" t="s">
        <v>73</v>
      </c>
    </row>
    <row r="46" spans="1:13" x14ac:dyDescent="0.2">
      <c r="A46" s="24" t="s">
        <v>1269</v>
      </c>
      <c r="B46" s="36" t="s">
        <v>1270</v>
      </c>
      <c r="C46" s="24" t="s">
        <v>296</v>
      </c>
      <c r="D46" s="36" t="str">
        <f>"0,6144"</f>
        <v>0,6144</v>
      </c>
      <c r="E46" s="24" t="s">
        <v>34</v>
      </c>
      <c r="F46" s="36" t="s">
        <v>839</v>
      </c>
      <c r="G46" s="26" t="s">
        <v>152</v>
      </c>
      <c r="H46" s="41" t="s">
        <v>69</v>
      </c>
      <c r="I46" s="26" t="s">
        <v>117</v>
      </c>
      <c r="J46" s="42"/>
      <c r="K46" s="24" t="str">
        <f>"237,5"</f>
        <v>237,5</v>
      </c>
      <c r="L46" s="41" t="str">
        <f>"145,9200"</f>
        <v>145,9200</v>
      </c>
      <c r="M46" s="24" t="s">
        <v>1271</v>
      </c>
    </row>
    <row r="47" spans="1:13" x14ac:dyDescent="0.2">
      <c r="A47" s="13" t="s">
        <v>1273</v>
      </c>
      <c r="B47" s="37" t="s">
        <v>1274</v>
      </c>
      <c r="C47" s="13" t="s">
        <v>1275</v>
      </c>
      <c r="D47" s="37" t="str">
        <f>"0,6191"</f>
        <v>0,6191</v>
      </c>
      <c r="E47" s="13" t="s">
        <v>34</v>
      </c>
      <c r="F47" s="37" t="s">
        <v>194</v>
      </c>
      <c r="G47" s="14" t="s">
        <v>136</v>
      </c>
      <c r="H47" s="43" t="s">
        <v>127</v>
      </c>
      <c r="I47" s="14" t="s">
        <v>554</v>
      </c>
      <c r="J47" s="47"/>
      <c r="K47" s="13" t="str">
        <f>"200,0"</f>
        <v>200,0</v>
      </c>
      <c r="L47" s="43" t="str">
        <f>"151,6795"</f>
        <v>151,6795</v>
      </c>
      <c r="M47" s="13" t="s">
        <v>1276</v>
      </c>
    </row>
    <row r="49" spans="1:13" ht="15" x14ac:dyDescent="0.2">
      <c r="A49" s="65" t="s">
        <v>64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</row>
    <row r="50" spans="1:13" x14ac:dyDescent="0.2">
      <c r="A50" s="10" t="s">
        <v>1278</v>
      </c>
      <c r="B50" s="10" t="s">
        <v>1279</v>
      </c>
      <c r="C50" s="10" t="s">
        <v>157</v>
      </c>
      <c r="D50" s="10" t="str">
        <f>"0,5905"</f>
        <v>0,5905</v>
      </c>
      <c r="E50" s="10" t="s">
        <v>34</v>
      </c>
      <c r="F50" s="10" t="s">
        <v>1205</v>
      </c>
      <c r="G50" s="11" t="s">
        <v>70</v>
      </c>
      <c r="H50" s="11" t="s">
        <v>51</v>
      </c>
      <c r="I50" s="11" t="s">
        <v>1280</v>
      </c>
      <c r="J50" s="12"/>
      <c r="K50" s="10" t="str">
        <f>"272,5"</f>
        <v>272,5</v>
      </c>
      <c r="L50" s="11" t="str">
        <f>"160,9112"</f>
        <v>160,9112</v>
      </c>
      <c r="M50" s="10" t="s">
        <v>1206</v>
      </c>
    </row>
    <row r="51" spans="1:13" x14ac:dyDescent="0.2">
      <c r="A51" s="24" t="s">
        <v>1282</v>
      </c>
      <c r="B51" s="24" t="s">
        <v>1283</v>
      </c>
      <c r="C51" s="24" t="s">
        <v>1284</v>
      </c>
      <c r="D51" s="24" t="str">
        <f>"0,5988"</f>
        <v>0,5988</v>
      </c>
      <c r="E51" s="24" t="s">
        <v>34</v>
      </c>
      <c r="F51" s="24" t="s">
        <v>1285</v>
      </c>
      <c r="G51" s="26" t="s">
        <v>55</v>
      </c>
      <c r="H51" s="26" t="s">
        <v>51</v>
      </c>
      <c r="I51" s="25" t="s">
        <v>62</v>
      </c>
      <c r="J51" s="25"/>
      <c r="K51" s="24" t="str">
        <f>"260,0"</f>
        <v>260,0</v>
      </c>
      <c r="L51" s="26" t="str">
        <f>"155,6880"</f>
        <v>155,6880</v>
      </c>
      <c r="M51" s="24" t="s">
        <v>1286</v>
      </c>
    </row>
    <row r="52" spans="1:13" x14ac:dyDescent="0.2">
      <c r="A52" s="24" t="s">
        <v>1288</v>
      </c>
      <c r="B52" s="24" t="s">
        <v>1289</v>
      </c>
      <c r="C52" s="24" t="s">
        <v>1290</v>
      </c>
      <c r="D52" s="24" t="str">
        <f>"0,6021"</f>
        <v>0,6021</v>
      </c>
      <c r="E52" s="24" t="s">
        <v>34</v>
      </c>
      <c r="F52" s="24" t="s">
        <v>839</v>
      </c>
      <c r="G52" s="26" t="s">
        <v>69</v>
      </c>
      <c r="H52" s="26" t="s">
        <v>166</v>
      </c>
      <c r="I52" s="25" t="s">
        <v>297</v>
      </c>
      <c r="J52" s="25"/>
      <c r="K52" s="24" t="str">
        <f>"245,0"</f>
        <v>245,0</v>
      </c>
      <c r="L52" s="26" t="str">
        <f>"147,5145"</f>
        <v>147,5145</v>
      </c>
      <c r="M52" s="24" t="s">
        <v>1291</v>
      </c>
    </row>
    <row r="53" spans="1:13" x14ac:dyDescent="0.2">
      <c r="A53" s="24" t="s">
        <v>1293</v>
      </c>
      <c r="B53" s="24" t="s">
        <v>1294</v>
      </c>
      <c r="C53" s="24" t="s">
        <v>1295</v>
      </c>
      <c r="D53" s="24" t="str">
        <f>"0,5956"</f>
        <v>0,5956</v>
      </c>
      <c r="E53" s="24" t="s">
        <v>34</v>
      </c>
      <c r="F53" s="24" t="s">
        <v>1296</v>
      </c>
      <c r="G53" s="26" t="s">
        <v>554</v>
      </c>
      <c r="H53" s="26" t="s">
        <v>166</v>
      </c>
      <c r="I53" s="25" t="s">
        <v>52</v>
      </c>
      <c r="J53" s="25"/>
      <c r="K53" s="24" t="str">
        <f>"245,0"</f>
        <v>245,0</v>
      </c>
      <c r="L53" s="26" t="str">
        <f>"145,9220"</f>
        <v>145,9220</v>
      </c>
      <c r="M53" s="24" t="s">
        <v>1297</v>
      </c>
    </row>
    <row r="54" spans="1:13" x14ac:dyDescent="0.2">
      <c r="A54" s="24" t="s">
        <v>1299</v>
      </c>
      <c r="B54" s="24" t="s">
        <v>1300</v>
      </c>
      <c r="C54" s="24" t="s">
        <v>1301</v>
      </c>
      <c r="D54" s="24" t="str">
        <f>"0,6028"</f>
        <v>0,6028</v>
      </c>
      <c r="E54" s="24" t="s">
        <v>34</v>
      </c>
      <c r="F54" s="24" t="s">
        <v>910</v>
      </c>
      <c r="G54" s="26" t="s">
        <v>127</v>
      </c>
      <c r="H54" s="26" t="s">
        <v>42</v>
      </c>
      <c r="I54" s="26" t="s">
        <v>115</v>
      </c>
      <c r="J54" s="25"/>
      <c r="K54" s="24" t="str">
        <f>"215,0"</f>
        <v>215,0</v>
      </c>
      <c r="L54" s="26" t="str">
        <f>"167,3162"</f>
        <v>167,3162</v>
      </c>
      <c r="M54" s="24" t="s">
        <v>1302</v>
      </c>
    </row>
    <row r="55" spans="1:13" x14ac:dyDescent="0.2">
      <c r="A55" s="13" t="s">
        <v>1304</v>
      </c>
      <c r="B55" s="13" t="s">
        <v>1305</v>
      </c>
      <c r="C55" s="13" t="s">
        <v>1306</v>
      </c>
      <c r="D55" s="13" t="str">
        <f>"0,5903"</f>
        <v>0,5903</v>
      </c>
      <c r="E55" s="13" t="s">
        <v>34</v>
      </c>
      <c r="F55" s="13" t="s">
        <v>1307</v>
      </c>
      <c r="G55" s="16" t="s">
        <v>115</v>
      </c>
      <c r="H55" s="16" t="s">
        <v>116</v>
      </c>
      <c r="I55" s="16" t="s">
        <v>117</v>
      </c>
      <c r="J55" s="14"/>
      <c r="K55" s="13" t="str">
        <f>"237,5"</f>
        <v>237,5</v>
      </c>
      <c r="L55" s="16" t="str">
        <f>"195,2934"</f>
        <v>195,2934</v>
      </c>
      <c r="M55" s="13" t="s">
        <v>190</v>
      </c>
    </row>
    <row r="57" spans="1:13" ht="15" x14ac:dyDescent="0.2">
      <c r="A57" s="65" t="s">
        <v>161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</row>
    <row r="58" spans="1:13" x14ac:dyDescent="0.2">
      <c r="A58" s="10" t="s">
        <v>1309</v>
      </c>
      <c r="B58" s="10" t="s">
        <v>1310</v>
      </c>
      <c r="C58" s="10" t="s">
        <v>1311</v>
      </c>
      <c r="D58" s="10" t="str">
        <f>"0,5712"</f>
        <v>0,5712</v>
      </c>
      <c r="E58" s="10" t="s">
        <v>18</v>
      </c>
      <c r="F58" s="10" t="s">
        <v>35</v>
      </c>
      <c r="G58" s="11" t="s">
        <v>152</v>
      </c>
      <c r="H58" s="11" t="s">
        <v>70</v>
      </c>
      <c r="I58" s="11" t="s">
        <v>297</v>
      </c>
      <c r="J58" s="12"/>
      <c r="K58" s="10" t="str">
        <f>"252,5"</f>
        <v>252,5</v>
      </c>
      <c r="L58" s="11" t="str">
        <f>"144,2280"</f>
        <v>144,2280</v>
      </c>
      <c r="M58" s="10" t="s">
        <v>708</v>
      </c>
    </row>
    <row r="59" spans="1:13" x14ac:dyDescent="0.2">
      <c r="A59" s="13" t="s">
        <v>1313</v>
      </c>
      <c r="B59" s="13" t="s">
        <v>1314</v>
      </c>
      <c r="C59" s="13" t="s">
        <v>1315</v>
      </c>
      <c r="D59" s="13" t="str">
        <f>"0,5808"</f>
        <v>0,5808</v>
      </c>
      <c r="E59" s="13" t="s">
        <v>34</v>
      </c>
      <c r="F59" s="13" t="s">
        <v>35</v>
      </c>
      <c r="G59" s="16" t="s">
        <v>152</v>
      </c>
      <c r="H59" s="16" t="s">
        <v>69</v>
      </c>
      <c r="I59" s="16" t="s">
        <v>70</v>
      </c>
      <c r="J59" s="14"/>
      <c r="K59" s="13" t="str">
        <f>"240,0"</f>
        <v>240,0</v>
      </c>
      <c r="L59" s="16" t="str">
        <f>"147,0586"</f>
        <v>147,0586</v>
      </c>
      <c r="M59" s="13" t="s">
        <v>1316</v>
      </c>
    </row>
    <row r="61" spans="1:13" ht="15" x14ac:dyDescent="0.2">
      <c r="E61" s="15" t="s">
        <v>74</v>
      </c>
    </row>
    <row r="62" spans="1:13" ht="15" x14ac:dyDescent="0.2">
      <c r="E62" s="15" t="s">
        <v>75</v>
      </c>
    </row>
    <row r="63" spans="1:13" ht="15" x14ac:dyDescent="0.2">
      <c r="E63" s="15" t="s">
        <v>76</v>
      </c>
    </row>
    <row r="64" spans="1:13" ht="15" x14ac:dyDescent="0.2">
      <c r="E64" s="15" t="s">
        <v>77</v>
      </c>
    </row>
    <row r="65" spans="1:5" ht="15" x14ac:dyDescent="0.2">
      <c r="E65" s="15" t="s">
        <v>77</v>
      </c>
    </row>
    <row r="66" spans="1:5" ht="15" x14ac:dyDescent="0.2">
      <c r="E66" s="15" t="s">
        <v>78</v>
      </c>
    </row>
    <row r="67" spans="1:5" ht="15" x14ac:dyDescent="0.2">
      <c r="E67" s="15"/>
    </row>
    <row r="69" spans="1:5" ht="18" x14ac:dyDescent="0.25">
      <c r="A69" s="17" t="s">
        <v>79</v>
      </c>
      <c r="B69" s="17"/>
    </row>
    <row r="70" spans="1:5" ht="15" x14ac:dyDescent="0.2">
      <c r="A70" s="18" t="s">
        <v>80</v>
      </c>
      <c r="B70" s="18"/>
    </row>
    <row r="71" spans="1:5" ht="14.25" x14ac:dyDescent="0.2">
      <c r="A71" s="20"/>
      <c r="B71" s="21" t="s">
        <v>1042</v>
      </c>
    </row>
    <row r="72" spans="1:5" ht="15" x14ac:dyDescent="0.2">
      <c r="A72" s="22" t="s">
        <v>82</v>
      </c>
      <c r="B72" s="22" t="s">
        <v>83</v>
      </c>
      <c r="C72" s="22" t="s">
        <v>84</v>
      </c>
      <c r="D72" s="22" t="s">
        <v>85</v>
      </c>
      <c r="E72" s="22" t="s">
        <v>86</v>
      </c>
    </row>
    <row r="73" spans="1:5" x14ac:dyDescent="0.2">
      <c r="A73" s="19" t="s">
        <v>1182</v>
      </c>
      <c r="B73" s="4" t="s">
        <v>169</v>
      </c>
      <c r="C73" s="4" t="s">
        <v>88</v>
      </c>
      <c r="D73" s="4" t="s">
        <v>22</v>
      </c>
      <c r="E73" s="23" t="s">
        <v>1317</v>
      </c>
    </row>
    <row r="75" spans="1:5" ht="14.25" x14ac:dyDescent="0.2">
      <c r="A75" s="20"/>
      <c r="B75" s="21" t="s">
        <v>92</v>
      </c>
    </row>
    <row r="76" spans="1:5" ht="15" x14ac:dyDescent="0.2">
      <c r="A76" s="22" t="s">
        <v>82</v>
      </c>
      <c r="B76" s="22" t="s">
        <v>83</v>
      </c>
      <c r="C76" s="22" t="s">
        <v>84</v>
      </c>
      <c r="D76" s="22" t="s">
        <v>85</v>
      </c>
      <c r="E76" s="22" t="s">
        <v>86</v>
      </c>
    </row>
    <row r="77" spans="1:5" x14ac:dyDescent="0.2">
      <c r="A77" s="19" t="s">
        <v>700</v>
      </c>
      <c r="B77" s="4" t="s">
        <v>92</v>
      </c>
      <c r="C77" s="4" t="s">
        <v>1044</v>
      </c>
      <c r="D77" s="4" t="s">
        <v>792</v>
      </c>
      <c r="E77" s="23" t="s">
        <v>1318</v>
      </c>
    </row>
    <row r="78" spans="1:5" x14ac:dyDescent="0.2">
      <c r="A78" s="19" t="s">
        <v>1187</v>
      </c>
      <c r="B78" s="4" t="s">
        <v>92</v>
      </c>
      <c r="C78" s="4" t="s">
        <v>88</v>
      </c>
      <c r="D78" s="4" t="s">
        <v>1191</v>
      </c>
      <c r="E78" s="23" t="s">
        <v>1319</v>
      </c>
    </row>
    <row r="79" spans="1:5" x14ac:dyDescent="0.2">
      <c r="A79" s="19" t="s">
        <v>1192</v>
      </c>
      <c r="B79" s="4" t="s">
        <v>92</v>
      </c>
      <c r="C79" s="4" t="s">
        <v>88</v>
      </c>
      <c r="D79" s="4" t="s">
        <v>21</v>
      </c>
      <c r="E79" s="23" t="s">
        <v>1320</v>
      </c>
    </row>
    <row r="80" spans="1:5" x14ac:dyDescent="0.2">
      <c r="A80" s="19" t="s">
        <v>1199</v>
      </c>
      <c r="B80" s="4" t="s">
        <v>92</v>
      </c>
      <c r="C80" s="4" t="s">
        <v>414</v>
      </c>
      <c r="D80" s="4" t="s">
        <v>340</v>
      </c>
      <c r="E80" s="23" t="s">
        <v>1321</v>
      </c>
    </row>
    <row r="83" spans="1:5" ht="15" x14ac:dyDescent="0.2">
      <c r="A83" s="18" t="s">
        <v>91</v>
      </c>
      <c r="B83" s="18"/>
    </row>
    <row r="84" spans="1:5" ht="14.25" x14ac:dyDescent="0.2">
      <c r="A84" s="20"/>
      <c r="B84" s="21" t="s">
        <v>422</v>
      </c>
    </row>
    <row r="85" spans="1:5" ht="15" x14ac:dyDescent="0.2">
      <c r="A85" s="22" t="s">
        <v>82</v>
      </c>
      <c r="B85" s="22" t="s">
        <v>83</v>
      </c>
      <c r="C85" s="22" t="s">
        <v>84</v>
      </c>
      <c r="D85" s="22" t="s">
        <v>85</v>
      </c>
      <c r="E85" s="22" t="s">
        <v>86</v>
      </c>
    </row>
    <row r="86" spans="1:5" x14ac:dyDescent="0.2">
      <c r="A86" s="19" t="s">
        <v>1210</v>
      </c>
      <c r="B86" s="4" t="s">
        <v>423</v>
      </c>
      <c r="C86" s="4" t="s">
        <v>99</v>
      </c>
      <c r="D86" s="4" t="s">
        <v>69</v>
      </c>
      <c r="E86" s="23" t="s">
        <v>1322</v>
      </c>
    </row>
    <row r="87" spans="1:5" x14ac:dyDescent="0.2">
      <c r="A87" s="19" t="s">
        <v>1225</v>
      </c>
      <c r="B87" s="4" t="s">
        <v>423</v>
      </c>
      <c r="C87" s="4" t="s">
        <v>93</v>
      </c>
      <c r="D87" s="4" t="s">
        <v>129</v>
      </c>
      <c r="E87" s="23" t="s">
        <v>1323</v>
      </c>
    </row>
    <row r="88" spans="1:5" x14ac:dyDescent="0.2">
      <c r="A88" s="19" t="s">
        <v>1202</v>
      </c>
      <c r="B88" s="4" t="s">
        <v>423</v>
      </c>
      <c r="C88" s="4" t="s">
        <v>318</v>
      </c>
      <c r="D88" s="4" t="s">
        <v>54</v>
      </c>
      <c r="E88" s="23" t="s">
        <v>1324</v>
      </c>
    </row>
    <row r="90" spans="1:5" ht="14.25" x14ac:dyDescent="0.2">
      <c r="A90" s="20"/>
      <c r="B90" s="21" t="s">
        <v>168</v>
      </c>
    </row>
    <row r="91" spans="1:5" ht="15" x14ac:dyDescent="0.2">
      <c r="A91" s="22" t="s">
        <v>82</v>
      </c>
      <c r="B91" s="22" t="s">
        <v>83</v>
      </c>
      <c r="C91" s="22" t="s">
        <v>84</v>
      </c>
      <c r="D91" s="22" t="s">
        <v>85</v>
      </c>
      <c r="E91" s="22" t="s">
        <v>86</v>
      </c>
    </row>
    <row r="92" spans="1:5" x14ac:dyDescent="0.2">
      <c r="A92" s="19" t="s">
        <v>1245</v>
      </c>
      <c r="B92" s="4" t="s">
        <v>169</v>
      </c>
      <c r="C92" s="4" t="s">
        <v>170</v>
      </c>
      <c r="D92" s="4" t="s">
        <v>115</v>
      </c>
      <c r="E92" s="23" t="s">
        <v>1325</v>
      </c>
    </row>
    <row r="93" spans="1:5" x14ac:dyDescent="0.2">
      <c r="A93" s="19" t="s">
        <v>1250</v>
      </c>
      <c r="B93" s="4" t="s">
        <v>169</v>
      </c>
      <c r="C93" s="4" t="s">
        <v>170</v>
      </c>
      <c r="D93" s="4" t="s">
        <v>41</v>
      </c>
      <c r="E93" s="23" t="s">
        <v>1326</v>
      </c>
    </row>
    <row r="95" spans="1:5" ht="14.25" x14ac:dyDescent="0.2">
      <c r="A95" s="20"/>
      <c r="B95" s="21" t="s">
        <v>92</v>
      </c>
    </row>
    <row r="96" spans="1:5" ht="15" x14ac:dyDescent="0.2">
      <c r="A96" s="22" t="s">
        <v>82</v>
      </c>
      <c r="B96" s="22" t="s">
        <v>83</v>
      </c>
      <c r="C96" s="22" t="s">
        <v>84</v>
      </c>
      <c r="D96" s="22" t="s">
        <v>85</v>
      </c>
      <c r="E96" s="22" t="s">
        <v>86</v>
      </c>
    </row>
    <row r="97" spans="1:5" x14ac:dyDescent="0.2">
      <c r="A97" s="19" t="s">
        <v>1214</v>
      </c>
      <c r="B97" s="4" t="s">
        <v>92</v>
      </c>
      <c r="C97" s="4" t="s">
        <v>99</v>
      </c>
      <c r="D97" s="4" t="s">
        <v>166</v>
      </c>
      <c r="E97" s="23" t="s">
        <v>1327</v>
      </c>
    </row>
    <row r="98" spans="1:5" x14ac:dyDescent="0.2">
      <c r="A98" s="19" t="s">
        <v>1254</v>
      </c>
      <c r="B98" s="4" t="s">
        <v>92</v>
      </c>
      <c r="C98" s="4" t="s">
        <v>170</v>
      </c>
      <c r="D98" s="4" t="s">
        <v>158</v>
      </c>
      <c r="E98" s="23" t="s">
        <v>1328</v>
      </c>
    </row>
    <row r="99" spans="1:5" x14ac:dyDescent="0.2">
      <c r="A99" s="19" t="s">
        <v>1260</v>
      </c>
      <c r="B99" s="4" t="s">
        <v>92</v>
      </c>
      <c r="C99" s="4" t="s">
        <v>170</v>
      </c>
      <c r="D99" s="4" t="s">
        <v>51</v>
      </c>
      <c r="E99" s="23" t="s">
        <v>1329</v>
      </c>
    </row>
    <row r="100" spans="1:5" x14ac:dyDescent="0.2">
      <c r="A100" s="19" t="s">
        <v>1277</v>
      </c>
      <c r="B100" s="4" t="s">
        <v>92</v>
      </c>
      <c r="C100" s="4" t="s">
        <v>96</v>
      </c>
      <c r="D100" s="4" t="s">
        <v>1280</v>
      </c>
      <c r="E100" s="23" t="s">
        <v>1330</v>
      </c>
    </row>
    <row r="101" spans="1:5" x14ac:dyDescent="0.2">
      <c r="A101" s="19" t="s">
        <v>1228</v>
      </c>
      <c r="B101" s="4" t="s">
        <v>92</v>
      </c>
      <c r="C101" s="4" t="s">
        <v>93</v>
      </c>
      <c r="D101" s="4" t="s">
        <v>55</v>
      </c>
      <c r="E101" s="23" t="s">
        <v>1331</v>
      </c>
    </row>
    <row r="102" spans="1:5" x14ac:dyDescent="0.2">
      <c r="A102" s="19" t="s">
        <v>1281</v>
      </c>
      <c r="B102" s="4" t="s">
        <v>92</v>
      </c>
      <c r="C102" s="4" t="s">
        <v>96</v>
      </c>
      <c r="D102" s="4" t="s">
        <v>51</v>
      </c>
      <c r="E102" s="23" t="s">
        <v>1332</v>
      </c>
    </row>
    <row r="103" spans="1:5" x14ac:dyDescent="0.2">
      <c r="A103" s="19" t="s">
        <v>1265</v>
      </c>
      <c r="B103" s="4" t="s">
        <v>92</v>
      </c>
      <c r="C103" s="4" t="s">
        <v>170</v>
      </c>
      <c r="D103" s="4" t="s">
        <v>166</v>
      </c>
      <c r="E103" s="23" t="s">
        <v>1333</v>
      </c>
    </row>
    <row r="104" spans="1:5" x14ac:dyDescent="0.2">
      <c r="A104" s="19" t="s">
        <v>1287</v>
      </c>
      <c r="B104" s="4" t="s">
        <v>92</v>
      </c>
      <c r="C104" s="4" t="s">
        <v>96</v>
      </c>
      <c r="D104" s="4" t="s">
        <v>166</v>
      </c>
      <c r="E104" s="23" t="s">
        <v>1334</v>
      </c>
    </row>
    <row r="105" spans="1:5" x14ac:dyDescent="0.2">
      <c r="A105" s="19" t="s">
        <v>1231</v>
      </c>
      <c r="B105" s="4" t="s">
        <v>92</v>
      </c>
      <c r="C105" s="4" t="s">
        <v>93</v>
      </c>
      <c r="D105" s="4" t="s">
        <v>69</v>
      </c>
      <c r="E105" s="23" t="s">
        <v>1335</v>
      </c>
    </row>
    <row r="106" spans="1:5" x14ac:dyDescent="0.2">
      <c r="A106" s="19" t="s">
        <v>1292</v>
      </c>
      <c r="B106" s="4" t="s">
        <v>92</v>
      </c>
      <c r="C106" s="4" t="s">
        <v>96</v>
      </c>
      <c r="D106" s="4" t="s">
        <v>166</v>
      </c>
      <c r="E106" s="23" t="s">
        <v>1336</v>
      </c>
    </row>
    <row r="107" spans="1:5" x14ac:dyDescent="0.2">
      <c r="A107" s="19" t="s">
        <v>1268</v>
      </c>
      <c r="B107" s="4" t="s">
        <v>92</v>
      </c>
      <c r="C107" s="4" t="s">
        <v>170</v>
      </c>
      <c r="D107" s="4" t="s">
        <v>117</v>
      </c>
      <c r="E107" s="23" t="s">
        <v>1337</v>
      </c>
    </row>
    <row r="108" spans="1:5" x14ac:dyDescent="0.2">
      <c r="A108" s="19" t="s">
        <v>1308</v>
      </c>
      <c r="B108" s="4" t="s">
        <v>92</v>
      </c>
      <c r="C108" s="4" t="s">
        <v>181</v>
      </c>
      <c r="D108" s="4" t="s">
        <v>297</v>
      </c>
      <c r="E108" s="23" t="s">
        <v>1338</v>
      </c>
    </row>
    <row r="109" spans="1:5" x14ac:dyDescent="0.2">
      <c r="A109" s="19" t="s">
        <v>1220</v>
      </c>
      <c r="B109" s="4" t="s">
        <v>92</v>
      </c>
      <c r="C109" s="4" t="s">
        <v>99</v>
      </c>
      <c r="D109" s="4" t="s">
        <v>136</v>
      </c>
      <c r="E109" s="23" t="s">
        <v>1339</v>
      </c>
    </row>
    <row r="111" spans="1:5" ht="14.25" x14ac:dyDescent="0.2">
      <c r="A111" s="20"/>
      <c r="B111" s="21" t="s">
        <v>81</v>
      </c>
    </row>
    <row r="112" spans="1:5" ht="15" x14ac:dyDescent="0.2">
      <c r="A112" s="22" t="s">
        <v>82</v>
      </c>
      <c r="B112" s="22" t="s">
        <v>83</v>
      </c>
      <c r="C112" s="22" t="s">
        <v>84</v>
      </c>
      <c r="D112" s="22" t="s">
        <v>85</v>
      </c>
      <c r="E112" s="22" t="s">
        <v>86</v>
      </c>
    </row>
    <row r="113" spans="1:5" x14ac:dyDescent="0.2">
      <c r="A113" s="19" t="s">
        <v>1239</v>
      </c>
      <c r="B113" s="4" t="s">
        <v>647</v>
      </c>
      <c r="C113" s="4" t="s">
        <v>93</v>
      </c>
      <c r="D113" s="4" t="s">
        <v>127</v>
      </c>
      <c r="E113" s="23" t="s">
        <v>1340</v>
      </c>
    </row>
    <row r="114" spans="1:5" x14ac:dyDescent="0.2">
      <c r="A114" s="19" t="s">
        <v>1235</v>
      </c>
      <c r="B114" s="4" t="s">
        <v>656</v>
      </c>
      <c r="C114" s="4" t="s">
        <v>93</v>
      </c>
      <c r="D114" s="4" t="s">
        <v>152</v>
      </c>
      <c r="E114" s="23" t="s">
        <v>1341</v>
      </c>
    </row>
    <row r="115" spans="1:5" x14ac:dyDescent="0.2">
      <c r="A115" s="19" t="s">
        <v>1303</v>
      </c>
      <c r="B115" s="4" t="s">
        <v>656</v>
      </c>
      <c r="C115" s="4" t="s">
        <v>96</v>
      </c>
      <c r="D115" s="4" t="s">
        <v>117</v>
      </c>
      <c r="E115" s="23" t="s">
        <v>1342</v>
      </c>
    </row>
    <row r="116" spans="1:5" x14ac:dyDescent="0.2">
      <c r="A116" s="19" t="s">
        <v>1207</v>
      </c>
      <c r="B116" s="4" t="s">
        <v>420</v>
      </c>
      <c r="C116" s="4" t="s">
        <v>414</v>
      </c>
      <c r="D116" s="4" t="s">
        <v>129</v>
      </c>
      <c r="E116" s="23" t="s">
        <v>1343</v>
      </c>
    </row>
    <row r="117" spans="1:5" x14ac:dyDescent="0.2">
      <c r="A117" s="19" t="s">
        <v>858</v>
      </c>
      <c r="B117" s="4" t="s">
        <v>647</v>
      </c>
      <c r="C117" s="4" t="s">
        <v>99</v>
      </c>
      <c r="D117" s="4" t="s">
        <v>27</v>
      </c>
      <c r="E117" s="23" t="s">
        <v>1344</v>
      </c>
    </row>
    <row r="118" spans="1:5" x14ac:dyDescent="0.2">
      <c r="A118" s="19" t="s">
        <v>1298</v>
      </c>
      <c r="B118" s="4" t="s">
        <v>420</v>
      </c>
      <c r="C118" s="4" t="s">
        <v>96</v>
      </c>
      <c r="D118" s="4" t="s">
        <v>115</v>
      </c>
      <c r="E118" s="23" t="s">
        <v>1345</v>
      </c>
    </row>
    <row r="119" spans="1:5" x14ac:dyDescent="0.2">
      <c r="A119" s="19" t="s">
        <v>1228</v>
      </c>
      <c r="B119" s="4" t="s">
        <v>87</v>
      </c>
      <c r="C119" s="4" t="s">
        <v>93</v>
      </c>
      <c r="D119" s="4" t="s">
        <v>55</v>
      </c>
      <c r="E119" s="23" t="s">
        <v>1331</v>
      </c>
    </row>
    <row r="120" spans="1:5" x14ac:dyDescent="0.2">
      <c r="A120" s="19" t="s">
        <v>1272</v>
      </c>
      <c r="B120" s="4" t="s">
        <v>420</v>
      </c>
      <c r="C120" s="4" t="s">
        <v>170</v>
      </c>
      <c r="D120" s="4" t="s">
        <v>127</v>
      </c>
      <c r="E120" s="23" t="s">
        <v>1346</v>
      </c>
    </row>
    <row r="121" spans="1:5" x14ac:dyDescent="0.2">
      <c r="A121" s="19" t="s">
        <v>1312</v>
      </c>
      <c r="B121" s="4" t="s">
        <v>644</v>
      </c>
      <c r="C121" s="4" t="s">
        <v>181</v>
      </c>
      <c r="D121" s="4" t="s">
        <v>70</v>
      </c>
      <c r="E121" s="23" t="s">
        <v>1347</v>
      </c>
    </row>
  </sheetData>
  <mergeCells count="21">
    <mergeCell ref="A57:L57"/>
    <mergeCell ref="A17:L17"/>
    <mergeCell ref="A20:L20"/>
    <mergeCell ref="A23:L23"/>
    <mergeCell ref="A30:L30"/>
    <mergeCell ref="A40:L40"/>
    <mergeCell ref="A49:L49"/>
    <mergeCell ref="A14:L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workbookViewId="0">
      <selection activeCell="A17" sqref="A17:U18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4.5703125" style="4" bestFit="1" customWidth="1"/>
    <col min="7" max="13" width="5.5703125" style="3" bestFit="1" customWidth="1"/>
    <col min="14" max="14" width="4.85546875" style="3" bestFit="1" customWidth="1"/>
    <col min="15" max="18" width="5.5703125" style="3" bestFit="1" customWidth="1"/>
    <col min="19" max="19" width="7.85546875" style="4" bestFit="1" customWidth="1"/>
    <col min="20" max="20" width="8.5703125" style="3" bestFit="1" customWidth="1"/>
    <col min="21" max="21" width="16.140625" style="4" bestFit="1" customWidth="1"/>
    <col min="22" max="16384" width="9.140625" style="3"/>
  </cols>
  <sheetData>
    <row r="1" spans="1:21" s="2" customFormat="1" ht="29.1" customHeight="1" x14ac:dyDescent="0.2">
      <c r="A1" s="51" t="s">
        <v>1352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10</v>
      </c>
      <c r="H3" s="61"/>
      <c r="I3" s="61"/>
      <c r="J3" s="61"/>
      <c r="K3" s="61" t="s">
        <v>11</v>
      </c>
      <c r="L3" s="61"/>
      <c r="M3" s="61"/>
      <c r="N3" s="61"/>
      <c r="O3" s="61" t="s">
        <v>12</v>
      </c>
      <c r="P3" s="61"/>
      <c r="Q3" s="61"/>
      <c r="R3" s="61"/>
      <c r="S3" s="61" t="s">
        <v>1</v>
      </c>
      <c r="T3" s="61" t="s">
        <v>3</v>
      </c>
      <c r="U3" s="62" t="s">
        <v>2</v>
      </c>
    </row>
    <row r="4" spans="1:21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60"/>
      <c r="T4" s="60"/>
      <c r="U4" s="63"/>
    </row>
    <row r="5" spans="1:21" ht="15" x14ac:dyDescent="0.2">
      <c r="A5" s="64" t="s">
        <v>237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1" x14ac:dyDescent="0.2">
      <c r="A6" s="10" t="s">
        <v>239</v>
      </c>
      <c r="B6" s="10" t="s">
        <v>240</v>
      </c>
      <c r="C6" s="10" t="s">
        <v>241</v>
      </c>
      <c r="D6" s="10" t="str">
        <f>"1,2019"</f>
        <v>1,2019</v>
      </c>
      <c r="E6" s="10" t="s">
        <v>34</v>
      </c>
      <c r="F6" s="10" t="s">
        <v>242</v>
      </c>
      <c r="G6" s="12" t="s">
        <v>118</v>
      </c>
      <c r="H6" s="11" t="s">
        <v>118</v>
      </c>
      <c r="I6" s="11" t="s">
        <v>54</v>
      </c>
      <c r="J6" s="12" t="s">
        <v>243</v>
      </c>
      <c r="K6" s="11" t="s">
        <v>244</v>
      </c>
      <c r="L6" s="11" t="s">
        <v>245</v>
      </c>
      <c r="M6" s="12" t="s">
        <v>24</v>
      </c>
      <c r="N6" s="12"/>
      <c r="O6" s="12" t="s">
        <v>36</v>
      </c>
      <c r="P6" s="11" t="s">
        <v>36</v>
      </c>
      <c r="Q6" s="11" t="s">
        <v>37</v>
      </c>
      <c r="R6" s="12" t="s">
        <v>136</v>
      </c>
      <c r="S6" s="10" t="str">
        <f>"397,5"</f>
        <v>397,5</v>
      </c>
      <c r="T6" s="11" t="str">
        <f>"477,7553"</f>
        <v>477,7553</v>
      </c>
      <c r="U6" s="10" t="s">
        <v>246</v>
      </c>
    </row>
    <row r="7" spans="1:21" x14ac:dyDescent="0.2">
      <c r="A7" s="13" t="s">
        <v>248</v>
      </c>
      <c r="B7" s="13" t="s">
        <v>249</v>
      </c>
      <c r="C7" s="13" t="s">
        <v>250</v>
      </c>
      <c r="D7" s="13" t="str">
        <f>"1,2284"</f>
        <v>1,2284</v>
      </c>
      <c r="E7" s="13" t="s">
        <v>18</v>
      </c>
      <c r="F7" s="13" t="s">
        <v>251</v>
      </c>
      <c r="G7" s="16" t="s">
        <v>252</v>
      </c>
      <c r="H7" s="16" t="s">
        <v>253</v>
      </c>
      <c r="I7" s="16" t="s">
        <v>254</v>
      </c>
      <c r="J7" s="14"/>
      <c r="K7" s="16" t="s">
        <v>255</v>
      </c>
      <c r="L7" s="14" t="s">
        <v>256</v>
      </c>
      <c r="M7" s="14" t="s">
        <v>256</v>
      </c>
      <c r="N7" s="14"/>
      <c r="O7" s="16" t="s">
        <v>257</v>
      </c>
      <c r="P7" s="14" t="s">
        <v>258</v>
      </c>
      <c r="Q7" s="16" t="s">
        <v>258</v>
      </c>
      <c r="R7" s="14"/>
      <c r="S7" s="13" t="str">
        <f>"240,0"</f>
        <v>240,0</v>
      </c>
      <c r="T7" s="16" t="str">
        <f>"294,8160"</f>
        <v>294,8160</v>
      </c>
      <c r="U7" s="13" t="s">
        <v>259</v>
      </c>
    </row>
    <row r="9" spans="1:21" ht="15" x14ac:dyDescent="0.2">
      <c r="A9" s="50" t="s">
        <v>13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1" x14ac:dyDescent="0.2">
      <c r="A10" s="10" t="s">
        <v>261</v>
      </c>
      <c r="B10" s="10" t="s">
        <v>262</v>
      </c>
      <c r="C10" s="10" t="s">
        <v>17</v>
      </c>
      <c r="D10" s="10" t="str">
        <f>"1,1236"</f>
        <v>1,1236</v>
      </c>
      <c r="E10" s="10" t="s">
        <v>34</v>
      </c>
      <c r="F10" s="10" t="s">
        <v>263</v>
      </c>
      <c r="G10" s="11" t="s">
        <v>264</v>
      </c>
      <c r="H10" s="12" t="s">
        <v>257</v>
      </c>
      <c r="I10" s="11" t="s">
        <v>265</v>
      </c>
      <c r="J10" s="12"/>
      <c r="K10" s="11" t="s">
        <v>266</v>
      </c>
      <c r="L10" s="11" t="s">
        <v>267</v>
      </c>
      <c r="M10" s="12" t="s">
        <v>268</v>
      </c>
      <c r="N10" s="12"/>
      <c r="O10" s="11" t="s">
        <v>22</v>
      </c>
      <c r="P10" s="11" t="s">
        <v>128</v>
      </c>
      <c r="Q10" s="12" t="s">
        <v>118</v>
      </c>
      <c r="R10" s="12"/>
      <c r="S10" s="10" t="str">
        <f>"290,0"</f>
        <v>290,0</v>
      </c>
      <c r="T10" s="11" t="str">
        <f>"325,8440"</f>
        <v>325,8440</v>
      </c>
      <c r="U10" s="10" t="s">
        <v>269</v>
      </c>
    </row>
    <row r="11" spans="1:21" x14ac:dyDescent="0.2">
      <c r="A11" s="13" t="s">
        <v>271</v>
      </c>
      <c r="B11" s="13" t="s">
        <v>272</v>
      </c>
      <c r="C11" s="13" t="s">
        <v>273</v>
      </c>
      <c r="D11" s="13" t="str">
        <f>"1,1604"</f>
        <v>1,1604</v>
      </c>
      <c r="E11" s="13" t="s">
        <v>34</v>
      </c>
      <c r="F11" s="13" t="s">
        <v>126</v>
      </c>
      <c r="G11" s="16" t="s">
        <v>254</v>
      </c>
      <c r="H11" s="16" t="s">
        <v>38</v>
      </c>
      <c r="I11" s="14" t="s">
        <v>274</v>
      </c>
      <c r="J11" s="14"/>
      <c r="K11" s="16" t="s">
        <v>275</v>
      </c>
      <c r="L11" s="16" t="s">
        <v>276</v>
      </c>
      <c r="M11" s="16" t="s">
        <v>266</v>
      </c>
      <c r="N11" s="14"/>
      <c r="O11" s="16" t="s">
        <v>254</v>
      </c>
      <c r="P11" s="14" t="s">
        <v>38</v>
      </c>
      <c r="Q11" s="14" t="s">
        <v>38</v>
      </c>
      <c r="R11" s="14"/>
      <c r="S11" s="13" t="str">
        <f>"260,0"</f>
        <v>260,0</v>
      </c>
      <c r="T11" s="16" t="str">
        <f>"301,7040"</f>
        <v>301,7040</v>
      </c>
      <c r="U11" s="13" t="s">
        <v>277</v>
      </c>
    </row>
    <row r="13" spans="1:21" ht="15" x14ac:dyDescent="0.2">
      <c r="A13" s="50" t="s">
        <v>278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</row>
    <row r="14" spans="1:21" x14ac:dyDescent="0.2">
      <c r="A14" s="7" t="s">
        <v>280</v>
      </c>
      <c r="B14" s="7" t="s">
        <v>281</v>
      </c>
      <c r="C14" s="7" t="s">
        <v>282</v>
      </c>
      <c r="D14" s="7" t="str">
        <f>"1,0515"</f>
        <v>1,0515</v>
      </c>
      <c r="E14" s="7" t="s">
        <v>106</v>
      </c>
      <c r="F14" s="7" t="s">
        <v>35</v>
      </c>
      <c r="G14" s="8" t="s">
        <v>254</v>
      </c>
      <c r="H14" s="8" t="s">
        <v>274</v>
      </c>
      <c r="I14" s="8" t="s">
        <v>20</v>
      </c>
      <c r="J14" s="9"/>
      <c r="K14" s="8" t="s">
        <v>267</v>
      </c>
      <c r="L14" s="8" t="s">
        <v>283</v>
      </c>
      <c r="M14" s="8" t="s">
        <v>24</v>
      </c>
      <c r="N14" s="9"/>
      <c r="O14" s="8" t="s">
        <v>254</v>
      </c>
      <c r="P14" s="8" t="s">
        <v>20</v>
      </c>
      <c r="Q14" s="8" t="s">
        <v>25</v>
      </c>
      <c r="R14" s="9"/>
      <c r="S14" s="7" t="str">
        <f>"320,0"</f>
        <v>320,0</v>
      </c>
      <c r="T14" s="8" t="str">
        <f>"350,9486"</f>
        <v>350,9486</v>
      </c>
      <c r="U14" s="7" t="s">
        <v>284</v>
      </c>
    </row>
    <row r="16" spans="1:21" ht="15" x14ac:dyDescent="0.2">
      <c r="A16" s="50" t="s">
        <v>45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  <row r="17" spans="1:21" x14ac:dyDescent="0.2">
      <c r="A17" s="10" t="s">
        <v>286</v>
      </c>
      <c r="B17" s="10" t="s">
        <v>287</v>
      </c>
      <c r="C17" s="10" t="s">
        <v>288</v>
      </c>
      <c r="D17" s="10" t="str">
        <f>"0,6487"</f>
        <v>0,6487</v>
      </c>
      <c r="E17" s="10" t="s">
        <v>34</v>
      </c>
      <c r="F17" s="10" t="s">
        <v>35</v>
      </c>
      <c r="G17" s="11" t="s">
        <v>136</v>
      </c>
      <c r="H17" s="11" t="s">
        <v>127</v>
      </c>
      <c r="I17" s="11" t="s">
        <v>152</v>
      </c>
      <c r="J17" s="12"/>
      <c r="K17" s="11" t="s">
        <v>22</v>
      </c>
      <c r="L17" s="12" t="s">
        <v>289</v>
      </c>
      <c r="M17" s="11" t="s">
        <v>289</v>
      </c>
      <c r="N17" s="12"/>
      <c r="O17" s="11" t="s">
        <v>108</v>
      </c>
      <c r="P17" s="11" t="s">
        <v>41</v>
      </c>
      <c r="Q17" s="12" t="s">
        <v>290</v>
      </c>
      <c r="R17" s="12"/>
      <c r="S17" s="10" t="str">
        <f>"542,5"</f>
        <v>542,5</v>
      </c>
      <c r="T17" s="11" t="str">
        <f>"351,9197"</f>
        <v>351,9197</v>
      </c>
      <c r="U17" s="10" t="s">
        <v>291</v>
      </c>
    </row>
    <row r="18" spans="1:21" x14ac:dyDescent="0.2">
      <c r="A18" s="13" t="s">
        <v>286</v>
      </c>
      <c r="B18" s="13" t="s">
        <v>292</v>
      </c>
      <c r="C18" s="13" t="s">
        <v>288</v>
      </c>
      <c r="D18" s="13" t="str">
        <f>"0,6487"</f>
        <v>0,6487</v>
      </c>
      <c r="E18" s="13" t="s">
        <v>34</v>
      </c>
      <c r="F18" s="13" t="s">
        <v>35</v>
      </c>
      <c r="G18" s="16" t="s">
        <v>136</v>
      </c>
      <c r="H18" s="16" t="s">
        <v>127</v>
      </c>
      <c r="I18" s="16" t="s">
        <v>152</v>
      </c>
      <c r="J18" s="14"/>
      <c r="K18" s="16" t="s">
        <v>22</v>
      </c>
      <c r="L18" s="14" t="s">
        <v>289</v>
      </c>
      <c r="M18" s="16" t="s">
        <v>289</v>
      </c>
      <c r="N18" s="14"/>
      <c r="O18" s="16" t="s">
        <v>108</v>
      </c>
      <c r="P18" s="16" t="s">
        <v>41</v>
      </c>
      <c r="Q18" s="14" t="s">
        <v>290</v>
      </c>
      <c r="R18" s="14"/>
      <c r="S18" s="13" t="str">
        <f>"542,5"</f>
        <v>542,5</v>
      </c>
      <c r="T18" s="16" t="str">
        <f>"358,9581"</f>
        <v>358,9581</v>
      </c>
      <c r="U18" s="13" t="s">
        <v>291</v>
      </c>
    </row>
    <row r="20" spans="1:21" ht="15" x14ac:dyDescent="0.2">
      <c r="A20" s="50" t="s">
        <v>121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  <row r="21" spans="1:21" x14ac:dyDescent="0.2">
      <c r="A21" s="10" t="s">
        <v>294</v>
      </c>
      <c r="B21" s="10" t="s">
        <v>295</v>
      </c>
      <c r="C21" s="10" t="s">
        <v>296</v>
      </c>
      <c r="D21" s="10" t="str">
        <f>"0,6144"</f>
        <v>0,6144</v>
      </c>
      <c r="E21" s="10" t="s">
        <v>34</v>
      </c>
      <c r="F21" s="10" t="s">
        <v>35</v>
      </c>
      <c r="G21" s="11" t="s">
        <v>70</v>
      </c>
      <c r="H21" s="12" t="s">
        <v>55</v>
      </c>
      <c r="I21" s="12" t="s">
        <v>297</v>
      </c>
      <c r="J21" s="12"/>
      <c r="K21" s="11" t="s">
        <v>27</v>
      </c>
      <c r="L21" s="11" t="s">
        <v>54</v>
      </c>
      <c r="M21" s="11" t="s">
        <v>36</v>
      </c>
      <c r="N21" s="12"/>
      <c r="O21" s="12" t="s">
        <v>129</v>
      </c>
      <c r="P21" s="11" t="s">
        <v>129</v>
      </c>
      <c r="Q21" s="11" t="s">
        <v>152</v>
      </c>
      <c r="R21" s="12"/>
      <c r="S21" s="10" t="str">
        <f>"620,0"</f>
        <v>620,0</v>
      </c>
      <c r="T21" s="11" t="str">
        <f>"380,9280"</f>
        <v>380,9280</v>
      </c>
      <c r="U21" s="10" t="s">
        <v>298</v>
      </c>
    </row>
    <row r="22" spans="1:21" x14ac:dyDescent="0.2">
      <c r="A22" s="13" t="s">
        <v>300</v>
      </c>
      <c r="B22" s="13" t="s">
        <v>301</v>
      </c>
      <c r="C22" s="13" t="s">
        <v>302</v>
      </c>
      <c r="D22" s="13" t="str">
        <f>"0,6250"</f>
        <v>0,6250</v>
      </c>
      <c r="E22" s="13" t="s">
        <v>34</v>
      </c>
      <c r="F22" s="13" t="s">
        <v>35</v>
      </c>
      <c r="G22" s="14" t="s">
        <v>129</v>
      </c>
      <c r="H22" s="14" t="s">
        <v>116</v>
      </c>
      <c r="I22" s="14" t="s">
        <v>116</v>
      </c>
      <c r="J22" s="14"/>
      <c r="K22" s="14" t="s">
        <v>27</v>
      </c>
      <c r="L22" s="14"/>
      <c r="M22" s="14"/>
      <c r="N22" s="14"/>
      <c r="O22" s="14" t="s">
        <v>127</v>
      </c>
      <c r="P22" s="14"/>
      <c r="Q22" s="14"/>
      <c r="R22" s="14"/>
      <c r="S22" s="13" t="str">
        <f>"0.00"</f>
        <v>0.00</v>
      </c>
      <c r="T22" s="16" t="str">
        <f>"0,0000"</f>
        <v>0,0000</v>
      </c>
      <c r="U22" s="13" t="s">
        <v>190</v>
      </c>
    </row>
    <row r="24" spans="1:21" ht="15" x14ac:dyDescent="0.2">
      <c r="A24" s="50" t="s">
        <v>161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1:21" x14ac:dyDescent="0.2">
      <c r="A25" s="7" t="s">
        <v>304</v>
      </c>
      <c r="B25" s="7" t="s">
        <v>305</v>
      </c>
      <c r="C25" s="7" t="s">
        <v>306</v>
      </c>
      <c r="D25" s="7" t="str">
        <f>"0,5709"</f>
        <v>0,5709</v>
      </c>
      <c r="E25" s="7" t="s">
        <v>34</v>
      </c>
      <c r="F25" s="7" t="s">
        <v>61</v>
      </c>
      <c r="G25" s="8" t="s">
        <v>307</v>
      </c>
      <c r="H25" s="8" t="s">
        <v>51</v>
      </c>
      <c r="I25" s="9" t="s">
        <v>308</v>
      </c>
      <c r="J25" s="9"/>
      <c r="K25" s="8" t="s">
        <v>71</v>
      </c>
      <c r="L25" s="8" t="s">
        <v>309</v>
      </c>
      <c r="M25" s="9" t="s">
        <v>108</v>
      </c>
      <c r="N25" s="9"/>
      <c r="O25" s="8" t="s">
        <v>307</v>
      </c>
      <c r="P25" s="8" t="s">
        <v>310</v>
      </c>
      <c r="Q25" s="8" t="s">
        <v>311</v>
      </c>
      <c r="R25" s="9"/>
      <c r="S25" s="7" t="str">
        <f>"695,0"</f>
        <v>695,0</v>
      </c>
      <c r="T25" s="8" t="str">
        <f>"396,7755"</f>
        <v>396,7755</v>
      </c>
      <c r="U25" s="7" t="s">
        <v>312</v>
      </c>
    </row>
    <row r="27" spans="1:21" ht="15" x14ac:dyDescent="0.2">
      <c r="E27" s="15" t="s">
        <v>74</v>
      </c>
    </row>
    <row r="28" spans="1:21" ht="15" x14ac:dyDescent="0.2">
      <c r="E28" s="15" t="s">
        <v>75</v>
      </c>
    </row>
    <row r="29" spans="1:21" ht="15" x14ac:dyDescent="0.2">
      <c r="E29" s="15" t="s">
        <v>76</v>
      </c>
    </row>
    <row r="30" spans="1:21" ht="15" x14ac:dyDescent="0.2">
      <c r="E30" s="15" t="s">
        <v>77</v>
      </c>
    </row>
    <row r="31" spans="1:21" ht="15" x14ac:dyDescent="0.2">
      <c r="E31" s="15" t="s">
        <v>77</v>
      </c>
    </row>
    <row r="32" spans="1:21" ht="15" x14ac:dyDescent="0.2">
      <c r="E32" s="15" t="s">
        <v>78</v>
      </c>
    </row>
    <row r="33" spans="1:5" ht="15" x14ac:dyDescent="0.2">
      <c r="E33" s="15"/>
    </row>
    <row r="35" spans="1:5" ht="18" x14ac:dyDescent="0.25">
      <c r="A35" s="17" t="s">
        <v>79</v>
      </c>
      <c r="B35" s="17"/>
    </row>
    <row r="36" spans="1:5" ht="15" x14ac:dyDescent="0.2">
      <c r="A36" s="18" t="s">
        <v>80</v>
      </c>
      <c r="B36" s="18"/>
    </row>
    <row r="37" spans="1:5" ht="14.25" x14ac:dyDescent="0.2">
      <c r="A37" s="20"/>
      <c r="B37" s="21" t="s">
        <v>92</v>
      </c>
    </row>
    <row r="38" spans="1:5" ht="15" x14ac:dyDescent="0.2">
      <c r="A38" s="22" t="s">
        <v>82</v>
      </c>
      <c r="B38" s="22" t="s">
        <v>83</v>
      </c>
      <c r="C38" s="22" t="s">
        <v>84</v>
      </c>
      <c r="D38" s="22" t="s">
        <v>85</v>
      </c>
      <c r="E38" s="22" t="s">
        <v>86</v>
      </c>
    </row>
    <row r="39" spans="1:5" x14ac:dyDescent="0.2">
      <c r="A39" s="19" t="s">
        <v>238</v>
      </c>
      <c r="B39" s="4" t="s">
        <v>92</v>
      </c>
      <c r="C39" s="4" t="s">
        <v>313</v>
      </c>
      <c r="D39" s="4" t="s">
        <v>314</v>
      </c>
      <c r="E39" s="23" t="s">
        <v>315</v>
      </c>
    </row>
    <row r="40" spans="1:5" x14ac:dyDescent="0.2">
      <c r="A40" s="19" t="s">
        <v>260</v>
      </c>
      <c r="B40" s="4" t="s">
        <v>92</v>
      </c>
      <c r="C40" s="4" t="s">
        <v>88</v>
      </c>
      <c r="D40" s="4" t="s">
        <v>53</v>
      </c>
      <c r="E40" s="23" t="s">
        <v>316</v>
      </c>
    </row>
    <row r="41" spans="1:5" x14ac:dyDescent="0.2">
      <c r="A41" s="19" t="s">
        <v>270</v>
      </c>
      <c r="B41" s="4" t="s">
        <v>92</v>
      </c>
      <c r="C41" s="4" t="s">
        <v>88</v>
      </c>
      <c r="D41" s="4" t="s">
        <v>51</v>
      </c>
      <c r="E41" s="23" t="s">
        <v>317</v>
      </c>
    </row>
    <row r="43" spans="1:5" ht="14.25" x14ac:dyDescent="0.2">
      <c r="A43" s="20"/>
      <c r="B43" s="21" t="s">
        <v>81</v>
      </c>
    </row>
    <row r="44" spans="1:5" ht="15" x14ac:dyDescent="0.2">
      <c r="A44" s="22" t="s">
        <v>82</v>
      </c>
      <c r="B44" s="22" t="s">
        <v>83</v>
      </c>
      <c r="C44" s="22" t="s">
        <v>84</v>
      </c>
      <c r="D44" s="22" t="s">
        <v>85</v>
      </c>
      <c r="E44" s="22" t="s">
        <v>86</v>
      </c>
    </row>
    <row r="45" spans="1:5" x14ac:dyDescent="0.2">
      <c r="A45" s="19" t="s">
        <v>279</v>
      </c>
      <c r="B45" s="4" t="s">
        <v>87</v>
      </c>
      <c r="C45" s="4" t="s">
        <v>318</v>
      </c>
      <c r="D45" s="4" t="s">
        <v>208</v>
      </c>
      <c r="E45" s="23" t="s">
        <v>319</v>
      </c>
    </row>
    <row r="46" spans="1:5" x14ac:dyDescent="0.2">
      <c r="A46" s="19" t="s">
        <v>247</v>
      </c>
      <c r="B46" s="4" t="s">
        <v>87</v>
      </c>
      <c r="C46" s="4" t="s">
        <v>313</v>
      </c>
      <c r="D46" s="4" t="s">
        <v>70</v>
      </c>
      <c r="E46" s="23" t="s">
        <v>320</v>
      </c>
    </row>
    <row r="49" spans="1:5" ht="15" x14ac:dyDescent="0.2">
      <c r="A49" s="18" t="s">
        <v>91</v>
      </c>
      <c r="B49" s="18"/>
    </row>
    <row r="50" spans="1:5" ht="14.25" x14ac:dyDescent="0.2">
      <c r="A50" s="20"/>
      <c r="B50" s="21" t="s">
        <v>92</v>
      </c>
    </row>
    <row r="51" spans="1:5" ht="15" x14ac:dyDescent="0.2">
      <c r="A51" s="22" t="s">
        <v>82</v>
      </c>
      <c r="B51" s="22" t="s">
        <v>83</v>
      </c>
      <c r="C51" s="22" t="s">
        <v>84</v>
      </c>
      <c r="D51" s="22" t="s">
        <v>85</v>
      </c>
      <c r="E51" s="22" t="s">
        <v>86</v>
      </c>
    </row>
    <row r="52" spans="1:5" x14ac:dyDescent="0.2">
      <c r="A52" s="19" t="s">
        <v>303</v>
      </c>
      <c r="B52" s="4" t="s">
        <v>92</v>
      </c>
      <c r="C52" s="4" t="s">
        <v>181</v>
      </c>
      <c r="D52" s="4" t="s">
        <v>321</v>
      </c>
      <c r="E52" s="23" t="s">
        <v>322</v>
      </c>
    </row>
    <row r="53" spans="1:5" x14ac:dyDescent="0.2">
      <c r="A53" s="19" t="s">
        <v>293</v>
      </c>
      <c r="B53" s="4" t="s">
        <v>92</v>
      </c>
      <c r="C53" s="4" t="s">
        <v>170</v>
      </c>
      <c r="D53" s="4" t="s">
        <v>323</v>
      </c>
      <c r="E53" s="23" t="s">
        <v>324</v>
      </c>
    </row>
    <row r="54" spans="1:5" x14ac:dyDescent="0.2">
      <c r="A54" s="19" t="s">
        <v>285</v>
      </c>
      <c r="B54" s="4" t="s">
        <v>92</v>
      </c>
      <c r="C54" s="4" t="s">
        <v>93</v>
      </c>
      <c r="D54" s="4" t="s">
        <v>325</v>
      </c>
      <c r="E54" s="23" t="s">
        <v>326</v>
      </c>
    </row>
    <row r="56" spans="1:5" ht="14.25" x14ac:dyDescent="0.2">
      <c r="A56" s="20"/>
      <c r="B56" s="21" t="s">
        <v>81</v>
      </c>
    </row>
    <row r="57" spans="1:5" ht="15" x14ac:dyDescent="0.2">
      <c r="A57" s="22" t="s">
        <v>82</v>
      </c>
      <c r="B57" s="22" t="s">
        <v>83</v>
      </c>
      <c r="C57" s="22" t="s">
        <v>84</v>
      </c>
      <c r="D57" s="22" t="s">
        <v>85</v>
      </c>
      <c r="E57" s="22" t="s">
        <v>86</v>
      </c>
    </row>
    <row r="58" spans="1:5" x14ac:dyDescent="0.2">
      <c r="A58" s="19" t="s">
        <v>285</v>
      </c>
      <c r="B58" s="4" t="s">
        <v>87</v>
      </c>
      <c r="C58" s="4" t="s">
        <v>93</v>
      </c>
      <c r="D58" s="4" t="s">
        <v>325</v>
      </c>
      <c r="E58" s="23" t="s">
        <v>327</v>
      </c>
    </row>
  </sheetData>
  <mergeCells count="19">
    <mergeCell ref="A16:T16"/>
    <mergeCell ref="A20:T20"/>
    <mergeCell ref="A24:T24"/>
    <mergeCell ref="S3:S4"/>
    <mergeCell ref="T3:T4"/>
    <mergeCell ref="U3:U4"/>
    <mergeCell ref="A5:T5"/>
    <mergeCell ref="A9:T9"/>
    <mergeCell ref="A13:T13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 x14ac:dyDescent="0.2">
      <c r="A1" s="51" t="s">
        <v>1351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10</v>
      </c>
      <c r="H3" s="61"/>
      <c r="I3" s="61"/>
      <c r="J3" s="61"/>
      <c r="K3" s="61" t="s">
        <v>11</v>
      </c>
      <c r="L3" s="61"/>
      <c r="M3" s="61"/>
      <c r="N3" s="61"/>
      <c r="O3" s="61" t="s">
        <v>12</v>
      </c>
      <c r="P3" s="61"/>
      <c r="Q3" s="61"/>
      <c r="R3" s="61"/>
      <c r="S3" s="61" t="s">
        <v>1</v>
      </c>
      <c r="T3" s="61" t="s">
        <v>3</v>
      </c>
      <c r="U3" s="62" t="s">
        <v>2</v>
      </c>
    </row>
    <row r="4" spans="1:21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60"/>
      <c r="T4" s="60"/>
      <c r="U4" s="63"/>
    </row>
    <row r="5" spans="1:21" ht="15" x14ac:dyDescent="0.2">
      <c r="A5" s="64" t="s">
        <v>45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1" x14ac:dyDescent="0.2">
      <c r="A6" s="7" t="s">
        <v>200</v>
      </c>
      <c r="B6" s="7" t="s">
        <v>201</v>
      </c>
      <c r="C6" s="7" t="s">
        <v>202</v>
      </c>
      <c r="D6" s="7" t="str">
        <f>"0,6436"</f>
        <v>0,6436</v>
      </c>
      <c r="E6" s="7" t="s">
        <v>34</v>
      </c>
      <c r="F6" s="7" t="s">
        <v>203</v>
      </c>
      <c r="G6" s="8" t="s">
        <v>41</v>
      </c>
      <c r="H6" s="9" t="s">
        <v>127</v>
      </c>
      <c r="I6" s="9" t="s">
        <v>127</v>
      </c>
      <c r="J6" s="9"/>
      <c r="K6" s="8" t="s">
        <v>26</v>
      </c>
      <c r="L6" s="8" t="s">
        <v>27</v>
      </c>
      <c r="M6" s="9" t="s">
        <v>54</v>
      </c>
      <c r="N6" s="9"/>
      <c r="O6" s="8" t="s">
        <v>136</v>
      </c>
      <c r="P6" s="8" t="s">
        <v>41</v>
      </c>
      <c r="Q6" s="9" t="s">
        <v>127</v>
      </c>
      <c r="R6" s="9"/>
      <c r="S6" s="7" t="str">
        <f>"530,0"</f>
        <v>530,0</v>
      </c>
      <c r="T6" s="8" t="str">
        <f>"341,1080"</f>
        <v>341,1080</v>
      </c>
      <c r="U6" s="7" t="s">
        <v>140</v>
      </c>
    </row>
    <row r="8" spans="1:21" ht="15" x14ac:dyDescent="0.2">
      <c r="A8" s="50" t="s">
        <v>121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1" x14ac:dyDescent="0.2">
      <c r="A9" s="7" t="s">
        <v>205</v>
      </c>
      <c r="B9" s="7" t="s">
        <v>206</v>
      </c>
      <c r="C9" s="7" t="s">
        <v>207</v>
      </c>
      <c r="D9" s="7" t="str">
        <f>"0,6086"</f>
        <v>0,6086</v>
      </c>
      <c r="E9" s="7" t="s">
        <v>34</v>
      </c>
      <c r="F9" s="7" t="s">
        <v>203</v>
      </c>
      <c r="G9" s="9" t="s">
        <v>148</v>
      </c>
      <c r="H9" s="8" t="s">
        <v>148</v>
      </c>
      <c r="I9" s="9" t="s">
        <v>138</v>
      </c>
      <c r="J9" s="9"/>
      <c r="K9" s="8" t="s">
        <v>36</v>
      </c>
      <c r="L9" s="9" t="s">
        <v>127</v>
      </c>
      <c r="M9" s="8" t="s">
        <v>127</v>
      </c>
      <c r="N9" s="9"/>
      <c r="O9" s="8" t="s">
        <v>52</v>
      </c>
      <c r="P9" s="8" t="s">
        <v>148</v>
      </c>
      <c r="Q9" s="9" t="s">
        <v>208</v>
      </c>
      <c r="R9" s="9"/>
      <c r="S9" s="7" t="str">
        <f>"820,0"</f>
        <v>820,0</v>
      </c>
      <c r="T9" s="8" t="str">
        <f>"499,0520"</f>
        <v>499,0520</v>
      </c>
      <c r="U9" s="7" t="s">
        <v>140</v>
      </c>
    </row>
    <row r="11" spans="1:21" ht="15" x14ac:dyDescent="0.2">
      <c r="A11" s="50" t="s">
        <v>161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1" x14ac:dyDescent="0.2">
      <c r="A12" s="10" t="s">
        <v>210</v>
      </c>
      <c r="B12" s="10" t="s">
        <v>211</v>
      </c>
      <c r="C12" s="10" t="s">
        <v>212</v>
      </c>
      <c r="D12" s="10" t="str">
        <f>"0,5782"</f>
        <v>0,5782</v>
      </c>
      <c r="E12" s="10" t="s">
        <v>34</v>
      </c>
      <c r="F12" s="10" t="s">
        <v>203</v>
      </c>
      <c r="G12" s="12" t="s">
        <v>27</v>
      </c>
      <c r="H12" s="11" t="s">
        <v>27</v>
      </c>
      <c r="I12" s="11" t="s">
        <v>129</v>
      </c>
      <c r="J12" s="12"/>
      <c r="K12" s="11" t="s">
        <v>26</v>
      </c>
      <c r="L12" s="11" t="s">
        <v>36</v>
      </c>
      <c r="M12" s="12" t="s">
        <v>71</v>
      </c>
      <c r="N12" s="12"/>
      <c r="O12" s="11" t="s">
        <v>152</v>
      </c>
      <c r="P12" s="11" t="s">
        <v>55</v>
      </c>
      <c r="Q12" s="11" t="s">
        <v>62</v>
      </c>
      <c r="R12" s="12"/>
      <c r="S12" s="10" t="str">
        <f>"640,0"</f>
        <v>640,0</v>
      </c>
      <c r="T12" s="11" t="str">
        <f>"370,0480"</f>
        <v>370,0480</v>
      </c>
      <c r="U12" s="10" t="s">
        <v>140</v>
      </c>
    </row>
    <row r="13" spans="1:21" x14ac:dyDescent="0.2">
      <c r="A13" s="13" t="s">
        <v>214</v>
      </c>
      <c r="B13" s="13" t="s">
        <v>215</v>
      </c>
      <c r="C13" s="13" t="s">
        <v>216</v>
      </c>
      <c r="D13" s="13" t="str">
        <f>"0,5864"</f>
        <v>0,5864</v>
      </c>
      <c r="E13" s="13" t="s">
        <v>34</v>
      </c>
      <c r="F13" s="13" t="s">
        <v>203</v>
      </c>
      <c r="G13" s="16" t="s">
        <v>36</v>
      </c>
      <c r="H13" s="16" t="s">
        <v>136</v>
      </c>
      <c r="I13" s="16" t="s">
        <v>127</v>
      </c>
      <c r="J13" s="14"/>
      <c r="K13" s="16" t="s">
        <v>36</v>
      </c>
      <c r="L13" s="16" t="s">
        <v>136</v>
      </c>
      <c r="M13" s="16" t="s">
        <v>217</v>
      </c>
      <c r="N13" s="14"/>
      <c r="O13" s="16" t="s">
        <v>37</v>
      </c>
      <c r="P13" s="16" t="s">
        <v>127</v>
      </c>
      <c r="Q13" s="16" t="s">
        <v>152</v>
      </c>
      <c r="R13" s="14"/>
      <c r="S13" s="13" t="str">
        <f>"615,0"</f>
        <v>615,0</v>
      </c>
      <c r="T13" s="16" t="str">
        <f>"360,6360"</f>
        <v>360,6360</v>
      </c>
      <c r="U13" s="13" t="s">
        <v>140</v>
      </c>
    </row>
    <row r="15" spans="1:21" ht="15" x14ac:dyDescent="0.2">
      <c r="A15" s="50" t="s">
        <v>218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spans="1:21" x14ac:dyDescent="0.2">
      <c r="A16" s="7" t="s">
        <v>220</v>
      </c>
      <c r="B16" s="7" t="s">
        <v>221</v>
      </c>
      <c r="C16" s="7" t="s">
        <v>222</v>
      </c>
      <c r="D16" s="7" t="str">
        <f>"0,5624"</f>
        <v>0,5624</v>
      </c>
      <c r="E16" s="7" t="s">
        <v>34</v>
      </c>
      <c r="F16" s="7" t="s">
        <v>203</v>
      </c>
      <c r="G16" s="9" t="s">
        <v>223</v>
      </c>
      <c r="H16" s="8" t="s">
        <v>223</v>
      </c>
      <c r="I16" s="9" t="s">
        <v>224</v>
      </c>
      <c r="J16" s="9"/>
      <c r="K16" s="8" t="s">
        <v>138</v>
      </c>
      <c r="L16" s="9" t="s">
        <v>225</v>
      </c>
      <c r="M16" s="9"/>
      <c r="N16" s="9"/>
      <c r="O16" s="9" t="s">
        <v>197</v>
      </c>
      <c r="P16" s="8" t="s">
        <v>138</v>
      </c>
      <c r="Q16" s="9" t="s">
        <v>89</v>
      </c>
      <c r="R16" s="9"/>
      <c r="S16" s="7" t="str">
        <f>"1060,0"</f>
        <v>1060,0</v>
      </c>
      <c r="T16" s="8" t="str">
        <f>"596,1440"</f>
        <v>596,1440</v>
      </c>
      <c r="U16" s="7" t="s">
        <v>140</v>
      </c>
    </row>
    <row r="18" spans="1:5" ht="15" x14ac:dyDescent="0.2">
      <c r="E18" s="15" t="s">
        <v>74</v>
      </c>
    </row>
    <row r="19" spans="1:5" ht="15" x14ac:dyDescent="0.2">
      <c r="E19" s="15" t="s">
        <v>75</v>
      </c>
    </row>
    <row r="20" spans="1:5" ht="15" x14ac:dyDescent="0.2">
      <c r="E20" s="15" t="s">
        <v>76</v>
      </c>
    </row>
    <row r="21" spans="1:5" ht="15" x14ac:dyDescent="0.2">
      <c r="E21" s="15" t="s">
        <v>77</v>
      </c>
    </row>
    <row r="22" spans="1:5" ht="15" x14ac:dyDescent="0.2">
      <c r="E22" s="15" t="s">
        <v>77</v>
      </c>
    </row>
    <row r="23" spans="1:5" ht="15" x14ac:dyDescent="0.2">
      <c r="E23" s="15" t="s">
        <v>78</v>
      </c>
    </row>
    <row r="24" spans="1:5" ht="15" x14ac:dyDescent="0.2">
      <c r="E24" s="15"/>
    </row>
    <row r="26" spans="1:5" ht="18" x14ac:dyDescent="0.25">
      <c r="A26" s="17" t="s">
        <v>79</v>
      </c>
      <c r="B26" s="17"/>
    </row>
    <row r="27" spans="1:5" ht="15" x14ac:dyDescent="0.2">
      <c r="A27" s="18" t="s">
        <v>91</v>
      </c>
      <c r="B27" s="18"/>
    </row>
    <row r="28" spans="1:5" ht="14.25" x14ac:dyDescent="0.2">
      <c r="A28" s="20"/>
      <c r="B28" s="21" t="s">
        <v>92</v>
      </c>
    </row>
    <row r="29" spans="1:5" ht="15" x14ac:dyDescent="0.2">
      <c r="A29" s="22" t="s">
        <v>82</v>
      </c>
      <c r="B29" s="22" t="s">
        <v>83</v>
      </c>
      <c r="C29" s="22" t="s">
        <v>84</v>
      </c>
      <c r="D29" s="22" t="s">
        <v>85</v>
      </c>
      <c r="E29" s="22" t="s">
        <v>86</v>
      </c>
    </row>
    <row r="30" spans="1:5" x14ac:dyDescent="0.2">
      <c r="A30" s="19" t="s">
        <v>219</v>
      </c>
      <c r="B30" s="4" t="s">
        <v>92</v>
      </c>
      <c r="C30" s="4" t="s">
        <v>226</v>
      </c>
      <c r="D30" s="4" t="s">
        <v>227</v>
      </c>
      <c r="E30" s="23" t="s">
        <v>228</v>
      </c>
    </row>
    <row r="31" spans="1:5" x14ac:dyDescent="0.2">
      <c r="A31" s="19" t="s">
        <v>204</v>
      </c>
      <c r="B31" s="4" t="s">
        <v>92</v>
      </c>
      <c r="C31" s="4" t="s">
        <v>170</v>
      </c>
      <c r="D31" s="4" t="s">
        <v>229</v>
      </c>
      <c r="E31" s="23" t="s">
        <v>230</v>
      </c>
    </row>
    <row r="32" spans="1:5" x14ac:dyDescent="0.2">
      <c r="A32" s="19" t="s">
        <v>209</v>
      </c>
      <c r="B32" s="4" t="s">
        <v>92</v>
      </c>
      <c r="C32" s="4" t="s">
        <v>181</v>
      </c>
      <c r="D32" s="4" t="s">
        <v>231</v>
      </c>
      <c r="E32" s="23" t="s">
        <v>232</v>
      </c>
    </row>
    <row r="33" spans="1:5" x14ac:dyDescent="0.2">
      <c r="A33" s="19" t="s">
        <v>213</v>
      </c>
      <c r="B33" s="4" t="s">
        <v>92</v>
      </c>
      <c r="C33" s="4" t="s">
        <v>181</v>
      </c>
      <c r="D33" s="4" t="s">
        <v>233</v>
      </c>
      <c r="E33" s="23" t="s">
        <v>234</v>
      </c>
    </row>
    <row r="34" spans="1:5" x14ac:dyDescent="0.2">
      <c r="A34" s="19" t="s">
        <v>199</v>
      </c>
      <c r="B34" s="4" t="s">
        <v>92</v>
      </c>
      <c r="C34" s="4" t="s">
        <v>93</v>
      </c>
      <c r="D34" s="4" t="s">
        <v>235</v>
      </c>
      <c r="E34" s="23" t="s">
        <v>236</v>
      </c>
    </row>
  </sheetData>
  <mergeCells count="17">
    <mergeCell ref="A15:T15"/>
    <mergeCell ref="S3:S4"/>
    <mergeCell ref="T3:T4"/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9.7109375" style="4" bestFit="1" customWidth="1"/>
    <col min="4" max="4" width="6.5703125" style="4" bestFit="1" customWidth="1"/>
    <col min="5" max="5" width="22.7109375" style="4" bestFit="1" customWidth="1"/>
    <col min="6" max="6" width="29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5" width="5.5703125" style="3" bestFit="1" customWidth="1"/>
    <col min="16" max="17" width="2.140625" style="3" bestFit="1" customWidth="1"/>
    <col min="18" max="18" width="4.85546875" style="3" bestFit="1" customWidth="1"/>
    <col min="19" max="19" width="7.85546875" style="4" bestFit="1" customWidth="1"/>
    <col min="20" max="20" width="6.5703125" style="3" bestFit="1" customWidth="1"/>
    <col min="21" max="21" width="12.85546875" style="4" bestFit="1" customWidth="1"/>
    <col min="22" max="16384" width="9.140625" style="3"/>
  </cols>
  <sheetData>
    <row r="1" spans="1:21" s="2" customFormat="1" ht="29.1" customHeight="1" x14ac:dyDescent="0.2">
      <c r="A1" s="51" t="s">
        <v>1350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10</v>
      </c>
      <c r="H3" s="61"/>
      <c r="I3" s="61"/>
      <c r="J3" s="61"/>
      <c r="K3" s="61" t="s">
        <v>11</v>
      </c>
      <c r="L3" s="61"/>
      <c r="M3" s="61"/>
      <c r="N3" s="61"/>
      <c r="O3" s="61" t="s">
        <v>12</v>
      </c>
      <c r="P3" s="61"/>
      <c r="Q3" s="61"/>
      <c r="R3" s="61"/>
      <c r="S3" s="61" t="s">
        <v>1</v>
      </c>
      <c r="T3" s="61" t="s">
        <v>3</v>
      </c>
      <c r="U3" s="62" t="s">
        <v>2</v>
      </c>
    </row>
    <row r="4" spans="1:21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60"/>
      <c r="T4" s="60"/>
      <c r="U4" s="63"/>
    </row>
    <row r="5" spans="1:21" ht="15" x14ac:dyDescent="0.2">
      <c r="A5" s="64" t="s">
        <v>29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1" x14ac:dyDescent="0.2">
      <c r="A6" s="7" t="s">
        <v>187</v>
      </c>
      <c r="B6" s="7" t="s">
        <v>188</v>
      </c>
      <c r="C6" s="7" t="s">
        <v>189</v>
      </c>
      <c r="D6" s="7" t="str">
        <f>"0,6769"</f>
        <v>0,6769</v>
      </c>
      <c r="E6" s="7" t="s">
        <v>34</v>
      </c>
      <c r="F6" s="7" t="s">
        <v>35</v>
      </c>
      <c r="G6" s="9" t="s">
        <v>70</v>
      </c>
      <c r="H6" s="9" t="s">
        <v>70</v>
      </c>
      <c r="I6" s="8" t="s">
        <v>70</v>
      </c>
      <c r="J6" s="9"/>
      <c r="K6" s="9" t="s">
        <v>27</v>
      </c>
      <c r="L6" s="9" t="s">
        <v>27</v>
      </c>
      <c r="M6" s="9" t="s">
        <v>27</v>
      </c>
      <c r="N6" s="9"/>
      <c r="O6" s="9" t="s">
        <v>152</v>
      </c>
      <c r="P6" s="9"/>
      <c r="Q6" s="9"/>
      <c r="R6" s="9"/>
      <c r="S6" s="7" t="str">
        <f>"0.00"</f>
        <v>0.00</v>
      </c>
      <c r="T6" s="8" t="str">
        <f>"0,0000"</f>
        <v>0,0000</v>
      </c>
      <c r="U6" s="7" t="s">
        <v>190</v>
      </c>
    </row>
    <row r="8" spans="1:21" ht="15" x14ac:dyDescent="0.2">
      <c r="A8" s="50" t="s">
        <v>161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1" x14ac:dyDescent="0.2">
      <c r="A9" s="7" t="s">
        <v>191</v>
      </c>
      <c r="B9" s="7" t="s">
        <v>192</v>
      </c>
      <c r="C9" s="7" t="s">
        <v>193</v>
      </c>
      <c r="D9" s="7" t="str">
        <f>"0,5756"</f>
        <v>0,5756</v>
      </c>
      <c r="E9" s="7" t="s">
        <v>34</v>
      </c>
      <c r="F9" s="7" t="s">
        <v>194</v>
      </c>
      <c r="G9" s="8" t="s">
        <v>195</v>
      </c>
      <c r="H9" s="9" t="s">
        <v>196</v>
      </c>
      <c r="I9" s="8" t="s">
        <v>196</v>
      </c>
      <c r="J9" s="9"/>
      <c r="K9" s="9" t="s">
        <v>129</v>
      </c>
      <c r="L9" s="9" t="s">
        <v>129</v>
      </c>
      <c r="M9" s="9" t="s">
        <v>129</v>
      </c>
      <c r="N9" s="9"/>
      <c r="O9" s="9" t="s">
        <v>197</v>
      </c>
      <c r="P9" s="9"/>
      <c r="Q9" s="9"/>
      <c r="R9" s="9"/>
      <c r="S9" s="7" t="str">
        <f>"0.00"</f>
        <v>0.00</v>
      </c>
      <c r="T9" s="8" t="str">
        <f>"0,0000"</f>
        <v>0,0000</v>
      </c>
      <c r="U9" s="7" t="s">
        <v>198</v>
      </c>
    </row>
    <row r="11" spans="1:21" ht="15" x14ac:dyDescent="0.2">
      <c r="E11" s="15" t="s">
        <v>74</v>
      </c>
    </row>
    <row r="12" spans="1:21" ht="15" x14ac:dyDescent="0.2">
      <c r="E12" s="15" t="s">
        <v>75</v>
      </c>
    </row>
    <row r="13" spans="1:21" ht="15" x14ac:dyDescent="0.2">
      <c r="E13" s="15" t="s">
        <v>76</v>
      </c>
    </row>
    <row r="14" spans="1:21" ht="15" x14ac:dyDescent="0.2">
      <c r="E14" s="15" t="s">
        <v>77</v>
      </c>
    </row>
    <row r="15" spans="1:21" ht="15" x14ac:dyDescent="0.2">
      <c r="E15" s="15" t="s">
        <v>77</v>
      </c>
    </row>
    <row r="16" spans="1:21" ht="15" x14ac:dyDescent="0.2">
      <c r="E16" s="15" t="s">
        <v>78</v>
      </c>
    </row>
    <row r="17" spans="1:5" ht="15" x14ac:dyDescent="0.2">
      <c r="E17" s="15"/>
    </row>
    <row r="19" spans="1:5" ht="18" x14ac:dyDescent="0.25">
      <c r="A19" s="17" t="s">
        <v>79</v>
      </c>
      <c r="B19" s="17"/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6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23.85546875" style="4" bestFit="1" customWidth="1"/>
    <col min="22" max="16384" width="9.140625" style="3"/>
  </cols>
  <sheetData>
    <row r="1" spans="1:21" s="2" customFormat="1" ht="29.1" customHeight="1" x14ac:dyDescent="0.2">
      <c r="A1" s="51" t="s">
        <v>1349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10</v>
      </c>
      <c r="H3" s="61"/>
      <c r="I3" s="61"/>
      <c r="J3" s="61"/>
      <c r="K3" s="61" t="s">
        <v>11</v>
      </c>
      <c r="L3" s="61"/>
      <c r="M3" s="61"/>
      <c r="N3" s="61"/>
      <c r="O3" s="61" t="s">
        <v>12</v>
      </c>
      <c r="P3" s="61"/>
      <c r="Q3" s="61"/>
      <c r="R3" s="61"/>
      <c r="S3" s="61" t="s">
        <v>1</v>
      </c>
      <c r="T3" s="61" t="s">
        <v>3</v>
      </c>
      <c r="U3" s="62" t="s">
        <v>2</v>
      </c>
    </row>
    <row r="4" spans="1:21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60"/>
      <c r="T4" s="60"/>
      <c r="U4" s="63"/>
    </row>
    <row r="5" spans="1:21" ht="15" x14ac:dyDescent="0.2">
      <c r="A5" s="64" t="s">
        <v>45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1" x14ac:dyDescent="0.2">
      <c r="A6" s="10" t="s">
        <v>103</v>
      </c>
      <c r="B6" s="10" t="s">
        <v>104</v>
      </c>
      <c r="C6" s="10" t="s">
        <v>105</v>
      </c>
      <c r="D6" s="10" t="str">
        <f>"0,6395"</f>
        <v>0,6395</v>
      </c>
      <c r="E6" s="10" t="s">
        <v>106</v>
      </c>
      <c r="F6" s="10" t="s">
        <v>107</v>
      </c>
      <c r="G6" s="12" t="s">
        <v>51</v>
      </c>
      <c r="H6" s="11" t="s">
        <v>51</v>
      </c>
      <c r="I6" s="11" t="s">
        <v>62</v>
      </c>
      <c r="J6" s="12"/>
      <c r="K6" s="11" t="s">
        <v>36</v>
      </c>
      <c r="L6" s="12" t="s">
        <v>37</v>
      </c>
      <c r="M6" s="11" t="s">
        <v>108</v>
      </c>
      <c r="N6" s="12"/>
      <c r="O6" s="11" t="s">
        <v>51</v>
      </c>
      <c r="P6" s="11" t="s">
        <v>56</v>
      </c>
      <c r="Q6" s="11" t="s">
        <v>109</v>
      </c>
      <c r="R6" s="12"/>
      <c r="S6" s="10" t="str">
        <f>"727,5"</f>
        <v>727,5</v>
      </c>
      <c r="T6" s="11" t="str">
        <f>"465,2363"</f>
        <v>465,2363</v>
      </c>
      <c r="U6" s="10" t="s">
        <v>73</v>
      </c>
    </row>
    <row r="7" spans="1:21" x14ac:dyDescent="0.2">
      <c r="A7" s="13" t="s">
        <v>111</v>
      </c>
      <c r="B7" s="13" t="s">
        <v>112</v>
      </c>
      <c r="C7" s="13" t="s">
        <v>113</v>
      </c>
      <c r="D7" s="13" t="str">
        <f>"0,6424"</f>
        <v>0,6424</v>
      </c>
      <c r="E7" s="13" t="s">
        <v>34</v>
      </c>
      <c r="F7" s="13" t="s">
        <v>114</v>
      </c>
      <c r="G7" s="16" t="s">
        <v>115</v>
      </c>
      <c r="H7" s="16" t="s">
        <v>116</v>
      </c>
      <c r="I7" s="16" t="s">
        <v>117</v>
      </c>
      <c r="J7" s="14"/>
      <c r="K7" s="16" t="s">
        <v>118</v>
      </c>
      <c r="L7" s="16" t="s">
        <v>36</v>
      </c>
      <c r="M7" s="16" t="s">
        <v>71</v>
      </c>
      <c r="N7" s="14"/>
      <c r="O7" s="16" t="s">
        <v>115</v>
      </c>
      <c r="P7" s="16" t="s">
        <v>69</v>
      </c>
      <c r="Q7" s="16" t="s">
        <v>119</v>
      </c>
      <c r="R7" s="14"/>
      <c r="S7" s="13" t="str">
        <f>"645,0"</f>
        <v>645,0</v>
      </c>
      <c r="T7" s="16" t="str">
        <f>"432,1650"</f>
        <v>432,1650</v>
      </c>
      <c r="U7" s="13" t="s">
        <v>120</v>
      </c>
    </row>
    <row r="9" spans="1:21" ht="15" x14ac:dyDescent="0.2">
      <c r="A9" s="50" t="s">
        <v>121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1" x14ac:dyDescent="0.2">
      <c r="A10" s="10" t="s">
        <v>123</v>
      </c>
      <c r="B10" s="10" t="s">
        <v>124</v>
      </c>
      <c r="C10" s="10" t="s">
        <v>125</v>
      </c>
      <c r="D10" s="10" t="str">
        <f>"0,6136"</f>
        <v>0,6136</v>
      </c>
      <c r="E10" s="10" t="s">
        <v>34</v>
      </c>
      <c r="F10" s="10" t="s">
        <v>126</v>
      </c>
      <c r="G10" s="11" t="s">
        <v>41</v>
      </c>
      <c r="H10" s="11" t="s">
        <v>127</v>
      </c>
      <c r="I10" s="12" t="s">
        <v>43</v>
      </c>
      <c r="J10" s="12"/>
      <c r="K10" s="11" t="s">
        <v>128</v>
      </c>
      <c r="L10" s="11" t="s">
        <v>118</v>
      </c>
      <c r="M10" s="12" t="s">
        <v>27</v>
      </c>
      <c r="N10" s="12"/>
      <c r="O10" s="11" t="s">
        <v>127</v>
      </c>
      <c r="P10" s="11" t="s">
        <v>129</v>
      </c>
      <c r="Q10" s="12" t="s">
        <v>130</v>
      </c>
      <c r="R10" s="12"/>
      <c r="S10" s="10" t="str">
        <f>"555,0"</f>
        <v>555,0</v>
      </c>
      <c r="T10" s="11" t="str">
        <f>"340,5480"</f>
        <v>340,5480</v>
      </c>
      <c r="U10" s="10" t="s">
        <v>131</v>
      </c>
    </row>
    <row r="11" spans="1:21" x14ac:dyDescent="0.2">
      <c r="A11" s="24" t="s">
        <v>133</v>
      </c>
      <c r="B11" s="24" t="s">
        <v>134</v>
      </c>
      <c r="C11" s="24" t="s">
        <v>135</v>
      </c>
      <c r="D11" s="24" t="str">
        <f>"0,6103"</f>
        <v>0,6103</v>
      </c>
      <c r="E11" s="24" t="s">
        <v>34</v>
      </c>
      <c r="F11" s="24" t="s">
        <v>35</v>
      </c>
      <c r="G11" s="25" t="s">
        <v>51</v>
      </c>
      <c r="H11" s="26" t="s">
        <v>51</v>
      </c>
      <c r="I11" s="26" t="s">
        <v>62</v>
      </c>
      <c r="J11" s="25"/>
      <c r="K11" s="26" t="s">
        <v>136</v>
      </c>
      <c r="L11" s="25" t="s">
        <v>41</v>
      </c>
      <c r="M11" s="25" t="s">
        <v>41</v>
      </c>
      <c r="N11" s="25"/>
      <c r="O11" s="26" t="s">
        <v>137</v>
      </c>
      <c r="P11" s="26" t="s">
        <v>138</v>
      </c>
      <c r="Q11" s="25" t="s">
        <v>139</v>
      </c>
      <c r="R11" s="25"/>
      <c r="S11" s="24" t="str">
        <f>"780,0"</f>
        <v>780,0</v>
      </c>
      <c r="T11" s="26" t="str">
        <f>"476,0340"</f>
        <v>476,0340</v>
      </c>
      <c r="U11" s="24" t="s">
        <v>140</v>
      </c>
    </row>
    <row r="12" spans="1:21" x14ac:dyDescent="0.2">
      <c r="A12" s="24" t="s">
        <v>142</v>
      </c>
      <c r="B12" s="24" t="s">
        <v>143</v>
      </c>
      <c r="C12" s="24" t="s">
        <v>144</v>
      </c>
      <c r="D12" s="24" t="str">
        <f>"0,6186"</f>
        <v>0,6186</v>
      </c>
      <c r="E12" s="24" t="s">
        <v>34</v>
      </c>
      <c r="F12" s="24" t="s">
        <v>35</v>
      </c>
      <c r="G12" s="26" t="s">
        <v>51</v>
      </c>
      <c r="H12" s="26" t="s">
        <v>56</v>
      </c>
      <c r="I12" s="26" t="s">
        <v>109</v>
      </c>
      <c r="J12" s="25"/>
      <c r="K12" s="26" t="s">
        <v>145</v>
      </c>
      <c r="L12" s="26" t="s">
        <v>54</v>
      </c>
      <c r="M12" s="26" t="s">
        <v>146</v>
      </c>
      <c r="N12" s="25"/>
      <c r="O12" s="26" t="s">
        <v>147</v>
      </c>
      <c r="P12" s="26" t="s">
        <v>148</v>
      </c>
      <c r="Q12" s="26" t="s">
        <v>149</v>
      </c>
      <c r="R12" s="25"/>
      <c r="S12" s="24" t="str">
        <f>"765,0"</f>
        <v>765,0</v>
      </c>
      <c r="T12" s="26" t="str">
        <f>"473,2290"</f>
        <v>473,2290</v>
      </c>
      <c r="U12" s="24" t="s">
        <v>73</v>
      </c>
    </row>
    <row r="13" spans="1:21" x14ac:dyDescent="0.2">
      <c r="A13" s="13" t="s">
        <v>151</v>
      </c>
      <c r="B13" s="13" t="s">
        <v>112</v>
      </c>
      <c r="C13" s="13" t="s">
        <v>144</v>
      </c>
      <c r="D13" s="13" t="str">
        <f>"0,6186"</f>
        <v>0,6186</v>
      </c>
      <c r="E13" s="13" t="s">
        <v>34</v>
      </c>
      <c r="F13" s="13" t="s">
        <v>114</v>
      </c>
      <c r="G13" s="16" t="s">
        <v>152</v>
      </c>
      <c r="H13" s="16" t="s">
        <v>70</v>
      </c>
      <c r="I13" s="16" t="s">
        <v>55</v>
      </c>
      <c r="J13" s="14"/>
      <c r="K13" s="16" t="s">
        <v>128</v>
      </c>
      <c r="L13" s="16" t="s">
        <v>27</v>
      </c>
      <c r="M13" s="16" t="s">
        <v>146</v>
      </c>
      <c r="N13" s="14"/>
      <c r="O13" s="16" t="s">
        <v>152</v>
      </c>
      <c r="P13" s="16" t="s">
        <v>72</v>
      </c>
      <c r="Q13" s="16" t="s">
        <v>119</v>
      </c>
      <c r="R13" s="14"/>
      <c r="S13" s="13" t="str">
        <f>"650,0"</f>
        <v>650,0</v>
      </c>
      <c r="T13" s="16" t="str">
        <f>"419,3799"</f>
        <v>419,3799</v>
      </c>
      <c r="U13" s="13" t="s">
        <v>153</v>
      </c>
    </row>
    <row r="15" spans="1:21" ht="15" x14ac:dyDescent="0.2">
      <c r="A15" s="50" t="s">
        <v>64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spans="1:21" x14ac:dyDescent="0.2">
      <c r="A16" s="7" t="s">
        <v>155</v>
      </c>
      <c r="B16" s="7" t="s">
        <v>156</v>
      </c>
      <c r="C16" s="7" t="s">
        <v>157</v>
      </c>
      <c r="D16" s="7" t="str">
        <f>"0,5905"</f>
        <v>0,5905</v>
      </c>
      <c r="E16" s="7" t="s">
        <v>106</v>
      </c>
      <c r="F16" s="7" t="s">
        <v>35</v>
      </c>
      <c r="G16" s="8" t="s">
        <v>158</v>
      </c>
      <c r="H16" s="8" t="s">
        <v>56</v>
      </c>
      <c r="I16" s="9" t="s">
        <v>57</v>
      </c>
      <c r="J16" s="9"/>
      <c r="K16" s="8" t="s">
        <v>41</v>
      </c>
      <c r="L16" s="9" t="s">
        <v>127</v>
      </c>
      <c r="M16" s="8" t="s">
        <v>127</v>
      </c>
      <c r="N16" s="9"/>
      <c r="O16" s="8" t="s">
        <v>159</v>
      </c>
      <c r="P16" s="8" t="s">
        <v>137</v>
      </c>
      <c r="Q16" s="9" t="s">
        <v>160</v>
      </c>
      <c r="R16" s="9"/>
      <c r="S16" s="7" t="str">
        <f>"790,0"</f>
        <v>790,0</v>
      </c>
      <c r="T16" s="8" t="str">
        <f>"466,4950"</f>
        <v>466,4950</v>
      </c>
      <c r="U16" s="7" t="s">
        <v>140</v>
      </c>
    </row>
    <row r="18" spans="1:21" ht="15" x14ac:dyDescent="0.2">
      <c r="A18" s="50" t="s">
        <v>161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1" x14ac:dyDescent="0.2">
      <c r="A19" s="7" t="s">
        <v>163</v>
      </c>
      <c r="B19" s="7" t="s">
        <v>164</v>
      </c>
      <c r="C19" s="7" t="s">
        <v>165</v>
      </c>
      <c r="D19" s="7" t="str">
        <f>"0,5812"</f>
        <v>0,5812</v>
      </c>
      <c r="E19" s="7" t="s">
        <v>34</v>
      </c>
      <c r="F19" s="7" t="s">
        <v>35</v>
      </c>
      <c r="G19" s="8" t="s">
        <v>127</v>
      </c>
      <c r="H19" s="8" t="s">
        <v>69</v>
      </c>
      <c r="I19" s="9" t="s">
        <v>55</v>
      </c>
      <c r="J19" s="9"/>
      <c r="K19" s="8" t="s">
        <v>27</v>
      </c>
      <c r="L19" s="8" t="s">
        <v>36</v>
      </c>
      <c r="M19" s="9" t="s">
        <v>71</v>
      </c>
      <c r="N19" s="9"/>
      <c r="O19" s="8" t="s">
        <v>116</v>
      </c>
      <c r="P19" s="9" t="s">
        <v>166</v>
      </c>
      <c r="Q19" s="8" t="s">
        <v>166</v>
      </c>
      <c r="R19" s="9"/>
      <c r="S19" s="7" t="str">
        <f>"635,0"</f>
        <v>635,0</v>
      </c>
      <c r="T19" s="8" t="str">
        <f>"369,0620"</f>
        <v>369,0620</v>
      </c>
      <c r="U19" s="7" t="s">
        <v>167</v>
      </c>
    </row>
    <row r="21" spans="1:21" ht="15" x14ac:dyDescent="0.2">
      <c r="E21" s="15" t="s">
        <v>74</v>
      </c>
    </row>
    <row r="22" spans="1:21" ht="15" x14ac:dyDescent="0.2">
      <c r="E22" s="15" t="s">
        <v>75</v>
      </c>
    </row>
    <row r="23" spans="1:21" ht="15" x14ac:dyDescent="0.2">
      <c r="E23" s="15" t="s">
        <v>76</v>
      </c>
    </row>
    <row r="24" spans="1:21" ht="15" x14ac:dyDescent="0.2">
      <c r="E24" s="15" t="s">
        <v>77</v>
      </c>
    </row>
    <row r="25" spans="1:21" ht="15" x14ac:dyDescent="0.2">
      <c r="E25" s="15" t="s">
        <v>77</v>
      </c>
    </row>
    <row r="26" spans="1:21" ht="15" x14ac:dyDescent="0.2">
      <c r="E26" s="15" t="s">
        <v>78</v>
      </c>
    </row>
    <row r="27" spans="1:21" ht="15" x14ac:dyDescent="0.2">
      <c r="E27" s="15"/>
    </row>
    <row r="29" spans="1:21" ht="18" x14ac:dyDescent="0.25">
      <c r="A29" s="17" t="s">
        <v>79</v>
      </c>
      <c r="B29" s="17"/>
    </row>
    <row r="30" spans="1:21" ht="15" x14ac:dyDescent="0.2">
      <c r="A30" s="18" t="s">
        <v>91</v>
      </c>
      <c r="B30" s="18"/>
    </row>
    <row r="31" spans="1:21" ht="14.25" x14ac:dyDescent="0.2">
      <c r="A31" s="20"/>
      <c r="B31" s="21" t="s">
        <v>168</v>
      </c>
    </row>
    <row r="32" spans="1:21" ht="15" x14ac:dyDescent="0.2">
      <c r="A32" s="22" t="s">
        <v>82</v>
      </c>
      <c r="B32" s="22" t="s">
        <v>83</v>
      </c>
      <c r="C32" s="22" t="s">
        <v>84</v>
      </c>
      <c r="D32" s="22" t="s">
        <v>85</v>
      </c>
      <c r="E32" s="22" t="s">
        <v>86</v>
      </c>
    </row>
    <row r="33" spans="1:5" x14ac:dyDescent="0.2">
      <c r="A33" s="19" t="s">
        <v>122</v>
      </c>
      <c r="B33" s="4" t="s">
        <v>169</v>
      </c>
      <c r="C33" s="4" t="s">
        <v>170</v>
      </c>
      <c r="D33" s="4" t="s">
        <v>171</v>
      </c>
      <c r="E33" s="23" t="s">
        <v>172</v>
      </c>
    </row>
    <row r="35" spans="1:5" ht="14.25" x14ac:dyDescent="0.2">
      <c r="A35" s="20"/>
      <c r="B35" s="21" t="s">
        <v>92</v>
      </c>
    </row>
    <row r="36" spans="1:5" ht="15" x14ac:dyDescent="0.2">
      <c r="A36" s="22" t="s">
        <v>82</v>
      </c>
      <c r="B36" s="22" t="s">
        <v>83</v>
      </c>
      <c r="C36" s="22" t="s">
        <v>84</v>
      </c>
      <c r="D36" s="22" t="s">
        <v>85</v>
      </c>
      <c r="E36" s="22" t="s">
        <v>86</v>
      </c>
    </row>
    <row r="37" spans="1:5" x14ac:dyDescent="0.2">
      <c r="A37" s="19" t="s">
        <v>132</v>
      </c>
      <c r="B37" s="4" t="s">
        <v>92</v>
      </c>
      <c r="C37" s="4" t="s">
        <v>170</v>
      </c>
      <c r="D37" s="4" t="s">
        <v>173</v>
      </c>
      <c r="E37" s="23" t="s">
        <v>174</v>
      </c>
    </row>
    <row r="38" spans="1:5" x14ac:dyDescent="0.2">
      <c r="A38" s="19" t="s">
        <v>141</v>
      </c>
      <c r="B38" s="4" t="s">
        <v>92</v>
      </c>
      <c r="C38" s="4" t="s">
        <v>170</v>
      </c>
      <c r="D38" s="4" t="s">
        <v>175</v>
      </c>
      <c r="E38" s="23" t="s">
        <v>176</v>
      </c>
    </row>
    <row r="39" spans="1:5" x14ac:dyDescent="0.2">
      <c r="A39" s="19" t="s">
        <v>154</v>
      </c>
      <c r="B39" s="4" t="s">
        <v>92</v>
      </c>
      <c r="C39" s="4" t="s">
        <v>96</v>
      </c>
      <c r="D39" s="4" t="s">
        <v>177</v>
      </c>
      <c r="E39" s="23" t="s">
        <v>178</v>
      </c>
    </row>
    <row r="40" spans="1:5" x14ac:dyDescent="0.2">
      <c r="A40" s="19" t="s">
        <v>102</v>
      </c>
      <c r="B40" s="4" t="s">
        <v>92</v>
      </c>
      <c r="C40" s="4" t="s">
        <v>93</v>
      </c>
      <c r="D40" s="4" t="s">
        <v>179</v>
      </c>
      <c r="E40" s="23" t="s">
        <v>180</v>
      </c>
    </row>
    <row r="41" spans="1:5" x14ac:dyDescent="0.2">
      <c r="A41" s="19" t="s">
        <v>162</v>
      </c>
      <c r="B41" s="4" t="s">
        <v>92</v>
      </c>
      <c r="C41" s="4" t="s">
        <v>181</v>
      </c>
      <c r="D41" s="4" t="s">
        <v>182</v>
      </c>
      <c r="E41" s="23" t="s">
        <v>183</v>
      </c>
    </row>
    <row r="43" spans="1:5" ht="14.25" x14ac:dyDescent="0.2">
      <c r="A43" s="20"/>
      <c r="B43" s="21" t="s">
        <v>81</v>
      </c>
    </row>
    <row r="44" spans="1:5" ht="15" x14ac:dyDescent="0.2">
      <c r="A44" s="22" t="s">
        <v>82</v>
      </c>
      <c r="B44" s="22" t="s">
        <v>83</v>
      </c>
      <c r="C44" s="22" t="s">
        <v>84</v>
      </c>
      <c r="D44" s="22" t="s">
        <v>85</v>
      </c>
      <c r="E44" s="22" t="s">
        <v>86</v>
      </c>
    </row>
    <row r="45" spans="1:5" x14ac:dyDescent="0.2">
      <c r="A45" s="19" t="s">
        <v>110</v>
      </c>
      <c r="B45" s="4" t="s">
        <v>87</v>
      </c>
      <c r="C45" s="4" t="s">
        <v>93</v>
      </c>
      <c r="D45" s="4" t="s">
        <v>184</v>
      </c>
      <c r="E45" s="23" t="s">
        <v>185</v>
      </c>
    </row>
    <row r="46" spans="1:5" x14ac:dyDescent="0.2">
      <c r="A46" s="19" t="s">
        <v>150</v>
      </c>
      <c r="B46" s="4" t="s">
        <v>87</v>
      </c>
      <c r="C46" s="4" t="s">
        <v>170</v>
      </c>
      <c r="D46" s="4" t="s">
        <v>97</v>
      </c>
      <c r="E46" s="23" t="s">
        <v>186</v>
      </c>
    </row>
  </sheetData>
  <mergeCells count="17">
    <mergeCell ref="A18:T18"/>
    <mergeCell ref="S3:S4"/>
    <mergeCell ref="T3:T4"/>
    <mergeCell ref="U3:U4"/>
    <mergeCell ref="A5:T5"/>
    <mergeCell ref="A9:T9"/>
    <mergeCell ref="A15:T1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38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9.85546875" style="4" bestFit="1" customWidth="1"/>
    <col min="22" max="16384" width="9.140625" style="3"/>
  </cols>
  <sheetData>
    <row r="1" spans="1:21" s="2" customFormat="1" ht="29.1" customHeight="1" x14ac:dyDescent="0.2">
      <c r="A1" s="51" t="s">
        <v>1348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10</v>
      </c>
      <c r="H3" s="61"/>
      <c r="I3" s="61"/>
      <c r="J3" s="61"/>
      <c r="K3" s="61" t="s">
        <v>11</v>
      </c>
      <c r="L3" s="61"/>
      <c r="M3" s="61"/>
      <c r="N3" s="61"/>
      <c r="O3" s="61" t="s">
        <v>12</v>
      </c>
      <c r="P3" s="61"/>
      <c r="Q3" s="61"/>
      <c r="R3" s="61"/>
      <c r="S3" s="61" t="s">
        <v>1</v>
      </c>
      <c r="T3" s="61" t="s">
        <v>3</v>
      </c>
      <c r="U3" s="62" t="s">
        <v>2</v>
      </c>
    </row>
    <row r="4" spans="1:21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60"/>
      <c r="T4" s="60"/>
      <c r="U4" s="63"/>
    </row>
    <row r="5" spans="1:21" ht="15" x14ac:dyDescent="0.2">
      <c r="A5" s="64" t="s">
        <v>13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1" x14ac:dyDescent="0.2">
      <c r="A6" s="7" t="s">
        <v>15</v>
      </c>
      <c r="B6" s="7" t="s">
        <v>16</v>
      </c>
      <c r="C6" s="7" t="s">
        <v>17</v>
      </c>
      <c r="D6" s="7" t="str">
        <f>"1,1236"</f>
        <v>1,1236</v>
      </c>
      <c r="E6" s="7" t="s">
        <v>18</v>
      </c>
      <c r="F6" s="7" t="s">
        <v>19</v>
      </c>
      <c r="G6" s="8" t="s">
        <v>20</v>
      </c>
      <c r="H6" s="9" t="s">
        <v>21</v>
      </c>
      <c r="I6" s="8" t="s">
        <v>22</v>
      </c>
      <c r="J6" s="9"/>
      <c r="K6" s="9" t="s">
        <v>23</v>
      </c>
      <c r="L6" s="8" t="s">
        <v>23</v>
      </c>
      <c r="M6" s="8" t="s">
        <v>24</v>
      </c>
      <c r="N6" s="9"/>
      <c r="O6" s="8" t="s">
        <v>25</v>
      </c>
      <c r="P6" s="8" t="s">
        <v>26</v>
      </c>
      <c r="Q6" s="8" t="s">
        <v>27</v>
      </c>
      <c r="R6" s="9"/>
      <c r="S6" s="7" t="str">
        <f>"350,0"</f>
        <v>350,0</v>
      </c>
      <c r="T6" s="8" t="str">
        <f>"393,2600"</f>
        <v>393,2600</v>
      </c>
      <c r="U6" s="7" t="s">
        <v>28</v>
      </c>
    </row>
    <row r="8" spans="1:21" ht="15" x14ac:dyDescent="0.2">
      <c r="A8" s="50" t="s">
        <v>29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1" x14ac:dyDescent="0.2">
      <c r="A9" s="7" t="s">
        <v>31</v>
      </c>
      <c r="B9" s="7" t="s">
        <v>32</v>
      </c>
      <c r="C9" s="7" t="s">
        <v>33</v>
      </c>
      <c r="D9" s="7" t="str">
        <f>"0,6785"</f>
        <v>0,6785</v>
      </c>
      <c r="E9" s="7" t="s">
        <v>34</v>
      </c>
      <c r="F9" s="7" t="s">
        <v>35</v>
      </c>
      <c r="G9" s="8" t="s">
        <v>27</v>
      </c>
      <c r="H9" s="8" t="s">
        <v>36</v>
      </c>
      <c r="I9" s="8" t="s">
        <v>37</v>
      </c>
      <c r="J9" s="9"/>
      <c r="K9" s="8" t="s">
        <v>38</v>
      </c>
      <c r="L9" s="8" t="s">
        <v>39</v>
      </c>
      <c r="M9" s="8" t="s">
        <v>40</v>
      </c>
      <c r="N9" s="9"/>
      <c r="O9" s="8" t="s">
        <v>41</v>
      </c>
      <c r="P9" s="9" t="s">
        <v>42</v>
      </c>
      <c r="Q9" s="8" t="s">
        <v>43</v>
      </c>
      <c r="R9" s="9"/>
      <c r="S9" s="7" t="str">
        <f>"495,0"</f>
        <v>495,0</v>
      </c>
      <c r="T9" s="8" t="str">
        <f>"335,8575"</f>
        <v>335,8575</v>
      </c>
      <c r="U9" s="7" t="s">
        <v>44</v>
      </c>
    </row>
    <row r="11" spans="1:21" ht="15" x14ac:dyDescent="0.2">
      <c r="A11" s="50" t="s">
        <v>45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1" x14ac:dyDescent="0.2">
      <c r="A12" s="10" t="s">
        <v>47</v>
      </c>
      <c r="B12" s="10" t="s">
        <v>48</v>
      </c>
      <c r="C12" s="10" t="s">
        <v>49</v>
      </c>
      <c r="D12" s="10" t="str">
        <f>"0,6384"</f>
        <v>0,6384</v>
      </c>
      <c r="E12" s="10" t="s">
        <v>34</v>
      </c>
      <c r="F12" s="10" t="s">
        <v>50</v>
      </c>
      <c r="G12" s="11" t="s">
        <v>51</v>
      </c>
      <c r="H12" s="11" t="s">
        <v>52</v>
      </c>
      <c r="I12" s="12" t="s">
        <v>53</v>
      </c>
      <c r="J12" s="12"/>
      <c r="K12" s="11" t="s">
        <v>26</v>
      </c>
      <c r="L12" s="11" t="s">
        <v>27</v>
      </c>
      <c r="M12" s="11" t="s">
        <v>54</v>
      </c>
      <c r="N12" s="12"/>
      <c r="O12" s="11" t="s">
        <v>55</v>
      </c>
      <c r="P12" s="11" t="s">
        <v>56</v>
      </c>
      <c r="Q12" s="11" t="s">
        <v>57</v>
      </c>
      <c r="R12" s="12"/>
      <c r="S12" s="10" t="str">
        <f>"720,0"</f>
        <v>720,0</v>
      </c>
      <c r="T12" s="11" t="str">
        <f>"459,6480"</f>
        <v>459,6480</v>
      </c>
      <c r="U12" s="10" t="s">
        <v>58</v>
      </c>
    </row>
    <row r="13" spans="1:21" x14ac:dyDescent="0.2">
      <c r="A13" s="13" t="s">
        <v>59</v>
      </c>
      <c r="B13" s="13" t="s">
        <v>60</v>
      </c>
      <c r="C13" s="13" t="s">
        <v>49</v>
      </c>
      <c r="D13" s="13" t="str">
        <f>"0,6384"</f>
        <v>0,6384</v>
      </c>
      <c r="E13" s="13" t="s">
        <v>18</v>
      </c>
      <c r="F13" s="13" t="s">
        <v>61</v>
      </c>
      <c r="G13" s="14" t="s">
        <v>62</v>
      </c>
      <c r="H13" s="14" t="s">
        <v>62</v>
      </c>
      <c r="I13" s="14" t="s">
        <v>62</v>
      </c>
      <c r="J13" s="14"/>
      <c r="K13" s="14" t="s">
        <v>54</v>
      </c>
      <c r="L13" s="14"/>
      <c r="M13" s="14"/>
      <c r="N13" s="14"/>
      <c r="O13" s="14" t="s">
        <v>51</v>
      </c>
      <c r="P13" s="14"/>
      <c r="Q13" s="14"/>
      <c r="R13" s="14"/>
      <c r="S13" s="13" t="str">
        <f>"0.00"</f>
        <v>0.00</v>
      </c>
      <c r="T13" s="16" t="str">
        <f>"0,0000"</f>
        <v>0,0000</v>
      </c>
      <c r="U13" s="13" t="s">
        <v>63</v>
      </c>
    </row>
    <row r="15" spans="1:21" ht="15" x14ac:dyDescent="0.2">
      <c r="A15" s="50" t="s">
        <v>64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spans="1:21" x14ac:dyDescent="0.2">
      <c r="A16" s="7" t="s">
        <v>66</v>
      </c>
      <c r="B16" s="7" t="s">
        <v>67</v>
      </c>
      <c r="C16" s="7" t="s">
        <v>68</v>
      </c>
      <c r="D16" s="7" t="str">
        <f>"0,5958"</f>
        <v>0,5958</v>
      </c>
      <c r="E16" s="7" t="s">
        <v>34</v>
      </c>
      <c r="F16" s="7" t="s">
        <v>35</v>
      </c>
      <c r="G16" s="8" t="s">
        <v>69</v>
      </c>
      <c r="H16" s="8" t="s">
        <v>70</v>
      </c>
      <c r="I16" s="8" t="s">
        <v>55</v>
      </c>
      <c r="J16" s="9"/>
      <c r="K16" s="8" t="s">
        <v>36</v>
      </c>
      <c r="L16" s="8" t="s">
        <v>71</v>
      </c>
      <c r="M16" s="9"/>
      <c r="N16" s="9"/>
      <c r="O16" s="8" t="s">
        <v>69</v>
      </c>
      <c r="P16" s="8" t="s">
        <v>72</v>
      </c>
      <c r="Q16" s="9"/>
      <c r="R16" s="9"/>
      <c r="S16" s="7" t="str">
        <f>"650,0"</f>
        <v>650,0</v>
      </c>
      <c r="T16" s="8" t="str">
        <f>"387,2700"</f>
        <v>387,2700</v>
      </c>
      <c r="U16" s="7" t="s">
        <v>73</v>
      </c>
    </row>
    <row r="18" spans="1:5" ht="15" x14ac:dyDescent="0.2">
      <c r="E18" s="15" t="s">
        <v>74</v>
      </c>
    </row>
    <row r="19" spans="1:5" ht="15" x14ac:dyDescent="0.2">
      <c r="E19" s="15" t="s">
        <v>75</v>
      </c>
    </row>
    <row r="20" spans="1:5" ht="15" x14ac:dyDescent="0.2">
      <c r="E20" s="15" t="s">
        <v>76</v>
      </c>
    </row>
    <row r="21" spans="1:5" ht="15" x14ac:dyDescent="0.2">
      <c r="E21" s="15" t="s">
        <v>77</v>
      </c>
    </row>
    <row r="22" spans="1:5" ht="15" x14ac:dyDescent="0.2">
      <c r="E22" s="15" t="s">
        <v>77</v>
      </c>
    </row>
    <row r="23" spans="1:5" ht="15" x14ac:dyDescent="0.2">
      <c r="E23" s="15" t="s">
        <v>78</v>
      </c>
    </row>
    <row r="24" spans="1:5" ht="15" x14ac:dyDescent="0.2">
      <c r="E24" s="15"/>
    </row>
    <row r="26" spans="1:5" ht="18" x14ac:dyDescent="0.25">
      <c r="A26" s="17" t="s">
        <v>79</v>
      </c>
      <c r="B26" s="17"/>
    </row>
    <row r="27" spans="1:5" ht="15" x14ac:dyDescent="0.2">
      <c r="A27" s="18" t="s">
        <v>80</v>
      </c>
      <c r="B27" s="18"/>
    </row>
    <row r="28" spans="1:5" ht="14.25" x14ac:dyDescent="0.2">
      <c r="A28" s="20"/>
      <c r="B28" s="21" t="s">
        <v>81</v>
      </c>
    </row>
    <row r="29" spans="1:5" ht="15" x14ac:dyDescent="0.2">
      <c r="A29" s="22" t="s">
        <v>82</v>
      </c>
      <c r="B29" s="22" t="s">
        <v>83</v>
      </c>
      <c r="C29" s="22" t="s">
        <v>84</v>
      </c>
      <c r="D29" s="22" t="s">
        <v>85</v>
      </c>
      <c r="E29" s="22" t="s">
        <v>86</v>
      </c>
    </row>
    <row r="30" spans="1:5" x14ac:dyDescent="0.2">
      <c r="A30" s="19" t="s">
        <v>14</v>
      </c>
      <c r="B30" s="4" t="s">
        <v>87</v>
      </c>
      <c r="C30" s="4" t="s">
        <v>88</v>
      </c>
      <c r="D30" s="4" t="s">
        <v>89</v>
      </c>
      <c r="E30" s="23" t="s">
        <v>90</v>
      </c>
    </row>
    <row r="33" spans="1:5" ht="15" x14ac:dyDescent="0.2">
      <c r="A33" s="18" t="s">
        <v>91</v>
      </c>
      <c r="B33" s="18"/>
    </row>
    <row r="34" spans="1:5" ht="14.25" x14ac:dyDescent="0.2">
      <c r="A34" s="20"/>
      <c r="B34" s="21" t="s">
        <v>92</v>
      </c>
    </row>
    <row r="35" spans="1:5" ht="15" x14ac:dyDescent="0.2">
      <c r="A35" s="22" t="s">
        <v>82</v>
      </c>
      <c r="B35" s="22" t="s">
        <v>83</v>
      </c>
      <c r="C35" s="22" t="s">
        <v>84</v>
      </c>
      <c r="D35" s="22" t="s">
        <v>85</v>
      </c>
      <c r="E35" s="22" t="s">
        <v>86</v>
      </c>
    </row>
    <row r="36" spans="1:5" x14ac:dyDescent="0.2">
      <c r="A36" s="19" t="s">
        <v>46</v>
      </c>
      <c r="B36" s="4" t="s">
        <v>92</v>
      </c>
      <c r="C36" s="4" t="s">
        <v>93</v>
      </c>
      <c r="D36" s="4" t="s">
        <v>94</v>
      </c>
      <c r="E36" s="23" t="s">
        <v>95</v>
      </c>
    </row>
    <row r="37" spans="1:5" x14ac:dyDescent="0.2">
      <c r="A37" s="19" t="s">
        <v>65</v>
      </c>
      <c r="B37" s="4" t="s">
        <v>92</v>
      </c>
      <c r="C37" s="4" t="s">
        <v>96</v>
      </c>
      <c r="D37" s="4" t="s">
        <v>97</v>
      </c>
      <c r="E37" s="23" t="s">
        <v>98</v>
      </c>
    </row>
    <row r="38" spans="1:5" x14ac:dyDescent="0.2">
      <c r="A38" s="19" t="s">
        <v>30</v>
      </c>
      <c r="B38" s="4" t="s">
        <v>92</v>
      </c>
      <c r="C38" s="4" t="s">
        <v>99</v>
      </c>
      <c r="D38" s="4" t="s">
        <v>100</v>
      </c>
      <c r="E38" s="23" t="s">
        <v>101</v>
      </c>
    </row>
  </sheetData>
  <mergeCells count="17">
    <mergeCell ref="A5:T5"/>
    <mergeCell ref="A8:T8"/>
    <mergeCell ref="A11:T11"/>
    <mergeCell ref="A15:T15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H25" sqref="H25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7" width="4.5703125" style="3" bestFit="1" customWidth="1"/>
    <col min="8" max="8" width="4.5703125" style="29" bestFit="1" customWidth="1"/>
    <col min="9" max="9" width="7.85546875" style="4" bestFit="1" customWidth="1"/>
    <col min="10" max="10" width="9.5703125" style="3" bestFit="1" customWidth="1"/>
    <col min="11" max="11" width="14.28515625" style="4" bestFit="1" customWidth="1"/>
    <col min="12" max="16384" width="9.140625" style="3"/>
  </cols>
  <sheetData>
    <row r="1" spans="1:11" s="2" customFormat="1" ht="29.1" customHeight="1" x14ac:dyDescent="0.2">
      <c r="A1" s="51" t="s">
        <v>1362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1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1363</v>
      </c>
      <c r="E3" s="61" t="s">
        <v>4</v>
      </c>
      <c r="F3" s="61" t="s">
        <v>8</v>
      </c>
      <c r="G3" s="61" t="s">
        <v>1364</v>
      </c>
      <c r="H3" s="61"/>
      <c r="I3" s="61" t="s">
        <v>1365</v>
      </c>
      <c r="J3" s="61" t="s">
        <v>3</v>
      </c>
      <c r="K3" s="62" t="s">
        <v>2</v>
      </c>
    </row>
    <row r="4" spans="1:11" s="1" customFormat="1" ht="21" customHeight="1" thickBot="1" x14ac:dyDescent="0.25">
      <c r="A4" s="58"/>
      <c r="B4" s="60"/>
      <c r="C4" s="60"/>
      <c r="D4" s="60"/>
      <c r="E4" s="60"/>
      <c r="F4" s="60"/>
      <c r="G4" s="6" t="s">
        <v>1366</v>
      </c>
      <c r="H4" s="27" t="s">
        <v>1367</v>
      </c>
      <c r="I4" s="60"/>
      <c r="J4" s="60"/>
      <c r="K4" s="63"/>
    </row>
    <row r="5" spans="1:11" ht="15" x14ac:dyDescent="0.2">
      <c r="A5" s="64" t="s">
        <v>342</v>
      </c>
      <c r="B5" s="64"/>
      <c r="C5" s="64"/>
      <c r="D5" s="64"/>
      <c r="E5" s="64"/>
      <c r="F5" s="64"/>
      <c r="G5" s="64"/>
      <c r="H5" s="64"/>
      <c r="I5" s="64"/>
      <c r="J5" s="64"/>
    </row>
    <row r="6" spans="1:11" x14ac:dyDescent="0.2">
      <c r="A6" s="7" t="s">
        <v>1368</v>
      </c>
      <c r="B6" s="7" t="s">
        <v>1369</v>
      </c>
      <c r="C6" s="7" t="s">
        <v>797</v>
      </c>
      <c r="D6" s="7" t="str">
        <f>"0,6885"</f>
        <v>0,6885</v>
      </c>
      <c r="E6" s="7" t="s">
        <v>34</v>
      </c>
      <c r="F6" s="7" t="s">
        <v>35</v>
      </c>
      <c r="G6" s="8" t="s">
        <v>732</v>
      </c>
      <c r="H6" s="28" t="s">
        <v>266</v>
      </c>
      <c r="I6" s="7" t="str">
        <f>"2062,5"</f>
        <v>2062,5</v>
      </c>
      <c r="J6" s="8" t="str">
        <f>"1420,1344"</f>
        <v>1420,1344</v>
      </c>
      <c r="K6" s="7" t="s">
        <v>798</v>
      </c>
    </row>
    <row r="8" spans="1:11" ht="15" x14ac:dyDescent="0.2">
      <c r="E8" s="15" t="s">
        <v>74</v>
      </c>
    </row>
    <row r="9" spans="1:11" ht="15" x14ac:dyDescent="0.2">
      <c r="E9" s="15" t="s">
        <v>75</v>
      </c>
    </row>
    <row r="10" spans="1:11" ht="15" x14ac:dyDescent="0.2">
      <c r="E10" s="15" t="s">
        <v>76</v>
      </c>
    </row>
    <row r="11" spans="1:11" ht="15" x14ac:dyDescent="0.2">
      <c r="E11" s="15" t="s">
        <v>77</v>
      </c>
    </row>
    <row r="12" spans="1:11" ht="15" x14ac:dyDescent="0.2">
      <c r="E12" s="15" t="s">
        <v>77</v>
      </c>
    </row>
    <row r="13" spans="1:11" ht="15" x14ac:dyDescent="0.2">
      <c r="E13" s="15" t="s">
        <v>78</v>
      </c>
    </row>
    <row r="14" spans="1:11" ht="15" x14ac:dyDescent="0.2">
      <c r="E14" s="15"/>
    </row>
    <row r="16" spans="1:11" ht="18" x14ac:dyDescent="0.25">
      <c r="A16" s="17" t="s">
        <v>79</v>
      </c>
      <c r="B16" s="17"/>
    </row>
    <row r="17" spans="1:5" s="3" customFormat="1" ht="15" x14ac:dyDescent="0.2">
      <c r="A17" s="18" t="s">
        <v>91</v>
      </c>
      <c r="B17" s="18"/>
      <c r="C17" s="4"/>
      <c r="D17" s="4"/>
      <c r="E17" s="4"/>
    </row>
    <row r="18" spans="1:5" s="3" customFormat="1" ht="14.25" x14ac:dyDescent="0.2">
      <c r="A18" s="20"/>
      <c r="B18" s="21" t="s">
        <v>422</v>
      </c>
      <c r="C18" s="4"/>
      <c r="D18" s="4"/>
      <c r="E18" s="4"/>
    </row>
    <row r="19" spans="1:5" s="3" customFormat="1" ht="15" x14ac:dyDescent="0.2">
      <c r="A19" s="22" t="s">
        <v>82</v>
      </c>
      <c r="B19" s="22" t="s">
        <v>83</v>
      </c>
      <c r="C19" s="22" t="s">
        <v>84</v>
      </c>
      <c r="D19" s="22" t="s">
        <v>85</v>
      </c>
      <c r="E19" s="22" t="s">
        <v>1370</v>
      </c>
    </row>
    <row r="20" spans="1:5" s="3" customFormat="1" x14ac:dyDescent="0.2">
      <c r="A20" s="19" t="s">
        <v>794</v>
      </c>
      <c r="B20" s="4" t="s">
        <v>1371</v>
      </c>
      <c r="C20" s="4" t="s">
        <v>414</v>
      </c>
      <c r="D20" s="4" t="s">
        <v>1372</v>
      </c>
      <c r="E20" s="23" t="s">
        <v>1373</v>
      </c>
    </row>
  </sheetData>
  <mergeCells count="12"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E12" sqref="E1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2.85546875" style="4" bestFit="1" customWidth="1"/>
    <col min="7" max="7" width="5.5703125" style="3" bestFit="1" customWidth="1"/>
    <col min="8" max="8" width="4.5703125" style="29" bestFit="1" customWidth="1"/>
    <col min="9" max="9" width="7.85546875" style="4" bestFit="1" customWidth="1"/>
    <col min="10" max="10" width="9.5703125" style="3" bestFit="1" customWidth="1"/>
    <col min="11" max="11" width="24.5703125" style="4" bestFit="1" customWidth="1"/>
    <col min="12" max="16384" width="9.140625" style="3"/>
  </cols>
  <sheetData>
    <row r="1" spans="1:11" s="2" customFormat="1" ht="29.1" customHeight="1" x14ac:dyDescent="0.2">
      <c r="A1" s="51" t="s">
        <v>1448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1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1363</v>
      </c>
      <c r="E3" s="61" t="s">
        <v>4</v>
      </c>
      <c r="F3" s="61" t="s">
        <v>8</v>
      </c>
      <c r="G3" s="61" t="s">
        <v>1364</v>
      </c>
      <c r="H3" s="61"/>
      <c r="I3" s="61" t="s">
        <v>1365</v>
      </c>
      <c r="J3" s="61" t="s">
        <v>3</v>
      </c>
      <c r="K3" s="62" t="s">
        <v>2</v>
      </c>
    </row>
    <row r="4" spans="1:11" s="1" customFormat="1" ht="21" customHeight="1" thickBot="1" x14ac:dyDescent="0.25">
      <c r="A4" s="58"/>
      <c r="B4" s="60"/>
      <c r="C4" s="60"/>
      <c r="D4" s="60"/>
      <c r="E4" s="60"/>
      <c r="F4" s="60"/>
      <c r="G4" s="6" t="s">
        <v>1366</v>
      </c>
      <c r="H4" s="27" t="s">
        <v>1367</v>
      </c>
      <c r="I4" s="60"/>
      <c r="J4" s="60"/>
      <c r="K4" s="63"/>
    </row>
    <row r="5" spans="1:11" ht="15" x14ac:dyDescent="0.2">
      <c r="A5" s="64" t="s">
        <v>278</v>
      </c>
      <c r="B5" s="64"/>
      <c r="C5" s="64"/>
      <c r="D5" s="64"/>
      <c r="E5" s="64"/>
      <c r="F5" s="64"/>
      <c r="G5" s="64"/>
      <c r="H5" s="64"/>
      <c r="I5" s="64"/>
      <c r="J5" s="64"/>
    </row>
    <row r="6" spans="1:11" x14ac:dyDescent="0.2">
      <c r="A6" s="10" t="s">
        <v>1447</v>
      </c>
      <c r="B6" s="10" t="s">
        <v>784</v>
      </c>
      <c r="C6" s="10" t="s">
        <v>785</v>
      </c>
      <c r="D6" s="10" t="str">
        <f>"0,7620"</f>
        <v>0,7620</v>
      </c>
      <c r="E6" s="10" t="s">
        <v>34</v>
      </c>
      <c r="F6" s="10" t="s">
        <v>786</v>
      </c>
      <c r="G6" s="11" t="s">
        <v>244</v>
      </c>
      <c r="H6" s="31" t="s">
        <v>1418</v>
      </c>
      <c r="I6" s="10" t="str">
        <f>"2497,5"</f>
        <v>2497,5</v>
      </c>
      <c r="J6" s="11" t="str">
        <f>"1903,0951"</f>
        <v>1903,0951</v>
      </c>
      <c r="K6" s="10" t="s">
        <v>787</v>
      </c>
    </row>
    <row r="7" spans="1:11" x14ac:dyDescent="0.2">
      <c r="A7" s="24" t="s">
        <v>1446</v>
      </c>
      <c r="B7" s="24" t="s">
        <v>1445</v>
      </c>
      <c r="C7" s="24" t="s">
        <v>1444</v>
      </c>
      <c r="D7" s="24" t="str">
        <f>"0,7660"</f>
        <v>0,7660</v>
      </c>
      <c r="E7" s="24" t="s">
        <v>34</v>
      </c>
      <c r="F7" s="24" t="s">
        <v>35</v>
      </c>
      <c r="G7" s="26" t="s">
        <v>244</v>
      </c>
      <c r="H7" s="32" t="s">
        <v>1443</v>
      </c>
      <c r="I7" s="24" t="str">
        <f>"2092,5"</f>
        <v>2092,5</v>
      </c>
      <c r="J7" s="26" t="str">
        <f>"1602,8549"</f>
        <v>1602,8549</v>
      </c>
      <c r="K7" s="24" t="s">
        <v>1442</v>
      </c>
    </row>
    <row r="8" spans="1:11" x14ac:dyDescent="0.2">
      <c r="A8" s="13" t="s">
        <v>1441</v>
      </c>
      <c r="B8" s="13" t="s">
        <v>1440</v>
      </c>
      <c r="C8" s="13" t="s">
        <v>282</v>
      </c>
      <c r="D8" s="13" t="str">
        <f>"0,7754"</f>
        <v>0,7754</v>
      </c>
      <c r="E8" s="13" t="s">
        <v>106</v>
      </c>
      <c r="F8" s="13" t="s">
        <v>571</v>
      </c>
      <c r="G8" s="16" t="s">
        <v>23</v>
      </c>
      <c r="H8" s="30" t="s">
        <v>1439</v>
      </c>
      <c r="I8" s="13" t="str">
        <f>"2340,0"</f>
        <v>2340,0</v>
      </c>
      <c r="J8" s="16" t="str">
        <f>"1832,5803"</f>
        <v>1832,5803</v>
      </c>
      <c r="K8" s="13" t="s">
        <v>140</v>
      </c>
    </row>
    <row r="10" spans="1:11" ht="15" x14ac:dyDescent="0.2">
      <c r="A10" s="50" t="s">
        <v>342</v>
      </c>
      <c r="B10" s="50"/>
      <c r="C10" s="50"/>
      <c r="D10" s="50"/>
      <c r="E10" s="50"/>
      <c r="F10" s="50"/>
      <c r="G10" s="50"/>
      <c r="H10" s="50"/>
      <c r="I10" s="50"/>
      <c r="J10" s="50"/>
    </row>
    <row r="11" spans="1:11" x14ac:dyDescent="0.2">
      <c r="A11" s="10" t="s">
        <v>1438</v>
      </c>
      <c r="B11" s="10" t="s">
        <v>124</v>
      </c>
      <c r="C11" s="10" t="s">
        <v>797</v>
      </c>
      <c r="D11" s="10" t="str">
        <f>"0,6885"</f>
        <v>0,6885</v>
      </c>
      <c r="E11" s="10" t="s">
        <v>34</v>
      </c>
      <c r="F11" s="10" t="s">
        <v>801</v>
      </c>
      <c r="G11" s="11" t="s">
        <v>24</v>
      </c>
      <c r="H11" s="31" t="s">
        <v>1437</v>
      </c>
      <c r="I11" s="10" t="str">
        <f>"3300,0"</f>
        <v>3300,0</v>
      </c>
      <c r="J11" s="11" t="str">
        <f>"2272,2150"</f>
        <v>2272,2150</v>
      </c>
      <c r="K11" s="10" t="s">
        <v>190</v>
      </c>
    </row>
    <row r="12" spans="1:11" x14ac:dyDescent="0.2">
      <c r="A12" s="24" t="s">
        <v>1436</v>
      </c>
      <c r="B12" s="24" t="s">
        <v>1435</v>
      </c>
      <c r="C12" s="24" t="s">
        <v>1434</v>
      </c>
      <c r="D12" s="24" t="str">
        <f>"0,6947"</f>
        <v>0,6947</v>
      </c>
      <c r="E12" s="24" t="s">
        <v>34</v>
      </c>
      <c r="F12" s="24" t="s">
        <v>1249</v>
      </c>
      <c r="G12" s="26" t="s">
        <v>24</v>
      </c>
      <c r="H12" s="32" t="s">
        <v>1418</v>
      </c>
      <c r="I12" s="24" t="str">
        <f>"2775,0"</f>
        <v>2775,0</v>
      </c>
      <c r="J12" s="26" t="str">
        <f>"1927,7925"</f>
        <v>1927,7925</v>
      </c>
      <c r="K12" s="24" t="s">
        <v>140</v>
      </c>
    </row>
    <row r="13" spans="1:11" x14ac:dyDescent="0.2">
      <c r="A13" s="24" t="s">
        <v>1433</v>
      </c>
      <c r="B13" s="24" t="s">
        <v>1432</v>
      </c>
      <c r="C13" s="24" t="s">
        <v>1431</v>
      </c>
      <c r="D13" s="24" t="str">
        <f>"0,6913"</f>
        <v>0,6913</v>
      </c>
      <c r="E13" s="24" t="s">
        <v>34</v>
      </c>
      <c r="F13" s="24" t="s">
        <v>35</v>
      </c>
      <c r="G13" s="26" t="s">
        <v>24</v>
      </c>
      <c r="H13" s="32" t="s">
        <v>1430</v>
      </c>
      <c r="I13" s="24" t="str">
        <f>"2400,0"</f>
        <v>2400,0</v>
      </c>
      <c r="J13" s="26" t="str">
        <f>"1710,4291"</f>
        <v>1710,4291</v>
      </c>
      <c r="K13" s="24" t="s">
        <v>1429</v>
      </c>
    </row>
    <row r="14" spans="1:11" x14ac:dyDescent="0.2">
      <c r="A14" s="13" t="s">
        <v>1428</v>
      </c>
      <c r="B14" s="13" t="s">
        <v>1427</v>
      </c>
      <c r="C14" s="13" t="s">
        <v>1426</v>
      </c>
      <c r="D14" s="13" t="str">
        <f>"0,6927"</f>
        <v>0,6927</v>
      </c>
      <c r="E14" s="13" t="s">
        <v>106</v>
      </c>
      <c r="F14" s="13" t="s">
        <v>1425</v>
      </c>
      <c r="G14" s="16" t="s">
        <v>24</v>
      </c>
      <c r="H14" s="30" t="s">
        <v>1424</v>
      </c>
      <c r="I14" s="13" t="str">
        <f>"2100,0"</f>
        <v>2100,0</v>
      </c>
      <c r="J14" s="16" t="str">
        <f>"1643,6585"</f>
        <v>1643,6585</v>
      </c>
      <c r="K14" s="13" t="s">
        <v>1423</v>
      </c>
    </row>
    <row r="16" spans="1:11" ht="15" x14ac:dyDescent="0.2">
      <c r="A16" s="50" t="s">
        <v>29</v>
      </c>
      <c r="B16" s="50"/>
      <c r="C16" s="50"/>
      <c r="D16" s="50"/>
      <c r="E16" s="50"/>
      <c r="F16" s="50"/>
      <c r="G16" s="50"/>
      <c r="H16" s="50"/>
      <c r="I16" s="50"/>
      <c r="J16" s="50"/>
    </row>
    <row r="17" spans="1:11" x14ac:dyDescent="0.2">
      <c r="A17" s="10" t="s">
        <v>1422</v>
      </c>
      <c r="B17" s="10" t="s">
        <v>837</v>
      </c>
      <c r="C17" s="10" t="s">
        <v>838</v>
      </c>
      <c r="D17" s="10" t="str">
        <f>"0,6492"</f>
        <v>0,6492</v>
      </c>
      <c r="E17" s="10" t="s">
        <v>34</v>
      </c>
      <c r="F17" s="10" t="s">
        <v>839</v>
      </c>
      <c r="G17" s="11" t="s">
        <v>483</v>
      </c>
      <c r="H17" s="31" t="s">
        <v>266</v>
      </c>
      <c r="I17" s="10" t="str">
        <f>"4537,5"</f>
        <v>4537,5</v>
      </c>
      <c r="J17" s="11" t="str">
        <f>"2945,9717"</f>
        <v>2945,9717</v>
      </c>
      <c r="K17" s="10" t="s">
        <v>190</v>
      </c>
    </row>
    <row r="18" spans="1:11" x14ac:dyDescent="0.2">
      <c r="A18" s="13" t="s">
        <v>1421</v>
      </c>
      <c r="B18" s="13" t="s">
        <v>1420</v>
      </c>
      <c r="C18" s="13" t="s">
        <v>1419</v>
      </c>
      <c r="D18" s="13" t="str">
        <f>"0,6773"</f>
        <v>0,6773</v>
      </c>
      <c r="E18" s="13" t="s">
        <v>34</v>
      </c>
      <c r="F18" s="13" t="s">
        <v>35</v>
      </c>
      <c r="G18" s="16" t="s">
        <v>447</v>
      </c>
      <c r="H18" s="30" t="s">
        <v>1418</v>
      </c>
      <c r="I18" s="13" t="str">
        <f>"2867,5"</f>
        <v>2867,5</v>
      </c>
      <c r="J18" s="16" t="str">
        <f>"1942,3011"</f>
        <v>1942,3011</v>
      </c>
      <c r="K18" s="13" t="s">
        <v>1417</v>
      </c>
    </row>
    <row r="20" spans="1:11" ht="15" x14ac:dyDescent="0.2">
      <c r="A20" s="50" t="s">
        <v>45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1" x14ac:dyDescent="0.2">
      <c r="A21" s="7" t="s">
        <v>1416</v>
      </c>
      <c r="B21" s="7" t="s">
        <v>1415</v>
      </c>
      <c r="C21" s="7" t="s">
        <v>113</v>
      </c>
      <c r="D21" s="7" t="str">
        <f>"0,6161"</f>
        <v>0,6161</v>
      </c>
      <c r="E21" s="7" t="s">
        <v>106</v>
      </c>
      <c r="F21" s="7" t="s">
        <v>35</v>
      </c>
      <c r="G21" s="8" t="s">
        <v>257</v>
      </c>
      <c r="H21" s="28" t="s">
        <v>1414</v>
      </c>
      <c r="I21" s="7" t="str">
        <f>"2250,0"</f>
        <v>2250,0</v>
      </c>
      <c r="J21" s="8" t="str">
        <f>"1386,1125"</f>
        <v>1386,1125</v>
      </c>
      <c r="K21" s="7" t="s">
        <v>1413</v>
      </c>
    </row>
    <row r="23" spans="1:11" ht="15" x14ac:dyDescent="0.2">
      <c r="A23" s="50" t="s">
        <v>64</v>
      </c>
      <c r="B23" s="50"/>
      <c r="C23" s="50"/>
      <c r="D23" s="50"/>
      <c r="E23" s="50"/>
      <c r="F23" s="50"/>
      <c r="G23" s="50"/>
      <c r="H23" s="50"/>
      <c r="I23" s="50"/>
      <c r="J23" s="50"/>
    </row>
    <row r="24" spans="1:11" x14ac:dyDescent="0.2">
      <c r="A24" s="10" t="s">
        <v>961</v>
      </c>
      <c r="B24" s="10" t="s">
        <v>962</v>
      </c>
      <c r="C24" s="10" t="s">
        <v>963</v>
      </c>
      <c r="D24" s="10" t="str">
        <f>"0,5650"</f>
        <v>0,5650</v>
      </c>
      <c r="E24" s="10" t="s">
        <v>34</v>
      </c>
      <c r="F24" s="10" t="s">
        <v>35</v>
      </c>
      <c r="G24" s="11" t="s">
        <v>274</v>
      </c>
      <c r="H24" s="31" t="s">
        <v>1412</v>
      </c>
      <c r="I24" s="10" t="str">
        <f>"2420,0"</f>
        <v>2420,0</v>
      </c>
      <c r="J24" s="11" t="str">
        <f>"1367,3000"</f>
        <v>1367,3000</v>
      </c>
      <c r="K24" s="10" t="s">
        <v>965</v>
      </c>
    </row>
    <row r="25" spans="1:11" x14ac:dyDescent="0.2">
      <c r="A25" s="13" t="s">
        <v>988</v>
      </c>
      <c r="B25" s="13" t="s">
        <v>1411</v>
      </c>
      <c r="C25" s="13" t="s">
        <v>990</v>
      </c>
      <c r="D25" s="13" t="str">
        <f>"0,5774"</f>
        <v>0,5774</v>
      </c>
      <c r="E25" s="13" t="s">
        <v>34</v>
      </c>
      <c r="F25" s="13" t="s">
        <v>35</v>
      </c>
      <c r="G25" s="16" t="s">
        <v>347</v>
      </c>
      <c r="H25" s="30" t="s">
        <v>1410</v>
      </c>
      <c r="I25" s="13" t="str">
        <f>"2152,5"</f>
        <v>2152,5</v>
      </c>
      <c r="J25" s="16" t="str">
        <f>"1522,4956"</f>
        <v>1522,4956</v>
      </c>
      <c r="K25" s="13" t="s">
        <v>991</v>
      </c>
    </row>
    <row r="27" spans="1:11" ht="15" x14ac:dyDescent="0.2">
      <c r="E27" s="15" t="s">
        <v>74</v>
      </c>
    </row>
    <row r="28" spans="1:11" ht="15" x14ac:dyDescent="0.2">
      <c r="E28" s="15" t="s">
        <v>75</v>
      </c>
    </row>
    <row r="29" spans="1:11" ht="15" x14ac:dyDescent="0.2">
      <c r="E29" s="15" t="s">
        <v>76</v>
      </c>
    </row>
    <row r="30" spans="1:11" ht="15" x14ac:dyDescent="0.2">
      <c r="E30" s="15" t="s">
        <v>77</v>
      </c>
    </row>
    <row r="31" spans="1:11" ht="15" x14ac:dyDescent="0.2">
      <c r="E31" s="15" t="s">
        <v>77</v>
      </c>
    </row>
    <row r="32" spans="1:11" ht="15" x14ac:dyDescent="0.2">
      <c r="E32" s="15" t="s">
        <v>78</v>
      </c>
    </row>
    <row r="33" spans="1:5" s="3" customFormat="1" ht="15" x14ac:dyDescent="0.2">
      <c r="A33" s="4"/>
      <c r="B33" s="4"/>
      <c r="C33" s="4"/>
      <c r="D33" s="4"/>
      <c r="E33" s="15"/>
    </row>
    <row r="35" spans="1:5" s="3" customFormat="1" ht="18" x14ac:dyDescent="0.25">
      <c r="A35" s="17" t="s">
        <v>79</v>
      </c>
      <c r="B35" s="17"/>
      <c r="C35" s="4"/>
      <c r="D35" s="4"/>
      <c r="E35" s="4"/>
    </row>
    <row r="36" spans="1:5" s="3" customFormat="1" ht="15" x14ac:dyDescent="0.2">
      <c r="A36" s="18" t="s">
        <v>91</v>
      </c>
      <c r="B36" s="18"/>
      <c r="C36" s="4"/>
      <c r="D36" s="4"/>
      <c r="E36" s="4"/>
    </row>
    <row r="37" spans="1:5" s="3" customFormat="1" ht="14.25" x14ac:dyDescent="0.2">
      <c r="A37" s="20"/>
      <c r="B37" s="21" t="s">
        <v>168</v>
      </c>
      <c r="C37" s="4"/>
      <c r="D37" s="4"/>
      <c r="E37" s="4"/>
    </row>
    <row r="38" spans="1:5" s="3" customFormat="1" ht="15" x14ac:dyDescent="0.2">
      <c r="A38" s="22" t="s">
        <v>82</v>
      </c>
      <c r="B38" s="22" t="s">
        <v>83</v>
      </c>
      <c r="C38" s="22" t="s">
        <v>84</v>
      </c>
      <c r="D38" s="22" t="s">
        <v>85</v>
      </c>
      <c r="E38" s="22" t="s">
        <v>1370</v>
      </c>
    </row>
    <row r="39" spans="1:5" s="3" customFormat="1" x14ac:dyDescent="0.2">
      <c r="A39" s="19" t="s">
        <v>1409</v>
      </c>
      <c r="B39" s="4" t="s">
        <v>169</v>
      </c>
      <c r="C39" s="4" t="s">
        <v>414</v>
      </c>
      <c r="D39" s="4" t="s">
        <v>1408</v>
      </c>
      <c r="E39" s="23" t="s">
        <v>1407</v>
      </c>
    </row>
    <row r="41" spans="1:5" s="3" customFormat="1" ht="14.25" x14ac:dyDescent="0.2">
      <c r="A41" s="20"/>
      <c r="B41" s="21" t="s">
        <v>92</v>
      </c>
      <c r="C41" s="4"/>
      <c r="D41" s="4"/>
      <c r="E41" s="4"/>
    </row>
    <row r="42" spans="1:5" s="3" customFormat="1" ht="15" x14ac:dyDescent="0.2">
      <c r="A42" s="22" t="s">
        <v>82</v>
      </c>
      <c r="B42" s="22" t="s">
        <v>83</v>
      </c>
      <c r="C42" s="22" t="s">
        <v>84</v>
      </c>
      <c r="D42" s="22" t="s">
        <v>85</v>
      </c>
      <c r="E42" s="22" t="s">
        <v>1370</v>
      </c>
    </row>
    <row r="43" spans="1:5" s="3" customFormat="1" x14ac:dyDescent="0.2">
      <c r="A43" s="19" t="s">
        <v>835</v>
      </c>
      <c r="B43" s="4" t="s">
        <v>92</v>
      </c>
      <c r="C43" s="4" t="s">
        <v>99</v>
      </c>
      <c r="D43" s="4" t="s">
        <v>1406</v>
      </c>
      <c r="E43" s="23" t="s">
        <v>1405</v>
      </c>
    </row>
    <row r="44" spans="1:5" s="3" customFormat="1" x14ac:dyDescent="0.2">
      <c r="A44" s="19" t="s">
        <v>1404</v>
      </c>
      <c r="B44" s="4" t="s">
        <v>92</v>
      </c>
      <c r="C44" s="4" t="s">
        <v>99</v>
      </c>
      <c r="D44" s="4" t="s">
        <v>1403</v>
      </c>
      <c r="E44" s="23" t="s">
        <v>1402</v>
      </c>
    </row>
    <row r="45" spans="1:5" s="3" customFormat="1" x14ac:dyDescent="0.2">
      <c r="A45" s="19" t="s">
        <v>1401</v>
      </c>
      <c r="B45" s="4" t="s">
        <v>92</v>
      </c>
      <c r="C45" s="4" t="s">
        <v>414</v>
      </c>
      <c r="D45" s="4" t="s">
        <v>1400</v>
      </c>
      <c r="E45" s="23" t="s">
        <v>1399</v>
      </c>
    </row>
    <row r="46" spans="1:5" s="3" customFormat="1" x14ac:dyDescent="0.2">
      <c r="A46" s="19" t="s">
        <v>1398</v>
      </c>
      <c r="B46" s="4" t="s">
        <v>92</v>
      </c>
      <c r="C46" s="4" t="s">
        <v>318</v>
      </c>
      <c r="D46" s="4" t="s">
        <v>1397</v>
      </c>
      <c r="E46" s="23" t="s">
        <v>1396</v>
      </c>
    </row>
    <row r="47" spans="1:5" s="3" customFormat="1" x14ac:dyDescent="0.2">
      <c r="A47" s="19" t="s">
        <v>1395</v>
      </c>
      <c r="B47" s="4" t="s">
        <v>92</v>
      </c>
      <c r="C47" s="4" t="s">
        <v>318</v>
      </c>
      <c r="D47" s="4" t="s">
        <v>1394</v>
      </c>
      <c r="E47" s="23" t="s">
        <v>1393</v>
      </c>
    </row>
    <row r="48" spans="1:5" s="3" customFormat="1" x14ac:dyDescent="0.2">
      <c r="A48" s="19" t="s">
        <v>1392</v>
      </c>
      <c r="B48" s="4" t="s">
        <v>92</v>
      </c>
      <c r="C48" s="4" t="s">
        <v>93</v>
      </c>
      <c r="D48" s="4" t="s">
        <v>1391</v>
      </c>
      <c r="E48" s="23" t="s">
        <v>1390</v>
      </c>
    </row>
    <row r="49" spans="1:5" s="3" customFormat="1" x14ac:dyDescent="0.2">
      <c r="A49" s="19" t="s">
        <v>960</v>
      </c>
      <c r="B49" s="4" t="s">
        <v>92</v>
      </c>
      <c r="C49" s="4" t="s">
        <v>96</v>
      </c>
      <c r="D49" s="4" t="s">
        <v>1389</v>
      </c>
      <c r="E49" s="23" t="s">
        <v>1388</v>
      </c>
    </row>
    <row r="51" spans="1:5" s="3" customFormat="1" ht="14.25" x14ac:dyDescent="0.2">
      <c r="A51" s="20"/>
      <c r="B51" s="21" t="s">
        <v>1387</v>
      </c>
      <c r="C51" s="4"/>
      <c r="D51" s="4"/>
      <c r="E51" s="4"/>
    </row>
    <row r="52" spans="1:5" s="3" customFormat="1" ht="15" x14ac:dyDescent="0.2">
      <c r="A52" s="22" t="s">
        <v>82</v>
      </c>
      <c r="B52" s="22" t="s">
        <v>83</v>
      </c>
      <c r="C52" s="22" t="s">
        <v>84</v>
      </c>
      <c r="D52" s="22" t="s">
        <v>85</v>
      </c>
      <c r="E52" s="22" t="s">
        <v>1370</v>
      </c>
    </row>
    <row r="53" spans="1:5" s="3" customFormat="1" x14ac:dyDescent="0.2">
      <c r="A53" s="19" t="s">
        <v>1386</v>
      </c>
      <c r="B53" s="4" t="s">
        <v>1382</v>
      </c>
      <c r="C53" s="4" t="s">
        <v>318</v>
      </c>
      <c r="D53" s="4" t="s">
        <v>1385</v>
      </c>
      <c r="E53" s="23" t="s">
        <v>1384</v>
      </c>
    </row>
    <row r="54" spans="1:5" s="3" customFormat="1" x14ac:dyDescent="0.2">
      <c r="A54" s="19" t="s">
        <v>1383</v>
      </c>
      <c r="B54" s="4" t="s">
        <v>1382</v>
      </c>
      <c r="C54" s="4" t="s">
        <v>414</v>
      </c>
      <c r="D54" s="4" t="s">
        <v>1381</v>
      </c>
      <c r="E54" s="23" t="s">
        <v>1380</v>
      </c>
    </row>
    <row r="55" spans="1:5" s="3" customFormat="1" x14ac:dyDescent="0.2">
      <c r="A55" s="19" t="s">
        <v>1379</v>
      </c>
      <c r="B55" s="4" t="s">
        <v>1376</v>
      </c>
      <c r="C55" s="4" t="s">
        <v>414</v>
      </c>
      <c r="D55" s="4" t="s">
        <v>1378</v>
      </c>
      <c r="E55" s="23" t="s">
        <v>1377</v>
      </c>
    </row>
    <row r="56" spans="1:5" s="3" customFormat="1" x14ac:dyDescent="0.2">
      <c r="A56" s="19" t="s">
        <v>987</v>
      </c>
      <c r="B56" s="4" t="s">
        <v>1376</v>
      </c>
      <c r="C56" s="4" t="s">
        <v>96</v>
      </c>
      <c r="D56" s="4" t="s">
        <v>1375</v>
      </c>
      <c r="E56" s="23" t="s">
        <v>1374</v>
      </c>
    </row>
  </sheetData>
  <mergeCells count="16">
    <mergeCell ref="A1:K2"/>
    <mergeCell ref="A3:A4"/>
    <mergeCell ref="B3:B4"/>
    <mergeCell ref="C3:C4"/>
    <mergeCell ref="D3:D4"/>
    <mergeCell ref="E3:E4"/>
    <mergeCell ref="F3:F4"/>
    <mergeCell ref="G3:H3"/>
    <mergeCell ref="A20:J20"/>
    <mergeCell ref="A23:J23"/>
    <mergeCell ref="I3:I4"/>
    <mergeCell ref="J3:J4"/>
    <mergeCell ref="K3:K4"/>
    <mergeCell ref="A5:J5"/>
    <mergeCell ref="A10:J10"/>
    <mergeCell ref="A16:J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I17" sqref="I17"/>
    </sheetView>
  </sheetViews>
  <sheetFormatPr defaultRowHeight="12.75" x14ac:dyDescent="0.2"/>
  <cols>
    <col min="1" max="1" width="26" style="4" bestFit="1" customWidth="1"/>
    <col min="2" max="2" width="27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7" width="4.5703125" style="3" bestFit="1" customWidth="1"/>
    <col min="8" max="8" width="4.5703125" style="29" bestFit="1" customWidth="1"/>
    <col min="9" max="9" width="7.85546875" style="4" bestFit="1" customWidth="1"/>
    <col min="10" max="10" width="9.5703125" style="3" bestFit="1" customWidth="1"/>
    <col min="11" max="11" width="15.140625" style="4" bestFit="1" customWidth="1"/>
    <col min="12" max="16384" width="9.140625" style="3"/>
  </cols>
  <sheetData>
    <row r="1" spans="1:11" s="2" customFormat="1" ht="29.1" customHeight="1" x14ac:dyDescent="0.2">
      <c r="A1" s="51" t="s">
        <v>1466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1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1363</v>
      </c>
      <c r="E3" s="61" t="s">
        <v>4</v>
      </c>
      <c r="F3" s="61" t="s">
        <v>8</v>
      </c>
      <c r="G3" s="61" t="s">
        <v>1364</v>
      </c>
      <c r="H3" s="61"/>
      <c r="I3" s="61" t="s">
        <v>1365</v>
      </c>
      <c r="J3" s="61" t="s">
        <v>3</v>
      </c>
      <c r="K3" s="62" t="s">
        <v>2</v>
      </c>
    </row>
    <row r="4" spans="1:11" s="1" customFormat="1" ht="21" customHeight="1" thickBot="1" x14ac:dyDescent="0.25">
      <c r="A4" s="58"/>
      <c r="B4" s="60"/>
      <c r="C4" s="60"/>
      <c r="D4" s="60"/>
      <c r="E4" s="60"/>
      <c r="F4" s="60"/>
      <c r="G4" s="6" t="s">
        <v>1366</v>
      </c>
      <c r="H4" s="27" t="s">
        <v>1367</v>
      </c>
      <c r="I4" s="60"/>
      <c r="J4" s="60"/>
      <c r="K4" s="63"/>
    </row>
    <row r="5" spans="1:11" ht="15" x14ac:dyDescent="0.2">
      <c r="A5" s="64" t="s">
        <v>237</v>
      </c>
      <c r="B5" s="64"/>
      <c r="C5" s="64"/>
      <c r="D5" s="64"/>
      <c r="E5" s="64"/>
      <c r="F5" s="64"/>
      <c r="G5" s="64"/>
      <c r="H5" s="64"/>
      <c r="I5" s="64"/>
      <c r="J5" s="64"/>
    </row>
    <row r="6" spans="1:11" x14ac:dyDescent="0.2">
      <c r="A6" s="7" t="s">
        <v>1465</v>
      </c>
      <c r="B6" s="7" t="s">
        <v>1464</v>
      </c>
      <c r="C6" s="7" t="s">
        <v>1463</v>
      </c>
      <c r="D6" s="7" t="str">
        <f>"1,0844"</f>
        <v>1,0844</v>
      </c>
      <c r="E6" s="7" t="s">
        <v>34</v>
      </c>
      <c r="F6" s="7" t="s">
        <v>465</v>
      </c>
      <c r="G6" s="8" t="s">
        <v>1462</v>
      </c>
      <c r="H6" s="33" t="s">
        <v>1461</v>
      </c>
      <c r="I6" s="7" t="str">
        <f>"2310,0"</f>
        <v>2310,0</v>
      </c>
      <c r="J6" s="8" t="str">
        <f>"2504,9641"</f>
        <v>2504,9641</v>
      </c>
      <c r="K6" s="7" t="s">
        <v>1460</v>
      </c>
    </row>
    <row r="8" spans="1:11" ht="15" x14ac:dyDescent="0.2">
      <c r="A8" s="50" t="s">
        <v>717</v>
      </c>
      <c r="B8" s="50"/>
      <c r="C8" s="50"/>
      <c r="D8" s="50"/>
      <c r="E8" s="50"/>
      <c r="F8" s="50"/>
      <c r="G8" s="50"/>
      <c r="H8" s="50"/>
      <c r="I8" s="50"/>
      <c r="J8" s="50"/>
    </row>
    <row r="9" spans="1:11" x14ac:dyDescent="0.2">
      <c r="A9" s="7" t="s">
        <v>1459</v>
      </c>
      <c r="B9" s="7" t="s">
        <v>1458</v>
      </c>
      <c r="C9" s="7" t="s">
        <v>1457</v>
      </c>
      <c r="D9" s="7" t="str">
        <f>"1,3243"</f>
        <v>1,3243</v>
      </c>
      <c r="E9" s="7" t="s">
        <v>34</v>
      </c>
      <c r="F9" s="7" t="s">
        <v>465</v>
      </c>
      <c r="G9" s="8" t="s">
        <v>1456</v>
      </c>
      <c r="H9" s="33" t="s">
        <v>1455</v>
      </c>
      <c r="I9" s="7" t="str">
        <f>"1020,0"</f>
        <v>1020,0</v>
      </c>
      <c r="J9" s="8" t="str">
        <f>"1350,8370"</f>
        <v>1350,8370</v>
      </c>
      <c r="K9" s="7" t="s">
        <v>467</v>
      </c>
    </row>
    <row r="11" spans="1:11" ht="15" x14ac:dyDescent="0.2">
      <c r="E11" s="15" t="s">
        <v>74</v>
      </c>
    </row>
    <row r="12" spans="1:11" ht="15" x14ac:dyDescent="0.2">
      <c r="E12" s="15" t="s">
        <v>75</v>
      </c>
    </row>
    <row r="13" spans="1:11" ht="15" x14ac:dyDescent="0.2">
      <c r="E13" s="15" t="s">
        <v>76</v>
      </c>
    </row>
    <row r="14" spans="1:11" ht="15" x14ac:dyDescent="0.2">
      <c r="E14" s="15" t="s">
        <v>77</v>
      </c>
    </row>
    <row r="15" spans="1:11" ht="15" x14ac:dyDescent="0.2">
      <c r="E15" s="15" t="s">
        <v>77</v>
      </c>
    </row>
    <row r="16" spans="1:11" ht="15" x14ac:dyDescent="0.2">
      <c r="E16" s="15" t="s">
        <v>78</v>
      </c>
    </row>
    <row r="17" spans="1:5" s="3" customFormat="1" ht="15" x14ac:dyDescent="0.2">
      <c r="A17" s="4"/>
      <c r="B17" s="4"/>
      <c r="C17" s="4"/>
      <c r="D17" s="4"/>
      <c r="E17" s="15"/>
    </row>
    <row r="19" spans="1:5" s="3" customFormat="1" ht="18" x14ac:dyDescent="0.25">
      <c r="A19" s="17" t="s">
        <v>79</v>
      </c>
      <c r="B19" s="17"/>
      <c r="C19" s="4"/>
      <c r="D19" s="4"/>
      <c r="E19" s="4"/>
    </row>
    <row r="20" spans="1:5" s="3" customFormat="1" ht="15" x14ac:dyDescent="0.2">
      <c r="A20" s="18" t="s">
        <v>80</v>
      </c>
      <c r="B20" s="18"/>
      <c r="C20" s="4"/>
      <c r="D20" s="4"/>
      <c r="E20" s="4"/>
    </row>
    <row r="21" spans="1:5" s="3" customFormat="1" ht="14.25" x14ac:dyDescent="0.2">
      <c r="A21" s="20"/>
      <c r="B21" s="21" t="s">
        <v>92</v>
      </c>
      <c r="C21" s="4"/>
      <c r="D21" s="4"/>
      <c r="E21" s="4"/>
    </row>
    <row r="22" spans="1:5" s="3" customFormat="1" ht="15" x14ac:dyDescent="0.2">
      <c r="A22" s="22" t="s">
        <v>82</v>
      </c>
      <c r="B22" s="22" t="s">
        <v>83</v>
      </c>
      <c r="C22" s="22" t="s">
        <v>84</v>
      </c>
      <c r="D22" s="22" t="s">
        <v>85</v>
      </c>
      <c r="E22" s="22" t="s">
        <v>1370</v>
      </c>
    </row>
    <row r="23" spans="1:5" s="3" customFormat="1" x14ac:dyDescent="0.2">
      <c r="A23" s="19" t="s">
        <v>1454</v>
      </c>
      <c r="B23" s="4" t="s">
        <v>92</v>
      </c>
      <c r="C23" s="4" t="s">
        <v>313</v>
      </c>
      <c r="D23" s="4" t="s">
        <v>1453</v>
      </c>
      <c r="E23" s="23" t="s">
        <v>1452</v>
      </c>
    </row>
    <row r="26" spans="1:5" s="3" customFormat="1" ht="15" x14ac:dyDescent="0.2">
      <c r="A26" s="18" t="s">
        <v>91</v>
      </c>
      <c r="B26" s="18"/>
      <c r="C26" s="4"/>
      <c r="D26" s="4"/>
      <c r="E26" s="4"/>
    </row>
    <row r="27" spans="1:5" s="3" customFormat="1" ht="14.25" x14ac:dyDescent="0.2">
      <c r="A27" s="20"/>
      <c r="B27" s="21" t="s">
        <v>422</v>
      </c>
      <c r="C27" s="4"/>
      <c r="D27" s="4"/>
      <c r="E27" s="4"/>
    </row>
    <row r="28" spans="1:5" s="3" customFormat="1" ht="15" x14ac:dyDescent="0.2">
      <c r="A28" s="22" t="s">
        <v>82</v>
      </c>
      <c r="B28" s="22" t="s">
        <v>83</v>
      </c>
      <c r="C28" s="22" t="s">
        <v>84</v>
      </c>
      <c r="D28" s="22" t="s">
        <v>85</v>
      </c>
      <c r="E28" s="22" t="s">
        <v>1370</v>
      </c>
    </row>
    <row r="29" spans="1:5" s="3" customFormat="1" x14ac:dyDescent="0.2">
      <c r="A29" s="19" t="s">
        <v>1451</v>
      </c>
      <c r="B29" s="4" t="s">
        <v>1371</v>
      </c>
      <c r="C29" s="4" t="s">
        <v>1050</v>
      </c>
      <c r="D29" s="4" t="s">
        <v>1450</v>
      </c>
      <c r="E29" s="23" t="s">
        <v>1449</v>
      </c>
    </row>
  </sheetData>
  <mergeCells count="13">
    <mergeCell ref="K3:K4"/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workbookViewId="0">
      <selection activeCell="A11" sqref="A11:J11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2.85546875" style="4" bestFit="1" customWidth="1"/>
    <col min="7" max="7" width="5.5703125" style="3" bestFit="1" customWidth="1"/>
    <col min="8" max="8" width="5.5703125" style="29" bestFit="1" customWidth="1"/>
    <col min="9" max="9" width="7.85546875" style="4" bestFit="1" customWidth="1"/>
    <col min="10" max="10" width="9.5703125" style="3" bestFit="1" customWidth="1"/>
    <col min="11" max="11" width="16.85546875" style="4" bestFit="1" customWidth="1"/>
    <col min="12" max="16384" width="9.140625" style="3"/>
  </cols>
  <sheetData>
    <row r="1" spans="1:11" s="2" customFormat="1" ht="29.1" customHeight="1" x14ac:dyDescent="0.2">
      <c r="A1" s="51" t="s">
        <v>1562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1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1363</v>
      </c>
      <c r="E3" s="61" t="s">
        <v>4</v>
      </c>
      <c r="F3" s="61" t="s">
        <v>8</v>
      </c>
      <c r="G3" s="61" t="s">
        <v>1364</v>
      </c>
      <c r="H3" s="61"/>
      <c r="I3" s="61" t="s">
        <v>1365</v>
      </c>
      <c r="J3" s="61" t="s">
        <v>3</v>
      </c>
      <c r="K3" s="62" t="s">
        <v>2</v>
      </c>
    </row>
    <row r="4" spans="1:11" s="1" customFormat="1" ht="21" customHeight="1" thickBot="1" x14ac:dyDescent="0.25">
      <c r="A4" s="58"/>
      <c r="B4" s="60"/>
      <c r="C4" s="60"/>
      <c r="D4" s="60"/>
      <c r="E4" s="60"/>
      <c r="F4" s="60"/>
      <c r="G4" s="6" t="s">
        <v>1366</v>
      </c>
      <c r="H4" s="27" t="s">
        <v>1367</v>
      </c>
      <c r="I4" s="60"/>
      <c r="J4" s="60"/>
      <c r="K4" s="63"/>
    </row>
    <row r="5" spans="1:11" ht="15" x14ac:dyDescent="0.2">
      <c r="A5" s="64" t="s">
        <v>717</v>
      </c>
      <c r="B5" s="64"/>
      <c r="C5" s="64"/>
      <c r="D5" s="64"/>
      <c r="E5" s="64"/>
      <c r="F5" s="64"/>
      <c r="G5" s="64"/>
      <c r="H5" s="64"/>
      <c r="I5" s="64"/>
      <c r="J5" s="64"/>
    </row>
    <row r="6" spans="1:11" x14ac:dyDescent="0.2">
      <c r="A6" s="7" t="s">
        <v>1561</v>
      </c>
      <c r="B6" s="7" t="s">
        <v>1560</v>
      </c>
      <c r="C6" s="7" t="s">
        <v>1559</v>
      </c>
      <c r="D6" s="7" t="str">
        <f>"1,1110"</f>
        <v>1,1110</v>
      </c>
      <c r="E6" s="7" t="s">
        <v>34</v>
      </c>
      <c r="F6" s="7" t="s">
        <v>35</v>
      </c>
      <c r="G6" s="8" t="s">
        <v>276</v>
      </c>
      <c r="H6" s="28" t="s">
        <v>1410</v>
      </c>
      <c r="I6" s="7" t="str">
        <f>"1102,5"</f>
        <v>1102,5</v>
      </c>
      <c r="J6" s="8" t="str">
        <f>"1325,3174"</f>
        <v>1325,3174</v>
      </c>
      <c r="K6" s="7" t="s">
        <v>1558</v>
      </c>
    </row>
    <row r="8" spans="1:11" ht="15" x14ac:dyDescent="0.2">
      <c r="A8" s="50" t="s">
        <v>13</v>
      </c>
      <c r="B8" s="50"/>
      <c r="C8" s="50"/>
      <c r="D8" s="50"/>
      <c r="E8" s="50"/>
      <c r="F8" s="50"/>
      <c r="G8" s="50"/>
      <c r="H8" s="50"/>
      <c r="I8" s="50"/>
      <c r="J8" s="50"/>
    </row>
    <row r="9" spans="1:11" x14ac:dyDescent="0.2">
      <c r="A9" s="7" t="s">
        <v>1557</v>
      </c>
      <c r="B9" s="7" t="s">
        <v>1556</v>
      </c>
      <c r="C9" s="7" t="s">
        <v>1555</v>
      </c>
      <c r="D9" s="7" t="str">
        <f>"0,8702"</f>
        <v>0,8702</v>
      </c>
      <c r="E9" s="7" t="s">
        <v>34</v>
      </c>
      <c r="F9" s="7" t="s">
        <v>35</v>
      </c>
      <c r="G9" s="8" t="s">
        <v>333</v>
      </c>
      <c r="H9" s="28" t="s">
        <v>1410</v>
      </c>
      <c r="I9" s="7" t="str">
        <f>"1207,5"</f>
        <v>1207,5</v>
      </c>
      <c r="J9" s="8" t="str">
        <f>"1050,8269"</f>
        <v>1050,8269</v>
      </c>
      <c r="K9" s="7" t="s">
        <v>190</v>
      </c>
    </row>
    <row r="11" spans="1:11" ht="15" x14ac:dyDescent="0.2">
      <c r="A11" s="50" t="s">
        <v>342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1" x14ac:dyDescent="0.2">
      <c r="A12" s="7" t="s">
        <v>474</v>
      </c>
      <c r="B12" s="7" t="s">
        <v>475</v>
      </c>
      <c r="C12" s="7" t="s">
        <v>476</v>
      </c>
      <c r="D12" s="7" t="str">
        <f>"0,7197"</f>
        <v>0,7197</v>
      </c>
      <c r="E12" s="7" t="s">
        <v>106</v>
      </c>
      <c r="F12" s="7" t="s">
        <v>35</v>
      </c>
      <c r="G12" s="8" t="s">
        <v>245</v>
      </c>
      <c r="H12" s="28" t="s">
        <v>1424</v>
      </c>
      <c r="I12" s="7" t="str">
        <f>"2030,0"</f>
        <v>2030,0</v>
      </c>
      <c r="J12" s="8" t="str">
        <f>"1460,9910"</f>
        <v>1460,9910</v>
      </c>
      <c r="K12" s="7" t="s">
        <v>478</v>
      </c>
    </row>
    <row r="14" spans="1:11" ht="15" x14ac:dyDescent="0.2">
      <c r="A14" s="50" t="s">
        <v>29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1" x14ac:dyDescent="0.2">
      <c r="A15" s="10" t="s">
        <v>1554</v>
      </c>
      <c r="B15" s="10" t="s">
        <v>1553</v>
      </c>
      <c r="C15" s="10" t="s">
        <v>1552</v>
      </c>
      <c r="D15" s="10" t="str">
        <f>"0,6786"</f>
        <v>0,6786</v>
      </c>
      <c r="E15" s="10" t="s">
        <v>106</v>
      </c>
      <c r="F15" s="10" t="s">
        <v>1551</v>
      </c>
      <c r="G15" s="11" t="s">
        <v>447</v>
      </c>
      <c r="H15" s="31" t="s">
        <v>1550</v>
      </c>
      <c r="I15" s="10" t="str">
        <f>"13717,5"</f>
        <v>13717,5</v>
      </c>
      <c r="J15" s="11" t="str">
        <f>"9308,6957"</f>
        <v>9308,6957</v>
      </c>
      <c r="K15" s="10" t="s">
        <v>73</v>
      </c>
    </row>
    <row r="16" spans="1:11" x14ac:dyDescent="0.2">
      <c r="A16" s="13" t="s">
        <v>1549</v>
      </c>
      <c r="B16" s="13" t="s">
        <v>1548</v>
      </c>
      <c r="C16" s="13" t="s">
        <v>1547</v>
      </c>
      <c r="D16" s="13" t="str">
        <f>"0,6652"</f>
        <v>0,6652</v>
      </c>
      <c r="E16" s="13" t="s">
        <v>34</v>
      </c>
      <c r="F16" s="13" t="s">
        <v>35</v>
      </c>
      <c r="G16" s="16" t="s">
        <v>264</v>
      </c>
      <c r="H16" s="30" t="s">
        <v>1414</v>
      </c>
      <c r="I16" s="13" t="str">
        <f>"2000,0"</f>
        <v>2000,0</v>
      </c>
      <c r="J16" s="16" t="str">
        <f>"1330,4000"</f>
        <v>1330,4000</v>
      </c>
      <c r="K16" s="13" t="s">
        <v>190</v>
      </c>
    </row>
    <row r="18" spans="1:11" ht="15" x14ac:dyDescent="0.2">
      <c r="A18" s="50" t="s">
        <v>45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1" x14ac:dyDescent="0.2">
      <c r="A19" s="10" t="s">
        <v>1544</v>
      </c>
      <c r="B19" s="10" t="s">
        <v>1546</v>
      </c>
      <c r="C19" s="10" t="s">
        <v>515</v>
      </c>
      <c r="D19" s="10" t="str">
        <f>"0,6153"</f>
        <v>0,6153</v>
      </c>
      <c r="E19" s="10" t="s">
        <v>106</v>
      </c>
      <c r="F19" s="10" t="s">
        <v>35</v>
      </c>
      <c r="G19" s="11" t="s">
        <v>257</v>
      </c>
      <c r="H19" s="31" t="s">
        <v>1542</v>
      </c>
      <c r="I19" s="10" t="str">
        <f>"4770,0"</f>
        <v>4770,0</v>
      </c>
      <c r="J19" s="11" t="str">
        <f>"2934,9810"</f>
        <v>2934,9810</v>
      </c>
      <c r="K19" s="10" t="s">
        <v>1541</v>
      </c>
    </row>
    <row r="20" spans="1:11" x14ac:dyDescent="0.2">
      <c r="A20" s="24" t="s">
        <v>1545</v>
      </c>
      <c r="B20" s="24" t="s">
        <v>201</v>
      </c>
      <c r="C20" s="24" t="s">
        <v>202</v>
      </c>
      <c r="D20" s="24" t="str">
        <f>"0,6173"</f>
        <v>0,6173</v>
      </c>
      <c r="E20" s="24" t="s">
        <v>34</v>
      </c>
      <c r="F20" s="24" t="s">
        <v>203</v>
      </c>
      <c r="G20" s="26" t="s">
        <v>257</v>
      </c>
      <c r="H20" s="32" t="s">
        <v>1513</v>
      </c>
      <c r="I20" s="24" t="str">
        <f>"1710,0"</f>
        <v>1710,0</v>
      </c>
      <c r="J20" s="26" t="str">
        <f>"1055,5830"</f>
        <v>1055,5830</v>
      </c>
      <c r="K20" s="24" t="s">
        <v>140</v>
      </c>
    </row>
    <row r="21" spans="1:11" x14ac:dyDescent="0.2">
      <c r="A21" s="24" t="s">
        <v>1544</v>
      </c>
      <c r="B21" s="24" t="s">
        <v>1543</v>
      </c>
      <c r="C21" s="24" t="s">
        <v>515</v>
      </c>
      <c r="D21" s="24" t="str">
        <f>"0,6153"</f>
        <v>0,6153</v>
      </c>
      <c r="E21" s="24" t="s">
        <v>106</v>
      </c>
      <c r="F21" s="24" t="s">
        <v>35</v>
      </c>
      <c r="G21" s="26" t="s">
        <v>257</v>
      </c>
      <c r="H21" s="32" t="s">
        <v>1542</v>
      </c>
      <c r="I21" s="24" t="str">
        <f>"4770,0"</f>
        <v>4770,0</v>
      </c>
      <c r="J21" s="26" t="str">
        <f>"3134,5597"</f>
        <v>3134,5597</v>
      </c>
      <c r="K21" s="24" t="s">
        <v>1541</v>
      </c>
    </row>
    <row r="22" spans="1:11" x14ac:dyDescent="0.2">
      <c r="A22" s="13" t="s">
        <v>1540</v>
      </c>
      <c r="B22" s="13" t="s">
        <v>1539</v>
      </c>
      <c r="C22" s="13" t="s">
        <v>1538</v>
      </c>
      <c r="D22" s="13" t="str">
        <f>"0,6406"</f>
        <v>0,6406</v>
      </c>
      <c r="E22" s="13" t="s">
        <v>34</v>
      </c>
      <c r="F22" s="13" t="s">
        <v>465</v>
      </c>
      <c r="G22" s="16" t="s">
        <v>252</v>
      </c>
      <c r="H22" s="30" t="s">
        <v>1523</v>
      </c>
      <c r="I22" s="13" t="str">
        <f>"2210,0"</f>
        <v>2210,0</v>
      </c>
      <c r="J22" s="16" t="str">
        <f>"1493,7074"</f>
        <v>1493,7074</v>
      </c>
      <c r="K22" s="13" t="s">
        <v>1537</v>
      </c>
    </row>
    <row r="24" spans="1:11" ht="15" x14ac:dyDescent="0.2">
      <c r="A24" s="50" t="s">
        <v>121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1" x14ac:dyDescent="0.2">
      <c r="A25" s="10" t="s">
        <v>1536</v>
      </c>
      <c r="B25" s="10" t="s">
        <v>558</v>
      </c>
      <c r="C25" s="10" t="s">
        <v>553</v>
      </c>
      <c r="D25" s="10" t="str">
        <f>"0,5846"</f>
        <v>0,5846</v>
      </c>
      <c r="E25" s="10" t="s">
        <v>34</v>
      </c>
      <c r="F25" s="10" t="s">
        <v>538</v>
      </c>
      <c r="G25" s="11" t="s">
        <v>254</v>
      </c>
      <c r="H25" s="31" t="s">
        <v>1535</v>
      </c>
      <c r="I25" s="10" t="str">
        <f>"2900,0"</f>
        <v>2900,0</v>
      </c>
      <c r="J25" s="11" t="str">
        <f>"1695,1951"</f>
        <v>1695,1951</v>
      </c>
      <c r="K25" s="10" t="s">
        <v>559</v>
      </c>
    </row>
    <row r="26" spans="1:11" x14ac:dyDescent="0.2">
      <c r="A26" s="24" t="s">
        <v>1534</v>
      </c>
      <c r="B26" s="24" t="s">
        <v>1533</v>
      </c>
      <c r="C26" s="24" t="s">
        <v>1528</v>
      </c>
      <c r="D26" s="24" t="str">
        <f>"0,5867"</f>
        <v>0,5867</v>
      </c>
      <c r="E26" s="24" t="s">
        <v>34</v>
      </c>
      <c r="F26" s="24" t="s">
        <v>801</v>
      </c>
      <c r="G26" s="26" t="s">
        <v>254</v>
      </c>
      <c r="H26" s="32" t="s">
        <v>1424</v>
      </c>
      <c r="I26" s="24" t="str">
        <f>"2800,0"</f>
        <v>2800,0</v>
      </c>
      <c r="J26" s="26" t="str">
        <f>"1642,6200"</f>
        <v>1642,6200</v>
      </c>
      <c r="K26" s="24" t="s">
        <v>1527</v>
      </c>
    </row>
    <row r="27" spans="1:11" x14ac:dyDescent="0.2">
      <c r="A27" s="24" t="s">
        <v>1532</v>
      </c>
      <c r="B27" s="24" t="s">
        <v>206</v>
      </c>
      <c r="C27" s="24" t="s">
        <v>207</v>
      </c>
      <c r="D27" s="24" t="str">
        <f>"0,5813"</f>
        <v>0,5813</v>
      </c>
      <c r="E27" s="24" t="s">
        <v>34</v>
      </c>
      <c r="F27" s="24" t="s">
        <v>203</v>
      </c>
      <c r="G27" s="26" t="s">
        <v>254</v>
      </c>
      <c r="H27" s="32" t="s">
        <v>1531</v>
      </c>
      <c r="I27" s="24" t="str">
        <f>"2300,0"</f>
        <v>2300,0</v>
      </c>
      <c r="J27" s="26" t="str">
        <f>"1336,9900"</f>
        <v>1336,9900</v>
      </c>
      <c r="K27" s="24" t="s">
        <v>140</v>
      </c>
    </row>
    <row r="28" spans="1:11" x14ac:dyDescent="0.2">
      <c r="A28" s="13" t="s">
        <v>1530</v>
      </c>
      <c r="B28" s="13" t="s">
        <v>1529</v>
      </c>
      <c r="C28" s="13" t="s">
        <v>1528</v>
      </c>
      <c r="D28" s="13" t="str">
        <f>"0,5867"</f>
        <v>0,5867</v>
      </c>
      <c r="E28" s="13" t="s">
        <v>34</v>
      </c>
      <c r="F28" s="13" t="s">
        <v>801</v>
      </c>
      <c r="G28" s="16" t="s">
        <v>254</v>
      </c>
      <c r="H28" s="30" t="s">
        <v>1424</v>
      </c>
      <c r="I28" s="13" t="str">
        <f>"2800,0"</f>
        <v>2800,0</v>
      </c>
      <c r="J28" s="16" t="str">
        <f>"1713,2527"</f>
        <v>1713,2527</v>
      </c>
      <c r="K28" s="13" t="s">
        <v>1527</v>
      </c>
    </row>
    <row r="30" spans="1:11" ht="15" x14ac:dyDescent="0.2">
      <c r="A30" s="50" t="s">
        <v>64</v>
      </c>
      <c r="B30" s="50"/>
      <c r="C30" s="50"/>
      <c r="D30" s="50"/>
      <c r="E30" s="50"/>
      <c r="F30" s="50"/>
      <c r="G30" s="50"/>
      <c r="H30" s="50"/>
      <c r="I30" s="50"/>
      <c r="J30" s="50"/>
    </row>
    <row r="31" spans="1:11" x14ac:dyDescent="0.2">
      <c r="A31" s="10" t="s">
        <v>1526</v>
      </c>
      <c r="B31" s="10" t="s">
        <v>1525</v>
      </c>
      <c r="C31" s="10" t="s">
        <v>1301</v>
      </c>
      <c r="D31" s="10" t="str">
        <f>"0,5756"</f>
        <v>0,5756</v>
      </c>
      <c r="E31" s="10" t="s">
        <v>34</v>
      </c>
      <c r="F31" s="10" t="s">
        <v>1524</v>
      </c>
      <c r="G31" s="11" t="s">
        <v>347</v>
      </c>
      <c r="H31" s="31" t="s">
        <v>1523</v>
      </c>
      <c r="I31" s="10" t="str">
        <f>"2665,0"</f>
        <v>2665,0</v>
      </c>
      <c r="J31" s="11" t="str">
        <f>"1534,1072"</f>
        <v>1534,1072</v>
      </c>
      <c r="K31" s="10" t="s">
        <v>73</v>
      </c>
    </row>
    <row r="32" spans="1:11" x14ac:dyDescent="0.2">
      <c r="A32" s="13" t="s">
        <v>1522</v>
      </c>
      <c r="B32" s="13" t="s">
        <v>1521</v>
      </c>
      <c r="C32" s="13" t="s">
        <v>1520</v>
      </c>
      <c r="D32" s="13" t="str">
        <f>"0,5809"</f>
        <v>0,5809</v>
      </c>
      <c r="E32" s="13" t="s">
        <v>34</v>
      </c>
      <c r="F32" s="13" t="s">
        <v>1519</v>
      </c>
      <c r="G32" s="16" t="s">
        <v>347</v>
      </c>
      <c r="H32" s="30" t="s">
        <v>1414</v>
      </c>
      <c r="I32" s="13" t="str">
        <f>"2562,5"</f>
        <v>2562,5</v>
      </c>
      <c r="J32" s="16" t="str">
        <f>"1488,4281"</f>
        <v>1488,4281</v>
      </c>
      <c r="K32" s="13" t="s">
        <v>190</v>
      </c>
    </row>
    <row r="34" spans="1:11" ht="15" x14ac:dyDescent="0.2">
      <c r="A34" s="50" t="s">
        <v>161</v>
      </c>
      <c r="B34" s="50"/>
      <c r="C34" s="50"/>
      <c r="D34" s="50"/>
      <c r="E34" s="50"/>
      <c r="F34" s="50"/>
      <c r="G34" s="50"/>
      <c r="H34" s="50"/>
      <c r="I34" s="50"/>
      <c r="J34" s="50"/>
    </row>
    <row r="35" spans="1:11" x14ac:dyDescent="0.2">
      <c r="A35" s="10" t="s">
        <v>1518</v>
      </c>
      <c r="B35" s="10" t="s">
        <v>1517</v>
      </c>
      <c r="C35" s="10" t="s">
        <v>1516</v>
      </c>
      <c r="D35" s="10" t="str">
        <f>"0,5565"</f>
        <v>0,5565</v>
      </c>
      <c r="E35" s="10" t="s">
        <v>34</v>
      </c>
      <c r="F35" s="10" t="s">
        <v>1515</v>
      </c>
      <c r="G35" s="11" t="s">
        <v>20</v>
      </c>
      <c r="H35" s="31" t="s">
        <v>1514</v>
      </c>
      <c r="I35" s="10" t="str">
        <f>"2760,0"</f>
        <v>2760,0</v>
      </c>
      <c r="J35" s="11" t="str">
        <f>"1535,8020"</f>
        <v>1535,8020</v>
      </c>
      <c r="K35" s="10" t="s">
        <v>73</v>
      </c>
    </row>
    <row r="36" spans="1:11" x14ac:dyDescent="0.2">
      <c r="A36" s="24" t="s">
        <v>214</v>
      </c>
      <c r="B36" s="24" t="s">
        <v>215</v>
      </c>
      <c r="C36" s="24" t="s">
        <v>216</v>
      </c>
      <c r="D36" s="24" t="str">
        <f>"0,5607"</f>
        <v>0,5607</v>
      </c>
      <c r="E36" s="24" t="s">
        <v>34</v>
      </c>
      <c r="F36" s="24" t="s">
        <v>203</v>
      </c>
      <c r="G36" s="26" t="s">
        <v>39</v>
      </c>
      <c r="H36" s="32" t="s">
        <v>1513</v>
      </c>
      <c r="I36" s="24" t="str">
        <f>"2137,5"</f>
        <v>2137,5</v>
      </c>
      <c r="J36" s="26" t="str">
        <f>"1198,4962"</f>
        <v>1198,4962</v>
      </c>
      <c r="K36" s="24" t="s">
        <v>140</v>
      </c>
    </row>
    <row r="37" spans="1:11" x14ac:dyDescent="0.2">
      <c r="A37" s="13" t="s">
        <v>1512</v>
      </c>
      <c r="B37" s="13" t="s">
        <v>211</v>
      </c>
      <c r="C37" s="13" t="s">
        <v>212</v>
      </c>
      <c r="D37" s="13" t="str">
        <f>"0,5538"</f>
        <v>0,5538</v>
      </c>
      <c r="E37" s="13" t="s">
        <v>34</v>
      </c>
      <c r="F37" s="13" t="s">
        <v>203</v>
      </c>
      <c r="G37" s="16" t="s">
        <v>40</v>
      </c>
      <c r="H37" s="30" t="s">
        <v>1511</v>
      </c>
      <c r="I37" s="13" t="str">
        <f>"1762,5"</f>
        <v>1762,5</v>
      </c>
      <c r="J37" s="16" t="str">
        <f>"976,1606"</f>
        <v>976,1606</v>
      </c>
      <c r="K37" s="13" t="s">
        <v>140</v>
      </c>
    </row>
    <row r="39" spans="1:11" ht="15" x14ac:dyDescent="0.2">
      <c r="E39" s="15" t="s">
        <v>74</v>
      </c>
    </row>
    <row r="40" spans="1:11" ht="15" x14ac:dyDescent="0.2">
      <c r="E40" s="15" t="s">
        <v>75</v>
      </c>
    </row>
    <row r="41" spans="1:11" ht="15" x14ac:dyDescent="0.2">
      <c r="E41" s="15" t="s">
        <v>76</v>
      </c>
    </row>
    <row r="42" spans="1:11" ht="15" x14ac:dyDescent="0.2">
      <c r="E42" s="15" t="s">
        <v>77</v>
      </c>
    </row>
    <row r="43" spans="1:11" ht="15" x14ac:dyDescent="0.2">
      <c r="E43" s="15" t="s">
        <v>77</v>
      </c>
    </row>
    <row r="44" spans="1:11" ht="15" x14ac:dyDescent="0.2">
      <c r="E44" s="15" t="s">
        <v>78</v>
      </c>
    </row>
    <row r="45" spans="1:11" ht="15" x14ac:dyDescent="0.2">
      <c r="E45" s="15"/>
    </row>
    <row r="47" spans="1:11" ht="18" x14ac:dyDescent="0.25">
      <c r="A47" s="17" t="s">
        <v>79</v>
      </c>
      <c r="B47" s="17"/>
    </row>
    <row r="48" spans="1:11" ht="15" x14ac:dyDescent="0.2">
      <c r="A48" s="18" t="s">
        <v>80</v>
      </c>
      <c r="B48" s="18"/>
    </row>
    <row r="49" spans="1:5" s="3" customFormat="1" ht="14.25" x14ac:dyDescent="0.2">
      <c r="A49" s="20"/>
      <c r="B49" s="21" t="s">
        <v>1387</v>
      </c>
      <c r="C49" s="4"/>
      <c r="D49" s="4"/>
      <c r="E49" s="4"/>
    </row>
    <row r="50" spans="1:5" s="3" customFormat="1" ht="15" x14ac:dyDescent="0.2">
      <c r="A50" s="22" t="s">
        <v>82</v>
      </c>
      <c r="B50" s="22" t="s">
        <v>83</v>
      </c>
      <c r="C50" s="22" t="s">
        <v>84</v>
      </c>
      <c r="D50" s="22" t="s">
        <v>85</v>
      </c>
      <c r="E50" s="22" t="s">
        <v>1370</v>
      </c>
    </row>
    <row r="51" spans="1:5" s="3" customFormat="1" x14ac:dyDescent="0.2">
      <c r="A51" s="19" t="s">
        <v>1510</v>
      </c>
      <c r="B51" s="4" t="s">
        <v>1382</v>
      </c>
      <c r="C51" s="4" t="s">
        <v>1050</v>
      </c>
      <c r="D51" s="4" t="s">
        <v>1509</v>
      </c>
      <c r="E51" s="23" t="s">
        <v>1508</v>
      </c>
    </row>
    <row r="54" spans="1:5" s="3" customFormat="1" ht="15" x14ac:dyDescent="0.2">
      <c r="A54" s="18" t="s">
        <v>91</v>
      </c>
      <c r="B54" s="18"/>
      <c r="C54" s="4"/>
      <c r="D54" s="4"/>
      <c r="E54" s="4"/>
    </row>
    <row r="55" spans="1:5" s="3" customFormat="1" ht="14.25" x14ac:dyDescent="0.2">
      <c r="A55" s="20"/>
      <c r="B55" s="21" t="s">
        <v>92</v>
      </c>
      <c r="C55" s="4"/>
      <c r="D55" s="4"/>
      <c r="E55" s="4"/>
    </row>
    <row r="56" spans="1:5" s="3" customFormat="1" ht="15" x14ac:dyDescent="0.2">
      <c r="A56" s="22" t="s">
        <v>82</v>
      </c>
      <c r="B56" s="22" t="s">
        <v>83</v>
      </c>
      <c r="C56" s="22" t="s">
        <v>84</v>
      </c>
      <c r="D56" s="22" t="s">
        <v>85</v>
      </c>
      <c r="E56" s="22" t="s">
        <v>1370</v>
      </c>
    </row>
    <row r="57" spans="1:5" s="3" customFormat="1" x14ac:dyDescent="0.2">
      <c r="A57" s="19" t="s">
        <v>1507</v>
      </c>
      <c r="B57" s="4" t="s">
        <v>92</v>
      </c>
      <c r="C57" s="4" t="s">
        <v>99</v>
      </c>
      <c r="D57" s="4" t="s">
        <v>1506</v>
      </c>
      <c r="E57" s="23" t="s">
        <v>1505</v>
      </c>
    </row>
    <row r="58" spans="1:5" s="3" customFormat="1" x14ac:dyDescent="0.2">
      <c r="A58" s="19" t="s">
        <v>1475</v>
      </c>
      <c r="B58" s="4" t="s">
        <v>92</v>
      </c>
      <c r="C58" s="4" t="s">
        <v>93</v>
      </c>
      <c r="D58" s="4" t="s">
        <v>1474</v>
      </c>
      <c r="E58" s="23" t="s">
        <v>1504</v>
      </c>
    </row>
    <row r="59" spans="1:5" s="3" customFormat="1" x14ac:dyDescent="0.2">
      <c r="A59" s="19" t="s">
        <v>556</v>
      </c>
      <c r="B59" s="4" t="s">
        <v>92</v>
      </c>
      <c r="C59" s="4" t="s">
        <v>170</v>
      </c>
      <c r="D59" s="4" t="s">
        <v>1503</v>
      </c>
      <c r="E59" s="23" t="s">
        <v>1502</v>
      </c>
    </row>
    <row r="60" spans="1:5" s="3" customFormat="1" x14ac:dyDescent="0.2">
      <c r="A60" s="19" t="s">
        <v>1472</v>
      </c>
      <c r="B60" s="4" t="s">
        <v>92</v>
      </c>
      <c r="C60" s="4" t="s">
        <v>170</v>
      </c>
      <c r="D60" s="4" t="s">
        <v>1471</v>
      </c>
      <c r="E60" s="23" t="s">
        <v>1501</v>
      </c>
    </row>
    <row r="61" spans="1:5" s="3" customFormat="1" x14ac:dyDescent="0.2">
      <c r="A61" s="19" t="s">
        <v>1500</v>
      </c>
      <c r="B61" s="4" t="s">
        <v>92</v>
      </c>
      <c r="C61" s="4" t="s">
        <v>181</v>
      </c>
      <c r="D61" s="4" t="s">
        <v>1499</v>
      </c>
      <c r="E61" s="23" t="s">
        <v>1498</v>
      </c>
    </row>
    <row r="62" spans="1:5" s="3" customFormat="1" x14ac:dyDescent="0.2">
      <c r="A62" s="19" t="s">
        <v>1497</v>
      </c>
      <c r="B62" s="4" t="s">
        <v>92</v>
      </c>
      <c r="C62" s="4" t="s">
        <v>96</v>
      </c>
      <c r="D62" s="4" t="s">
        <v>1496</v>
      </c>
      <c r="E62" s="23" t="s">
        <v>1495</v>
      </c>
    </row>
    <row r="63" spans="1:5" s="3" customFormat="1" x14ac:dyDescent="0.2">
      <c r="A63" s="19" t="s">
        <v>1494</v>
      </c>
      <c r="B63" s="4" t="s">
        <v>92</v>
      </c>
      <c r="C63" s="4" t="s">
        <v>96</v>
      </c>
      <c r="D63" s="4" t="s">
        <v>1493</v>
      </c>
      <c r="E63" s="23" t="s">
        <v>1492</v>
      </c>
    </row>
    <row r="64" spans="1:5" s="3" customFormat="1" x14ac:dyDescent="0.2">
      <c r="A64" s="19" t="s">
        <v>473</v>
      </c>
      <c r="B64" s="4" t="s">
        <v>92</v>
      </c>
      <c r="C64" s="4" t="s">
        <v>414</v>
      </c>
      <c r="D64" s="4" t="s">
        <v>1491</v>
      </c>
      <c r="E64" s="23" t="s">
        <v>1490</v>
      </c>
    </row>
    <row r="65" spans="1:5" s="3" customFormat="1" x14ac:dyDescent="0.2">
      <c r="A65" s="19" t="s">
        <v>204</v>
      </c>
      <c r="B65" s="4" t="s">
        <v>92</v>
      </c>
      <c r="C65" s="4" t="s">
        <v>170</v>
      </c>
      <c r="D65" s="4" t="s">
        <v>1489</v>
      </c>
      <c r="E65" s="23" t="s">
        <v>1488</v>
      </c>
    </row>
    <row r="66" spans="1:5" s="3" customFormat="1" x14ac:dyDescent="0.2">
      <c r="A66" s="19" t="s">
        <v>1487</v>
      </c>
      <c r="B66" s="4" t="s">
        <v>92</v>
      </c>
      <c r="C66" s="4" t="s">
        <v>99</v>
      </c>
      <c r="D66" s="4" t="s">
        <v>1486</v>
      </c>
      <c r="E66" s="23" t="s">
        <v>1485</v>
      </c>
    </row>
    <row r="67" spans="1:5" s="3" customFormat="1" x14ac:dyDescent="0.2">
      <c r="A67" s="19" t="s">
        <v>213</v>
      </c>
      <c r="B67" s="4" t="s">
        <v>92</v>
      </c>
      <c r="C67" s="4" t="s">
        <v>181</v>
      </c>
      <c r="D67" s="4" t="s">
        <v>1484</v>
      </c>
      <c r="E67" s="23" t="s">
        <v>1483</v>
      </c>
    </row>
    <row r="68" spans="1:5" s="3" customFormat="1" x14ac:dyDescent="0.2">
      <c r="A68" s="19" t="s">
        <v>199</v>
      </c>
      <c r="B68" s="4" t="s">
        <v>92</v>
      </c>
      <c r="C68" s="4" t="s">
        <v>93</v>
      </c>
      <c r="D68" s="4" t="s">
        <v>1482</v>
      </c>
      <c r="E68" s="23" t="s">
        <v>1481</v>
      </c>
    </row>
    <row r="69" spans="1:5" s="3" customFormat="1" x14ac:dyDescent="0.2">
      <c r="A69" s="19" t="s">
        <v>1480</v>
      </c>
      <c r="B69" s="4" t="s">
        <v>92</v>
      </c>
      <c r="C69" s="4" t="s">
        <v>88</v>
      </c>
      <c r="D69" s="4" t="s">
        <v>1479</v>
      </c>
      <c r="E69" s="23" t="s">
        <v>1478</v>
      </c>
    </row>
    <row r="70" spans="1:5" s="3" customFormat="1" x14ac:dyDescent="0.2">
      <c r="A70" s="19" t="s">
        <v>209</v>
      </c>
      <c r="B70" s="4" t="s">
        <v>92</v>
      </c>
      <c r="C70" s="4" t="s">
        <v>181</v>
      </c>
      <c r="D70" s="4" t="s">
        <v>1477</v>
      </c>
      <c r="E70" s="23" t="s">
        <v>1476</v>
      </c>
    </row>
    <row r="72" spans="1:5" s="3" customFormat="1" ht="14.25" x14ac:dyDescent="0.2">
      <c r="A72" s="20"/>
      <c r="B72" s="21" t="s">
        <v>1387</v>
      </c>
      <c r="C72" s="4"/>
      <c r="D72" s="4"/>
      <c r="E72" s="4"/>
    </row>
    <row r="73" spans="1:5" s="3" customFormat="1" ht="15" x14ac:dyDescent="0.2">
      <c r="A73" s="22" t="s">
        <v>82</v>
      </c>
      <c r="B73" s="22" t="s">
        <v>83</v>
      </c>
      <c r="C73" s="22" t="s">
        <v>84</v>
      </c>
      <c r="D73" s="22" t="s">
        <v>85</v>
      </c>
      <c r="E73" s="22" t="s">
        <v>1370</v>
      </c>
    </row>
    <row r="74" spans="1:5" s="3" customFormat="1" x14ac:dyDescent="0.2">
      <c r="A74" s="19" t="s">
        <v>1475</v>
      </c>
      <c r="B74" s="4" t="s">
        <v>1382</v>
      </c>
      <c r="C74" s="4" t="s">
        <v>93</v>
      </c>
      <c r="D74" s="4" t="s">
        <v>1474</v>
      </c>
      <c r="E74" s="23" t="s">
        <v>1473</v>
      </c>
    </row>
    <row r="75" spans="1:5" s="3" customFormat="1" x14ac:dyDescent="0.2">
      <c r="A75" s="19" t="s">
        <v>1472</v>
      </c>
      <c r="B75" s="4" t="s">
        <v>1382</v>
      </c>
      <c r="C75" s="4" t="s">
        <v>170</v>
      </c>
      <c r="D75" s="4" t="s">
        <v>1471</v>
      </c>
      <c r="E75" s="23" t="s">
        <v>1470</v>
      </c>
    </row>
    <row r="76" spans="1:5" s="3" customFormat="1" x14ac:dyDescent="0.2">
      <c r="A76" s="19" t="s">
        <v>1469</v>
      </c>
      <c r="B76" s="4" t="s">
        <v>1382</v>
      </c>
      <c r="C76" s="4" t="s">
        <v>93</v>
      </c>
      <c r="D76" s="4" t="s">
        <v>1468</v>
      </c>
      <c r="E76" s="23" t="s">
        <v>1467</v>
      </c>
    </row>
  </sheetData>
  <mergeCells count="19">
    <mergeCell ref="A1:K2"/>
    <mergeCell ref="G3:H3"/>
    <mergeCell ref="A3:A4"/>
    <mergeCell ref="B3:B4"/>
    <mergeCell ref="C3:C4"/>
    <mergeCell ref="K3:K4"/>
    <mergeCell ref="F3:F4"/>
    <mergeCell ref="E3:E4"/>
    <mergeCell ref="D3:D4"/>
    <mergeCell ref="I3:I4"/>
    <mergeCell ref="J3:J4"/>
    <mergeCell ref="A24:J24"/>
    <mergeCell ref="A30:J30"/>
    <mergeCell ref="A34:J34"/>
    <mergeCell ref="A5:J5"/>
    <mergeCell ref="A8:J8"/>
    <mergeCell ref="A11:J11"/>
    <mergeCell ref="A14:J14"/>
    <mergeCell ref="A18:J18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1" t="s">
        <v>1360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12</v>
      </c>
      <c r="H3" s="61"/>
      <c r="I3" s="61"/>
      <c r="J3" s="61"/>
      <c r="K3" s="61" t="s">
        <v>442</v>
      </c>
      <c r="L3" s="61" t="s">
        <v>3</v>
      </c>
      <c r="M3" s="62" t="s">
        <v>2</v>
      </c>
    </row>
    <row r="4" spans="1:13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60"/>
      <c r="L4" s="60"/>
      <c r="M4" s="63"/>
    </row>
    <row r="5" spans="1:13" ht="15" x14ac:dyDescent="0.2">
      <c r="A5" s="64" t="s">
        <v>45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x14ac:dyDescent="0.2">
      <c r="A6" s="7" t="s">
        <v>200</v>
      </c>
      <c r="B6" s="7" t="s">
        <v>201</v>
      </c>
      <c r="C6" s="7" t="s">
        <v>202</v>
      </c>
      <c r="D6" s="7" t="str">
        <f>"0,6436"</f>
        <v>0,6436</v>
      </c>
      <c r="E6" s="7" t="s">
        <v>34</v>
      </c>
      <c r="F6" s="7" t="s">
        <v>203</v>
      </c>
      <c r="G6" s="8" t="s">
        <v>136</v>
      </c>
      <c r="H6" s="8" t="s">
        <v>41</v>
      </c>
      <c r="I6" s="9" t="s">
        <v>127</v>
      </c>
      <c r="J6" s="9"/>
      <c r="K6" s="7" t="str">
        <f>"190,0"</f>
        <v>190,0</v>
      </c>
      <c r="L6" s="8" t="str">
        <f>"122,2840"</f>
        <v>122,2840</v>
      </c>
      <c r="M6" s="7" t="s">
        <v>140</v>
      </c>
    </row>
    <row r="8" spans="1:13" ht="15" x14ac:dyDescent="0.2">
      <c r="A8" s="50" t="s">
        <v>121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3" x14ac:dyDescent="0.2">
      <c r="A9" s="7" t="s">
        <v>205</v>
      </c>
      <c r="B9" s="7" t="s">
        <v>206</v>
      </c>
      <c r="C9" s="7" t="s">
        <v>207</v>
      </c>
      <c r="D9" s="7" t="str">
        <f>"0,6086"</f>
        <v>0,6086</v>
      </c>
      <c r="E9" s="7" t="s">
        <v>34</v>
      </c>
      <c r="F9" s="7" t="s">
        <v>203</v>
      </c>
      <c r="G9" s="8" t="s">
        <v>52</v>
      </c>
      <c r="H9" s="8" t="s">
        <v>148</v>
      </c>
      <c r="I9" s="9" t="s">
        <v>208</v>
      </c>
      <c r="J9" s="9"/>
      <c r="K9" s="7" t="str">
        <f>"310,0"</f>
        <v>310,0</v>
      </c>
      <c r="L9" s="8" t="str">
        <f>"188,6660"</f>
        <v>188,6660</v>
      </c>
      <c r="M9" s="7" t="s">
        <v>140</v>
      </c>
    </row>
    <row r="11" spans="1:13" ht="15" x14ac:dyDescent="0.2">
      <c r="A11" s="50" t="s">
        <v>161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3" x14ac:dyDescent="0.2">
      <c r="A12" s="7" t="s">
        <v>210</v>
      </c>
      <c r="B12" s="7" t="s">
        <v>211</v>
      </c>
      <c r="C12" s="7" t="s">
        <v>212</v>
      </c>
      <c r="D12" s="7" t="str">
        <f>"0,5782"</f>
        <v>0,5782</v>
      </c>
      <c r="E12" s="7" t="s">
        <v>34</v>
      </c>
      <c r="F12" s="7" t="s">
        <v>203</v>
      </c>
      <c r="G12" s="8" t="s">
        <v>152</v>
      </c>
      <c r="H12" s="8" t="s">
        <v>55</v>
      </c>
      <c r="I12" s="8" t="s">
        <v>62</v>
      </c>
      <c r="J12" s="9"/>
      <c r="K12" s="7" t="str">
        <f>"270,0"</f>
        <v>270,0</v>
      </c>
      <c r="L12" s="8" t="str">
        <f>"156,1140"</f>
        <v>156,1140</v>
      </c>
      <c r="M12" s="7" t="s">
        <v>140</v>
      </c>
    </row>
    <row r="14" spans="1:13" ht="15" x14ac:dyDescent="0.2">
      <c r="E14" s="15" t="s">
        <v>74</v>
      </c>
    </row>
    <row r="15" spans="1:13" ht="15" x14ac:dyDescent="0.2">
      <c r="E15" s="15" t="s">
        <v>75</v>
      </c>
    </row>
    <row r="16" spans="1:13" ht="15" x14ac:dyDescent="0.2">
      <c r="E16" s="15" t="s">
        <v>76</v>
      </c>
    </row>
    <row r="17" spans="1:5" ht="15" x14ac:dyDescent="0.2">
      <c r="E17" s="15" t="s">
        <v>77</v>
      </c>
    </row>
    <row r="18" spans="1:5" ht="15" x14ac:dyDescent="0.2">
      <c r="E18" s="15" t="s">
        <v>77</v>
      </c>
    </row>
    <row r="19" spans="1:5" ht="15" x14ac:dyDescent="0.2">
      <c r="E19" s="15" t="s">
        <v>78</v>
      </c>
    </row>
    <row r="20" spans="1:5" ht="15" x14ac:dyDescent="0.2">
      <c r="E20" s="15"/>
    </row>
    <row r="22" spans="1:5" ht="18" x14ac:dyDescent="0.25">
      <c r="A22" s="17" t="s">
        <v>79</v>
      </c>
      <c r="B22" s="17"/>
    </row>
    <row r="23" spans="1:5" ht="15" x14ac:dyDescent="0.2">
      <c r="A23" s="18" t="s">
        <v>91</v>
      </c>
      <c r="B23" s="18"/>
    </row>
    <row r="24" spans="1:5" ht="14.25" x14ac:dyDescent="0.2">
      <c r="A24" s="20"/>
      <c r="B24" s="21" t="s">
        <v>92</v>
      </c>
    </row>
    <row r="25" spans="1:5" ht="15" x14ac:dyDescent="0.2">
      <c r="A25" s="22" t="s">
        <v>82</v>
      </c>
      <c r="B25" s="22" t="s">
        <v>83</v>
      </c>
      <c r="C25" s="22" t="s">
        <v>84</v>
      </c>
      <c r="D25" s="22" t="s">
        <v>85</v>
      </c>
      <c r="E25" s="22" t="s">
        <v>86</v>
      </c>
    </row>
    <row r="26" spans="1:5" x14ac:dyDescent="0.2">
      <c r="A26" s="19" t="s">
        <v>204</v>
      </c>
      <c r="B26" s="4" t="s">
        <v>92</v>
      </c>
      <c r="C26" s="4" t="s">
        <v>170</v>
      </c>
      <c r="D26" s="4" t="s">
        <v>148</v>
      </c>
      <c r="E26" s="23" t="s">
        <v>1179</v>
      </c>
    </row>
    <row r="27" spans="1:5" x14ac:dyDescent="0.2">
      <c r="A27" s="19" t="s">
        <v>209</v>
      </c>
      <c r="B27" s="4" t="s">
        <v>92</v>
      </c>
      <c r="C27" s="4" t="s">
        <v>181</v>
      </c>
      <c r="D27" s="4" t="s">
        <v>62</v>
      </c>
      <c r="E27" s="23" t="s">
        <v>1180</v>
      </c>
    </row>
    <row r="28" spans="1:5" x14ac:dyDescent="0.2">
      <c r="A28" s="19" t="s">
        <v>199</v>
      </c>
      <c r="B28" s="4" t="s">
        <v>92</v>
      </c>
      <c r="C28" s="4" t="s">
        <v>93</v>
      </c>
      <c r="D28" s="4" t="s">
        <v>41</v>
      </c>
      <c r="E28" s="23" t="s">
        <v>1181</v>
      </c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workbookViewId="0">
      <selection activeCell="A55" sqref="A55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425781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5.5703125" style="4" bestFit="1" customWidth="1"/>
    <col min="14" max="16384" width="9.140625" style="3"/>
  </cols>
  <sheetData>
    <row r="1" spans="1:13" s="2" customFormat="1" ht="29.1" customHeight="1" x14ac:dyDescent="0.2">
      <c r="A1" s="51" t="s">
        <v>1359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12</v>
      </c>
      <c r="H3" s="61"/>
      <c r="I3" s="61"/>
      <c r="J3" s="61"/>
      <c r="K3" s="61" t="s">
        <v>442</v>
      </c>
      <c r="L3" s="61" t="s">
        <v>3</v>
      </c>
      <c r="M3" s="62" t="s">
        <v>2</v>
      </c>
    </row>
    <row r="4" spans="1:13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60"/>
      <c r="L4" s="60"/>
      <c r="M4" s="63"/>
    </row>
    <row r="5" spans="1:13" ht="15" x14ac:dyDescent="0.2">
      <c r="A5" s="64" t="s">
        <v>13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x14ac:dyDescent="0.2">
      <c r="A6" s="7" t="s">
        <v>444</v>
      </c>
      <c r="B6" s="7" t="s">
        <v>445</v>
      </c>
      <c r="C6" s="7" t="s">
        <v>446</v>
      </c>
      <c r="D6" s="7" t="str">
        <f>"1,1340"</f>
        <v>1,1340</v>
      </c>
      <c r="E6" s="7" t="s">
        <v>34</v>
      </c>
      <c r="F6" s="7" t="s">
        <v>35</v>
      </c>
      <c r="G6" s="8" t="s">
        <v>25</v>
      </c>
      <c r="H6" s="9" t="s">
        <v>26</v>
      </c>
      <c r="I6" s="9" t="s">
        <v>26</v>
      </c>
      <c r="J6" s="9"/>
      <c r="K6" s="7" t="str">
        <f>"130,0"</f>
        <v>130,0</v>
      </c>
      <c r="L6" s="8" t="str">
        <f>"147,4200"</f>
        <v>147,4200</v>
      </c>
      <c r="M6" s="7" t="s">
        <v>448</v>
      </c>
    </row>
    <row r="8" spans="1:13" ht="15" x14ac:dyDescent="0.2">
      <c r="A8" s="50" t="s">
        <v>342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3" x14ac:dyDescent="0.2">
      <c r="A9" s="7" t="s">
        <v>1123</v>
      </c>
      <c r="B9" s="7" t="s">
        <v>1124</v>
      </c>
      <c r="C9" s="7" t="s">
        <v>1125</v>
      </c>
      <c r="D9" s="7" t="str">
        <f>"1,0048"</f>
        <v>1,0048</v>
      </c>
      <c r="E9" s="7" t="s">
        <v>34</v>
      </c>
      <c r="F9" s="7" t="s">
        <v>126</v>
      </c>
      <c r="G9" s="8" t="s">
        <v>20</v>
      </c>
      <c r="H9" s="8" t="s">
        <v>22</v>
      </c>
      <c r="I9" s="9" t="s">
        <v>289</v>
      </c>
      <c r="J9" s="9"/>
      <c r="K9" s="7" t="str">
        <f>"125,0"</f>
        <v>125,0</v>
      </c>
      <c r="L9" s="8" t="str">
        <f>"146,3240"</f>
        <v>146,3240</v>
      </c>
      <c r="M9" s="7" t="s">
        <v>73</v>
      </c>
    </row>
    <row r="11" spans="1:13" ht="15" x14ac:dyDescent="0.2">
      <c r="A11" s="50" t="s">
        <v>29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3" x14ac:dyDescent="0.2">
      <c r="A12" s="7" t="s">
        <v>1127</v>
      </c>
      <c r="B12" s="7" t="s">
        <v>1128</v>
      </c>
      <c r="C12" s="7" t="s">
        <v>833</v>
      </c>
      <c r="D12" s="7" t="str">
        <f>"0,9040"</f>
        <v>0,9040</v>
      </c>
      <c r="E12" s="7" t="s">
        <v>34</v>
      </c>
      <c r="F12" s="7" t="s">
        <v>35</v>
      </c>
      <c r="G12" s="8" t="s">
        <v>23</v>
      </c>
      <c r="H12" s="8" t="s">
        <v>283</v>
      </c>
      <c r="I12" s="8" t="s">
        <v>447</v>
      </c>
      <c r="J12" s="9"/>
      <c r="K12" s="7" t="str">
        <f>"77,5"</f>
        <v>77,5</v>
      </c>
      <c r="L12" s="8" t="str">
        <f>"73,9133"</f>
        <v>73,9133</v>
      </c>
      <c r="M12" s="7" t="s">
        <v>1129</v>
      </c>
    </row>
    <row r="14" spans="1:13" ht="15" x14ac:dyDescent="0.2">
      <c r="A14" s="50" t="s">
        <v>29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3" x14ac:dyDescent="0.2">
      <c r="A15" s="10" t="s">
        <v>31</v>
      </c>
      <c r="B15" s="10" t="s">
        <v>32</v>
      </c>
      <c r="C15" s="38" t="s">
        <v>33</v>
      </c>
      <c r="D15" s="10" t="str">
        <f>"0,6785"</f>
        <v>0,6785</v>
      </c>
      <c r="E15" s="38" t="s">
        <v>34</v>
      </c>
      <c r="F15" s="10" t="s">
        <v>35</v>
      </c>
      <c r="G15" s="44" t="s">
        <v>41</v>
      </c>
      <c r="H15" s="12" t="s">
        <v>42</v>
      </c>
      <c r="I15" s="44" t="s">
        <v>43</v>
      </c>
      <c r="J15" s="12"/>
      <c r="K15" s="38" t="str">
        <f>"207,5"</f>
        <v>207,5</v>
      </c>
      <c r="L15" s="11" t="str">
        <f>"140,7887"</f>
        <v>140,7887</v>
      </c>
      <c r="M15" s="35" t="s">
        <v>44</v>
      </c>
    </row>
    <row r="16" spans="1:13" x14ac:dyDescent="0.2">
      <c r="A16" s="13" t="s">
        <v>1563</v>
      </c>
      <c r="B16" s="13" t="s">
        <v>1131</v>
      </c>
      <c r="C16" s="39" t="s">
        <v>1132</v>
      </c>
      <c r="D16" s="13" t="str">
        <f>"0,6790"</f>
        <v>0,6790</v>
      </c>
      <c r="E16" s="39" t="s">
        <v>34</v>
      </c>
      <c r="F16" s="13" t="s">
        <v>1133</v>
      </c>
      <c r="G16" s="49" t="s">
        <v>27</v>
      </c>
      <c r="H16" s="16" t="s">
        <v>37</v>
      </c>
      <c r="I16" s="45" t="s">
        <v>108</v>
      </c>
      <c r="J16" s="14"/>
      <c r="K16" s="39" t="str">
        <f>"175,0"</f>
        <v>175,0</v>
      </c>
      <c r="L16" s="16" t="str">
        <f>"118,8250"</f>
        <v>118,8250</v>
      </c>
      <c r="M16" s="37" t="s">
        <v>1134</v>
      </c>
    </row>
    <row r="18" spans="1:13" ht="15" x14ac:dyDescent="0.2">
      <c r="A18" s="50" t="s">
        <v>45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3" x14ac:dyDescent="0.2">
      <c r="A19" s="10" t="s">
        <v>1136</v>
      </c>
      <c r="B19" s="10" t="s">
        <v>1137</v>
      </c>
      <c r="C19" s="10" t="s">
        <v>1138</v>
      </c>
      <c r="D19" s="10" t="str">
        <f>"0,6507"</f>
        <v>0,6507</v>
      </c>
      <c r="E19" s="38" t="s">
        <v>34</v>
      </c>
      <c r="F19" s="10" t="s">
        <v>35</v>
      </c>
      <c r="G19" s="11" t="s">
        <v>57</v>
      </c>
      <c r="H19" s="44" t="s">
        <v>418</v>
      </c>
      <c r="I19" s="12"/>
      <c r="J19" s="48"/>
      <c r="K19" s="10" t="str">
        <f>"302,5"</f>
        <v>302,5</v>
      </c>
      <c r="L19" s="44" t="str">
        <f>"196,8367"</f>
        <v>196,8367</v>
      </c>
      <c r="M19" s="10" t="s">
        <v>140</v>
      </c>
    </row>
    <row r="20" spans="1:13" x14ac:dyDescent="0.2">
      <c r="A20" s="24" t="s">
        <v>1564</v>
      </c>
      <c r="B20" s="24" t="s">
        <v>48</v>
      </c>
      <c r="C20" s="24" t="s">
        <v>49</v>
      </c>
      <c r="D20" s="24" t="str">
        <f>"0,6384"</f>
        <v>0,6384</v>
      </c>
      <c r="E20" s="4" t="s">
        <v>34</v>
      </c>
      <c r="F20" s="24" t="s">
        <v>50</v>
      </c>
      <c r="G20" s="26" t="s">
        <v>55</v>
      </c>
      <c r="H20" s="3" t="s">
        <v>56</v>
      </c>
      <c r="I20" s="26" t="s">
        <v>57</v>
      </c>
      <c r="J20" s="34"/>
      <c r="K20" s="24" t="str">
        <f>"285,0"</f>
        <v>285,0</v>
      </c>
      <c r="L20" s="3" t="str">
        <f>"181,9440"</f>
        <v>181,9440</v>
      </c>
      <c r="M20" s="24" t="s">
        <v>58</v>
      </c>
    </row>
    <row r="21" spans="1:13" x14ac:dyDescent="0.2">
      <c r="A21" s="24" t="s">
        <v>1565</v>
      </c>
      <c r="B21" s="24" t="s">
        <v>1140</v>
      </c>
      <c r="C21" s="24" t="s">
        <v>49</v>
      </c>
      <c r="D21" s="24" t="str">
        <f>"0,6384"</f>
        <v>0,6384</v>
      </c>
      <c r="E21" s="4" t="s">
        <v>34</v>
      </c>
      <c r="F21" s="24" t="s">
        <v>35</v>
      </c>
      <c r="G21" s="26" t="s">
        <v>311</v>
      </c>
      <c r="H21" s="3" t="s">
        <v>52</v>
      </c>
      <c r="I21" s="25" t="s">
        <v>53</v>
      </c>
      <c r="J21" s="34"/>
      <c r="K21" s="24" t="str">
        <f>"280,0"</f>
        <v>280,0</v>
      </c>
      <c r="L21" s="3" t="str">
        <f>"178,7520"</f>
        <v>178,7520</v>
      </c>
      <c r="M21" s="24" t="s">
        <v>341</v>
      </c>
    </row>
    <row r="22" spans="1:13" x14ac:dyDescent="0.2">
      <c r="A22" s="24" t="s">
        <v>1566</v>
      </c>
      <c r="B22" s="24" t="s">
        <v>1142</v>
      </c>
      <c r="C22" s="24" t="s">
        <v>1143</v>
      </c>
      <c r="D22" s="24" t="str">
        <f>"0,6588"</f>
        <v>0,6588</v>
      </c>
      <c r="E22" s="4" t="s">
        <v>34</v>
      </c>
      <c r="F22" s="24" t="s">
        <v>35</v>
      </c>
      <c r="G22" s="26" t="s">
        <v>136</v>
      </c>
      <c r="H22" s="3" t="s">
        <v>41</v>
      </c>
      <c r="I22" s="26" t="s">
        <v>127</v>
      </c>
      <c r="J22" s="34"/>
      <c r="K22" s="24" t="str">
        <f>"200,0"</f>
        <v>200,0</v>
      </c>
      <c r="L22" s="3" t="str">
        <f>"131,7600"</f>
        <v>131,7600</v>
      </c>
      <c r="M22" s="24" t="s">
        <v>448</v>
      </c>
    </row>
    <row r="23" spans="1:13" x14ac:dyDescent="0.2">
      <c r="A23" s="24" t="s">
        <v>1145</v>
      </c>
      <c r="B23" s="24" t="s">
        <v>1146</v>
      </c>
      <c r="C23" s="24" t="s">
        <v>1147</v>
      </c>
      <c r="D23" s="24" t="str">
        <f>"0,6562"</f>
        <v>0,6562</v>
      </c>
      <c r="E23" s="4" t="s">
        <v>34</v>
      </c>
      <c r="F23" s="24" t="s">
        <v>35</v>
      </c>
      <c r="G23" s="25" t="s">
        <v>127</v>
      </c>
      <c r="H23" s="3" t="s">
        <v>127</v>
      </c>
      <c r="I23" s="25" t="s">
        <v>152</v>
      </c>
      <c r="J23" s="34"/>
      <c r="K23" s="24" t="str">
        <f>"200,0"</f>
        <v>200,0</v>
      </c>
      <c r="L23" s="3" t="str">
        <f>"143,9703"</f>
        <v>143,9703</v>
      </c>
      <c r="M23" s="24" t="s">
        <v>1148</v>
      </c>
    </row>
    <row r="24" spans="1:13" x14ac:dyDescent="0.2">
      <c r="A24" s="13" t="s">
        <v>1150</v>
      </c>
      <c r="B24" s="13" t="s">
        <v>1151</v>
      </c>
      <c r="C24" s="13" t="s">
        <v>882</v>
      </c>
      <c r="D24" s="13" t="str">
        <f>"0,6459"</f>
        <v>0,6459</v>
      </c>
      <c r="E24" s="39" t="s">
        <v>34</v>
      </c>
      <c r="F24" s="13" t="s">
        <v>1152</v>
      </c>
      <c r="G24" s="16" t="s">
        <v>152</v>
      </c>
      <c r="H24" s="45" t="s">
        <v>69</v>
      </c>
      <c r="I24" s="16" t="s">
        <v>70</v>
      </c>
      <c r="J24" s="45" t="s">
        <v>55</v>
      </c>
      <c r="K24" s="13" t="str">
        <f>"240,0"</f>
        <v>240,0</v>
      </c>
      <c r="L24" s="45" t="str">
        <f>"177,8034"</f>
        <v>177,8034</v>
      </c>
      <c r="M24" s="13" t="s">
        <v>190</v>
      </c>
    </row>
    <row r="26" spans="1:13" ht="15" x14ac:dyDescent="0.2">
      <c r="A26" s="50" t="s">
        <v>121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13" x14ac:dyDescent="0.2">
      <c r="A27" s="10" t="s">
        <v>133</v>
      </c>
      <c r="B27" s="10" t="s">
        <v>134</v>
      </c>
      <c r="C27" s="10" t="s">
        <v>135</v>
      </c>
      <c r="D27" s="10" t="str">
        <f>"0,6103"</f>
        <v>0,6103</v>
      </c>
      <c r="E27" s="10" t="s">
        <v>34</v>
      </c>
      <c r="F27" s="10" t="s">
        <v>35</v>
      </c>
      <c r="G27" s="11" t="s">
        <v>137</v>
      </c>
      <c r="H27" s="11" t="s">
        <v>138</v>
      </c>
      <c r="I27" s="12" t="s">
        <v>139</v>
      </c>
      <c r="J27" s="12"/>
      <c r="K27" s="10" t="str">
        <f>"330,0"</f>
        <v>330,0</v>
      </c>
      <c r="L27" s="11" t="str">
        <f>"201,3990"</f>
        <v>201,3990</v>
      </c>
      <c r="M27" s="10" t="s">
        <v>140</v>
      </c>
    </row>
    <row r="28" spans="1:13" x14ac:dyDescent="0.2">
      <c r="A28" s="24" t="s">
        <v>1154</v>
      </c>
      <c r="B28" s="24" t="s">
        <v>1155</v>
      </c>
      <c r="C28" s="24" t="s">
        <v>207</v>
      </c>
      <c r="D28" s="24" t="str">
        <f>"0,6086"</f>
        <v>0,6086</v>
      </c>
      <c r="E28" s="24" t="s">
        <v>18</v>
      </c>
      <c r="F28" s="24" t="s">
        <v>35</v>
      </c>
      <c r="G28" s="26" t="s">
        <v>55</v>
      </c>
      <c r="H28" s="25" t="s">
        <v>56</v>
      </c>
      <c r="I28" s="26" t="s">
        <v>56</v>
      </c>
      <c r="J28" s="25"/>
      <c r="K28" s="24" t="str">
        <f>"275,0"</f>
        <v>275,0</v>
      </c>
      <c r="L28" s="26" t="str">
        <f>"167,3650"</f>
        <v>167,3650</v>
      </c>
      <c r="M28" s="24" t="s">
        <v>1156</v>
      </c>
    </row>
    <row r="29" spans="1:13" x14ac:dyDescent="0.2">
      <c r="A29" s="24" t="s">
        <v>1158</v>
      </c>
      <c r="B29" s="24" t="s">
        <v>1159</v>
      </c>
      <c r="C29" s="24" t="s">
        <v>1160</v>
      </c>
      <c r="D29" s="24" t="str">
        <f>"0,6301"</f>
        <v>0,6301</v>
      </c>
      <c r="E29" s="24" t="s">
        <v>34</v>
      </c>
      <c r="F29" s="24" t="s">
        <v>35</v>
      </c>
      <c r="G29" s="26" t="s">
        <v>70</v>
      </c>
      <c r="H29" s="26" t="s">
        <v>51</v>
      </c>
      <c r="I29" s="25" t="s">
        <v>56</v>
      </c>
      <c r="J29" s="25"/>
      <c r="K29" s="24" t="str">
        <f>"260,0"</f>
        <v>260,0</v>
      </c>
      <c r="L29" s="26" t="str">
        <f>"163,8260"</f>
        <v>163,8260</v>
      </c>
      <c r="M29" s="24" t="s">
        <v>190</v>
      </c>
    </row>
    <row r="30" spans="1:13" x14ac:dyDescent="0.2">
      <c r="A30" s="13" t="s">
        <v>1162</v>
      </c>
      <c r="B30" s="13" t="s">
        <v>1163</v>
      </c>
      <c r="C30" s="13" t="s">
        <v>1164</v>
      </c>
      <c r="D30" s="13" t="str">
        <f>"0,6223"</f>
        <v>0,6223</v>
      </c>
      <c r="E30" s="13" t="s">
        <v>34</v>
      </c>
      <c r="F30" s="13" t="s">
        <v>1133</v>
      </c>
      <c r="G30" s="16" t="s">
        <v>37</v>
      </c>
      <c r="H30" s="16" t="s">
        <v>136</v>
      </c>
      <c r="I30" s="14" t="s">
        <v>41</v>
      </c>
      <c r="J30" s="14"/>
      <c r="K30" s="13" t="str">
        <f>"180,0"</f>
        <v>180,0</v>
      </c>
      <c r="L30" s="16" t="str">
        <f>"112,0140"</f>
        <v>112,0140</v>
      </c>
      <c r="M30" s="13" t="s">
        <v>1165</v>
      </c>
    </row>
    <row r="32" spans="1:13" ht="15" x14ac:dyDescent="0.2">
      <c r="E32" s="15" t="s">
        <v>74</v>
      </c>
    </row>
    <row r="33" spans="1:5" ht="15" x14ac:dyDescent="0.2">
      <c r="E33" s="15" t="s">
        <v>75</v>
      </c>
    </row>
    <row r="34" spans="1:5" ht="15" x14ac:dyDescent="0.2">
      <c r="E34" s="15" t="s">
        <v>76</v>
      </c>
    </row>
    <row r="35" spans="1:5" ht="15" x14ac:dyDescent="0.2">
      <c r="E35" s="15" t="s">
        <v>77</v>
      </c>
    </row>
    <row r="36" spans="1:5" ht="15" x14ac:dyDescent="0.2">
      <c r="E36" s="15" t="s">
        <v>77</v>
      </c>
    </row>
    <row r="37" spans="1:5" ht="15" x14ac:dyDescent="0.2">
      <c r="E37" s="15" t="s">
        <v>78</v>
      </c>
    </row>
    <row r="38" spans="1:5" ht="15" x14ac:dyDescent="0.2">
      <c r="E38" s="15"/>
    </row>
    <row r="40" spans="1:5" ht="18" x14ac:dyDescent="0.25">
      <c r="A40" s="17" t="s">
        <v>79</v>
      </c>
      <c r="B40" s="17"/>
    </row>
    <row r="41" spans="1:5" ht="15" x14ac:dyDescent="0.2">
      <c r="A41" s="18" t="s">
        <v>80</v>
      </c>
      <c r="B41" s="18"/>
    </row>
    <row r="42" spans="1:5" ht="14.25" x14ac:dyDescent="0.2">
      <c r="A42" s="20"/>
      <c r="B42" s="21" t="s">
        <v>92</v>
      </c>
    </row>
    <row r="43" spans="1:5" ht="15" x14ac:dyDescent="0.2">
      <c r="A43" s="22" t="s">
        <v>82</v>
      </c>
      <c r="B43" s="22" t="s">
        <v>83</v>
      </c>
      <c r="C43" s="22" t="s">
        <v>84</v>
      </c>
      <c r="D43" s="22" t="s">
        <v>85</v>
      </c>
      <c r="E43" s="22" t="s">
        <v>86</v>
      </c>
    </row>
    <row r="44" spans="1:5" x14ac:dyDescent="0.2">
      <c r="A44" s="19" t="s">
        <v>443</v>
      </c>
      <c r="B44" s="4" t="s">
        <v>92</v>
      </c>
      <c r="C44" s="4" t="s">
        <v>88</v>
      </c>
      <c r="D44" s="4" t="s">
        <v>25</v>
      </c>
      <c r="E44" s="23" t="s">
        <v>1166</v>
      </c>
    </row>
    <row r="46" spans="1:5" ht="14.25" x14ac:dyDescent="0.2">
      <c r="A46" s="20"/>
      <c r="B46" s="21" t="s">
        <v>81</v>
      </c>
    </row>
    <row r="47" spans="1:5" ht="15" x14ac:dyDescent="0.2">
      <c r="A47" s="22" t="s">
        <v>82</v>
      </c>
      <c r="B47" s="22" t="s">
        <v>83</v>
      </c>
      <c r="C47" s="22" t="s">
        <v>84</v>
      </c>
      <c r="D47" s="22" t="s">
        <v>85</v>
      </c>
      <c r="E47" s="22" t="s">
        <v>86</v>
      </c>
    </row>
    <row r="48" spans="1:5" x14ac:dyDescent="0.2">
      <c r="A48" s="19" t="s">
        <v>1122</v>
      </c>
      <c r="B48" s="4" t="s">
        <v>620</v>
      </c>
      <c r="C48" s="4" t="s">
        <v>414</v>
      </c>
      <c r="D48" s="4" t="s">
        <v>22</v>
      </c>
      <c r="E48" s="23" t="s">
        <v>1167</v>
      </c>
    </row>
    <row r="49" spans="1:5" x14ac:dyDescent="0.2">
      <c r="A49" s="19" t="s">
        <v>1126</v>
      </c>
      <c r="B49" s="4" t="s">
        <v>644</v>
      </c>
      <c r="C49" s="4" t="s">
        <v>99</v>
      </c>
      <c r="D49" s="4" t="s">
        <v>447</v>
      </c>
      <c r="E49" s="23" t="s">
        <v>1168</v>
      </c>
    </row>
    <row r="52" spans="1:5" ht="15" x14ac:dyDescent="0.2">
      <c r="A52" s="18" t="s">
        <v>91</v>
      </c>
      <c r="B52" s="18"/>
    </row>
    <row r="53" spans="1:5" ht="14.25" x14ac:dyDescent="0.2">
      <c r="A53" s="20"/>
      <c r="B53" s="21" t="s">
        <v>92</v>
      </c>
    </row>
    <row r="54" spans="1:5" ht="15" x14ac:dyDescent="0.2">
      <c r="A54" s="22" t="s">
        <v>82</v>
      </c>
      <c r="B54" s="22" t="s">
        <v>83</v>
      </c>
      <c r="C54" s="22" t="s">
        <v>84</v>
      </c>
      <c r="D54" s="22" t="s">
        <v>85</v>
      </c>
      <c r="E54" s="22" t="s">
        <v>86</v>
      </c>
    </row>
    <row r="55" spans="1:5" x14ac:dyDescent="0.2">
      <c r="A55" s="19" t="s">
        <v>132</v>
      </c>
      <c r="B55" s="4" t="s">
        <v>92</v>
      </c>
      <c r="C55" s="4" t="s">
        <v>170</v>
      </c>
      <c r="D55" s="4" t="s">
        <v>138</v>
      </c>
      <c r="E55" s="23" t="s">
        <v>1169</v>
      </c>
    </row>
    <row r="56" spans="1:5" x14ac:dyDescent="0.2">
      <c r="A56" s="19" t="s">
        <v>1135</v>
      </c>
      <c r="B56" s="4" t="s">
        <v>92</v>
      </c>
      <c r="C56" s="4" t="s">
        <v>93</v>
      </c>
      <c r="D56" s="4" t="s">
        <v>418</v>
      </c>
      <c r="E56" s="23" t="s">
        <v>1170</v>
      </c>
    </row>
    <row r="57" spans="1:5" x14ac:dyDescent="0.2">
      <c r="A57" s="19" t="s">
        <v>46</v>
      </c>
      <c r="B57" s="4" t="s">
        <v>92</v>
      </c>
      <c r="C57" s="4" t="s">
        <v>93</v>
      </c>
      <c r="D57" s="4" t="s">
        <v>57</v>
      </c>
      <c r="E57" s="23" t="s">
        <v>1571</v>
      </c>
    </row>
    <row r="58" spans="1:5" x14ac:dyDescent="0.2">
      <c r="A58" s="19" t="s">
        <v>1139</v>
      </c>
      <c r="B58" s="4" t="s">
        <v>92</v>
      </c>
      <c r="C58" s="4" t="s">
        <v>93</v>
      </c>
      <c r="D58" s="4" t="s">
        <v>52</v>
      </c>
      <c r="E58" s="23" t="s">
        <v>1171</v>
      </c>
    </row>
    <row r="59" spans="1:5" x14ac:dyDescent="0.2">
      <c r="A59" s="19" t="s">
        <v>1153</v>
      </c>
      <c r="B59" s="4" t="s">
        <v>92</v>
      </c>
      <c r="C59" s="4" t="s">
        <v>170</v>
      </c>
      <c r="D59" s="4" t="s">
        <v>56</v>
      </c>
      <c r="E59" s="23" t="s">
        <v>1172</v>
      </c>
    </row>
    <row r="60" spans="1:5" x14ac:dyDescent="0.2">
      <c r="A60" s="19" t="s">
        <v>1157</v>
      </c>
      <c r="B60" s="4" t="s">
        <v>92</v>
      </c>
      <c r="C60" s="4" t="s">
        <v>170</v>
      </c>
      <c r="D60" s="4" t="s">
        <v>51</v>
      </c>
      <c r="E60" s="23" t="s">
        <v>1173</v>
      </c>
    </row>
    <row r="61" spans="1:5" x14ac:dyDescent="0.2">
      <c r="A61" s="19" t="s">
        <v>1141</v>
      </c>
      <c r="B61" s="4" t="s">
        <v>92</v>
      </c>
      <c r="C61" s="4" t="s">
        <v>93</v>
      </c>
      <c r="D61" s="4" t="s">
        <v>127</v>
      </c>
      <c r="E61" s="23" t="s">
        <v>1174</v>
      </c>
    </row>
    <row r="62" spans="1:5" x14ac:dyDescent="0.2">
      <c r="A62" s="19" t="s">
        <v>1130</v>
      </c>
      <c r="B62" s="4" t="s">
        <v>92</v>
      </c>
      <c r="C62" s="4" t="s">
        <v>99</v>
      </c>
      <c r="D62" s="4" t="s">
        <v>108</v>
      </c>
      <c r="E62" s="23" t="s">
        <v>1175</v>
      </c>
    </row>
    <row r="63" spans="1:5" x14ac:dyDescent="0.2">
      <c r="A63" s="19" t="s">
        <v>1161</v>
      </c>
      <c r="B63" s="4" t="s">
        <v>92</v>
      </c>
      <c r="C63" s="4" t="s">
        <v>170</v>
      </c>
      <c r="D63" s="4" t="s">
        <v>136</v>
      </c>
      <c r="E63" s="23" t="s">
        <v>1176</v>
      </c>
    </row>
    <row r="65" spans="1:5" ht="14.25" x14ac:dyDescent="0.2">
      <c r="A65" s="20"/>
      <c r="B65" s="21" t="s">
        <v>81</v>
      </c>
    </row>
    <row r="66" spans="1:5" ht="15" x14ac:dyDescent="0.2">
      <c r="A66" s="22" t="s">
        <v>82</v>
      </c>
      <c r="B66" s="22" t="s">
        <v>83</v>
      </c>
      <c r="C66" s="22" t="s">
        <v>84</v>
      </c>
      <c r="D66" s="22" t="s">
        <v>85</v>
      </c>
      <c r="E66" s="22" t="s">
        <v>86</v>
      </c>
    </row>
    <row r="67" spans="1:5" x14ac:dyDescent="0.2">
      <c r="A67" s="19" t="s">
        <v>1149</v>
      </c>
      <c r="B67" s="4" t="s">
        <v>620</v>
      </c>
      <c r="C67" s="4" t="s">
        <v>93</v>
      </c>
      <c r="D67" s="4" t="s">
        <v>70</v>
      </c>
      <c r="E67" s="23" t="s">
        <v>1177</v>
      </c>
    </row>
    <row r="68" spans="1:5" x14ac:dyDescent="0.2">
      <c r="A68" s="19" t="s">
        <v>1144</v>
      </c>
      <c r="B68" s="4" t="s">
        <v>644</v>
      </c>
      <c r="C68" s="4" t="s">
        <v>93</v>
      </c>
      <c r="D68" s="4" t="s">
        <v>127</v>
      </c>
      <c r="E68" s="23" t="s">
        <v>1178</v>
      </c>
    </row>
  </sheetData>
  <mergeCells count="17">
    <mergeCell ref="A14:L14"/>
    <mergeCell ref="A18:L18"/>
    <mergeCell ref="A26:L26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28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5.5703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24.7109375" style="4" bestFit="1" customWidth="1"/>
    <col min="14" max="16384" width="9.140625" style="3"/>
  </cols>
  <sheetData>
    <row r="1" spans="1:13" s="2" customFormat="1" ht="29.1" customHeight="1" x14ac:dyDescent="0.2">
      <c r="A1" s="51" t="s">
        <v>1358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11</v>
      </c>
      <c r="H3" s="61"/>
      <c r="I3" s="61"/>
      <c r="J3" s="61"/>
      <c r="K3" s="61" t="s">
        <v>442</v>
      </c>
      <c r="L3" s="61" t="s">
        <v>3</v>
      </c>
      <c r="M3" s="62" t="s">
        <v>2</v>
      </c>
    </row>
    <row r="4" spans="1:13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60"/>
      <c r="L4" s="60"/>
      <c r="M4" s="63"/>
    </row>
    <row r="5" spans="1:13" ht="15" x14ac:dyDescent="0.2">
      <c r="A5" s="64" t="s">
        <v>45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x14ac:dyDescent="0.2">
      <c r="A6" s="10" t="s">
        <v>1112</v>
      </c>
      <c r="B6" s="10" t="s">
        <v>1113</v>
      </c>
      <c r="C6" s="10" t="s">
        <v>866</v>
      </c>
      <c r="D6" s="10" t="str">
        <f>"0,6451"</f>
        <v>0,6451</v>
      </c>
      <c r="E6" s="10" t="s">
        <v>34</v>
      </c>
      <c r="F6" s="10" t="s">
        <v>970</v>
      </c>
      <c r="G6" s="11" t="s">
        <v>71</v>
      </c>
      <c r="H6" s="11" t="s">
        <v>309</v>
      </c>
      <c r="I6" s="12" t="s">
        <v>964</v>
      </c>
      <c r="J6" s="12"/>
      <c r="K6" s="10" t="str">
        <f>"172,5"</f>
        <v>172,5</v>
      </c>
      <c r="L6" s="11" t="str">
        <f>"111,2797"</f>
        <v>111,2797</v>
      </c>
      <c r="M6" s="10" t="s">
        <v>1114</v>
      </c>
    </row>
    <row r="7" spans="1:13" x14ac:dyDescent="0.2">
      <c r="A7" s="13" t="s">
        <v>901</v>
      </c>
      <c r="B7" s="13" t="s">
        <v>902</v>
      </c>
      <c r="C7" s="13" t="s">
        <v>903</v>
      </c>
      <c r="D7" s="13" t="str">
        <f>"0,6402"</f>
        <v>0,6402</v>
      </c>
      <c r="E7" s="13" t="s">
        <v>106</v>
      </c>
      <c r="F7" s="13" t="s">
        <v>35</v>
      </c>
      <c r="G7" s="16" t="s">
        <v>54</v>
      </c>
      <c r="H7" s="14" t="s">
        <v>71</v>
      </c>
      <c r="I7" s="14" t="s">
        <v>71</v>
      </c>
      <c r="J7" s="14"/>
      <c r="K7" s="13" t="str">
        <f>"155,0"</f>
        <v>155,0</v>
      </c>
      <c r="L7" s="16" t="str">
        <f>"153,1134"</f>
        <v>153,1134</v>
      </c>
      <c r="M7" s="13" t="s">
        <v>904</v>
      </c>
    </row>
    <row r="9" spans="1:13" ht="15" x14ac:dyDescent="0.2">
      <c r="A9" s="50" t="s">
        <v>121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13" x14ac:dyDescent="0.2">
      <c r="A10" s="7" t="s">
        <v>1116</v>
      </c>
      <c r="B10" s="7" t="s">
        <v>1117</v>
      </c>
      <c r="C10" s="7" t="s">
        <v>547</v>
      </c>
      <c r="D10" s="7" t="str">
        <f>"0,6096"</f>
        <v>0,6096</v>
      </c>
      <c r="E10" s="7" t="s">
        <v>34</v>
      </c>
      <c r="F10" s="7" t="s">
        <v>35</v>
      </c>
      <c r="G10" s="8" t="s">
        <v>158</v>
      </c>
      <c r="H10" s="8" t="s">
        <v>57</v>
      </c>
      <c r="I10" s="9" t="s">
        <v>197</v>
      </c>
      <c r="J10" s="9"/>
      <c r="K10" s="7" t="str">
        <f>"285,0"</f>
        <v>285,0</v>
      </c>
      <c r="L10" s="8" t="str">
        <f>"173,7360"</f>
        <v>173,7360</v>
      </c>
      <c r="M10" s="7" t="s">
        <v>246</v>
      </c>
    </row>
    <row r="12" spans="1:13" ht="15" x14ac:dyDescent="0.2">
      <c r="A12" s="50" t="s">
        <v>64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3" x14ac:dyDescent="0.2">
      <c r="A13" s="7" t="s">
        <v>961</v>
      </c>
      <c r="B13" s="7" t="s">
        <v>962</v>
      </c>
      <c r="C13" s="7" t="s">
        <v>963</v>
      </c>
      <c r="D13" s="7" t="str">
        <f>"0,5914"</f>
        <v>0,5914</v>
      </c>
      <c r="E13" s="7" t="s">
        <v>34</v>
      </c>
      <c r="F13" s="7" t="s">
        <v>35</v>
      </c>
      <c r="G13" s="9" t="s">
        <v>127</v>
      </c>
      <c r="H13" s="8" t="s">
        <v>127</v>
      </c>
      <c r="I13" s="9" t="s">
        <v>129</v>
      </c>
      <c r="J13" s="9"/>
      <c r="K13" s="7" t="str">
        <f>"200,0"</f>
        <v>200,0</v>
      </c>
      <c r="L13" s="8" t="str">
        <f>"118,2800"</f>
        <v>118,2800</v>
      </c>
      <c r="M13" s="7" t="s">
        <v>965</v>
      </c>
    </row>
    <row r="15" spans="1:13" ht="15" x14ac:dyDescent="0.2">
      <c r="E15" s="15" t="s">
        <v>74</v>
      </c>
    </row>
    <row r="16" spans="1:13" ht="15" x14ac:dyDescent="0.2">
      <c r="E16" s="15" t="s">
        <v>75</v>
      </c>
    </row>
    <row r="17" spans="1:5" ht="15" x14ac:dyDescent="0.2">
      <c r="E17" s="15" t="s">
        <v>76</v>
      </c>
    </row>
    <row r="18" spans="1:5" ht="15" x14ac:dyDescent="0.2">
      <c r="E18" s="15" t="s">
        <v>77</v>
      </c>
    </row>
    <row r="19" spans="1:5" ht="15" x14ac:dyDescent="0.2">
      <c r="E19" s="15" t="s">
        <v>77</v>
      </c>
    </row>
    <row r="20" spans="1:5" ht="15" x14ac:dyDescent="0.2">
      <c r="E20" s="15" t="s">
        <v>78</v>
      </c>
    </row>
    <row r="21" spans="1:5" ht="15" x14ac:dyDescent="0.2">
      <c r="E21" s="15"/>
    </row>
    <row r="23" spans="1:5" ht="18" x14ac:dyDescent="0.25">
      <c r="A23" s="17" t="s">
        <v>79</v>
      </c>
      <c r="B23" s="17"/>
    </row>
    <row r="24" spans="1:5" ht="15" x14ac:dyDescent="0.2">
      <c r="A24" s="18" t="s">
        <v>91</v>
      </c>
      <c r="B24" s="18"/>
    </row>
    <row r="25" spans="1:5" ht="14.25" x14ac:dyDescent="0.2">
      <c r="A25" s="20"/>
      <c r="B25" s="21" t="s">
        <v>92</v>
      </c>
    </row>
    <row r="26" spans="1:5" ht="15" x14ac:dyDescent="0.2">
      <c r="A26" s="22" t="s">
        <v>82</v>
      </c>
      <c r="B26" s="22" t="s">
        <v>83</v>
      </c>
      <c r="C26" s="22" t="s">
        <v>84</v>
      </c>
      <c r="D26" s="22" t="s">
        <v>85</v>
      </c>
      <c r="E26" s="22" t="s">
        <v>86</v>
      </c>
    </row>
    <row r="27" spans="1:5" x14ac:dyDescent="0.2">
      <c r="A27" s="19" t="s">
        <v>1115</v>
      </c>
      <c r="B27" s="4" t="s">
        <v>92</v>
      </c>
      <c r="C27" s="4" t="s">
        <v>170</v>
      </c>
      <c r="D27" s="4" t="s">
        <v>57</v>
      </c>
      <c r="E27" s="23" t="s">
        <v>1118</v>
      </c>
    </row>
    <row r="28" spans="1:5" x14ac:dyDescent="0.2">
      <c r="A28" s="19" t="s">
        <v>960</v>
      </c>
      <c r="B28" s="4" t="s">
        <v>92</v>
      </c>
      <c r="C28" s="4" t="s">
        <v>96</v>
      </c>
      <c r="D28" s="4" t="s">
        <v>127</v>
      </c>
      <c r="E28" s="23" t="s">
        <v>1119</v>
      </c>
    </row>
    <row r="29" spans="1:5" x14ac:dyDescent="0.2">
      <c r="A29" s="19" t="s">
        <v>1111</v>
      </c>
      <c r="B29" s="4" t="s">
        <v>92</v>
      </c>
      <c r="C29" s="4" t="s">
        <v>93</v>
      </c>
      <c r="D29" s="4" t="s">
        <v>309</v>
      </c>
      <c r="E29" s="23" t="s">
        <v>1120</v>
      </c>
    </row>
    <row r="31" spans="1:5" ht="14.25" x14ac:dyDescent="0.2">
      <c r="A31" s="20"/>
      <c r="B31" s="21" t="s">
        <v>81</v>
      </c>
    </row>
    <row r="32" spans="1:5" ht="15" x14ac:dyDescent="0.2">
      <c r="A32" s="22" t="s">
        <v>82</v>
      </c>
      <c r="B32" s="22" t="s">
        <v>83</v>
      </c>
      <c r="C32" s="22" t="s">
        <v>84</v>
      </c>
      <c r="D32" s="22" t="s">
        <v>85</v>
      </c>
      <c r="E32" s="22" t="s">
        <v>86</v>
      </c>
    </row>
    <row r="33" spans="1:5" x14ac:dyDescent="0.2">
      <c r="A33" s="19" t="s">
        <v>900</v>
      </c>
      <c r="B33" s="4" t="s">
        <v>1087</v>
      </c>
      <c r="C33" s="4" t="s">
        <v>93</v>
      </c>
      <c r="D33" s="4" t="s">
        <v>54</v>
      </c>
      <c r="E33" s="23" t="s">
        <v>1121</v>
      </c>
    </row>
  </sheetData>
  <mergeCells count="14"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425781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31.42578125" style="4" bestFit="1" customWidth="1"/>
    <col min="14" max="16384" width="9.140625" style="3"/>
  </cols>
  <sheetData>
    <row r="1" spans="1:13" s="2" customFormat="1" ht="29.1" customHeight="1" x14ac:dyDescent="0.2">
      <c r="A1" s="51" t="s">
        <v>1357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11</v>
      </c>
      <c r="H3" s="61"/>
      <c r="I3" s="61"/>
      <c r="J3" s="61"/>
      <c r="K3" s="61" t="s">
        <v>442</v>
      </c>
      <c r="L3" s="61" t="s">
        <v>3</v>
      </c>
      <c r="M3" s="62" t="s">
        <v>2</v>
      </c>
    </row>
    <row r="4" spans="1:13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60"/>
      <c r="L4" s="60"/>
      <c r="M4" s="63"/>
    </row>
    <row r="5" spans="1:13" ht="15" x14ac:dyDescent="0.2">
      <c r="A5" s="64" t="s">
        <v>699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x14ac:dyDescent="0.2">
      <c r="A6" s="10" t="s">
        <v>701</v>
      </c>
      <c r="B6" s="10" t="s">
        <v>702</v>
      </c>
      <c r="C6" s="10" t="s">
        <v>703</v>
      </c>
      <c r="D6" s="10" t="str">
        <f>"1,3470"</f>
        <v>1,3470</v>
      </c>
      <c r="E6" s="10" t="s">
        <v>34</v>
      </c>
      <c r="F6" s="10" t="s">
        <v>106</v>
      </c>
      <c r="G6" s="11" t="s">
        <v>283</v>
      </c>
      <c r="H6" s="11" t="s">
        <v>245</v>
      </c>
      <c r="I6" s="12" t="s">
        <v>24</v>
      </c>
      <c r="J6" s="12"/>
      <c r="K6" s="10" t="str">
        <f>"72,5"</f>
        <v>72,5</v>
      </c>
      <c r="L6" s="11" t="str">
        <f>"97,6575"</f>
        <v>97,6575</v>
      </c>
      <c r="M6" s="10" t="s">
        <v>704</v>
      </c>
    </row>
    <row r="7" spans="1:13" x14ac:dyDescent="0.2">
      <c r="A7" s="24" t="s">
        <v>706</v>
      </c>
      <c r="B7" s="24" t="s">
        <v>707</v>
      </c>
      <c r="C7" s="24" t="s">
        <v>464</v>
      </c>
      <c r="D7" s="24" t="str">
        <f>"1,3449"</f>
        <v>1,3449</v>
      </c>
      <c r="E7" s="24" t="s">
        <v>34</v>
      </c>
      <c r="F7" s="24" t="s">
        <v>35</v>
      </c>
      <c r="G7" s="25" t="s">
        <v>256</v>
      </c>
      <c r="H7" s="26" t="s">
        <v>256</v>
      </c>
      <c r="I7" s="25" t="s">
        <v>275</v>
      </c>
      <c r="J7" s="25"/>
      <c r="K7" s="24" t="str">
        <f>"47,5"</f>
        <v>47,5</v>
      </c>
      <c r="L7" s="26" t="str">
        <f>"63,8828"</f>
        <v>63,8828</v>
      </c>
      <c r="M7" s="24" t="s">
        <v>708</v>
      </c>
    </row>
    <row r="8" spans="1:13" x14ac:dyDescent="0.2">
      <c r="A8" s="24" t="s">
        <v>710</v>
      </c>
      <c r="B8" s="24" t="s">
        <v>711</v>
      </c>
      <c r="C8" s="24" t="s">
        <v>703</v>
      </c>
      <c r="D8" s="24" t="str">
        <f>"1,3470"</f>
        <v>1,3470</v>
      </c>
      <c r="E8" s="24" t="s">
        <v>106</v>
      </c>
      <c r="F8" s="24" t="s">
        <v>35</v>
      </c>
      <c r="G8" s="26" t="s">
        <v>255</v>
      </c>
      <c r="H8" s="25" t="s">
        <v>339</v>
      </c>
      <c r="I8" s="25" t="s">
        <v>339</v>
      </c>
      <c r="J8" s="25"/>
      <c r="K8" s="24" t="str">
        <f>"42,5"</f>
        <v>42,5</v>
      </c>
      <c r="L8" s="26" t="str">
        <f>"57,2475"</f>
        <v>57,2475</v>
      </c>
      <c r="M8" s="24" t="s">
        <v>190</v>
      </c>
    </row>
    <row r="9" spans="1:13" x14ac:dyDescent="0.2">
      <c r="A9" s="13" t="s">
        <v>713</v>
      </c>
      <c r="B9" s="13" t="s">
        <v>714</v>
      </c>
      <c r="C9" s="13" t="s">
        <v>715</v>
      </c>
      <c r="D9" s="13" t="str">
        <f>"1,3367"</f>
        <v>1,3367</v>
      </c>
      <c r="E9" s="13" t="s">
        <v>34</v>
      </c>
      <c r="F9" s="13" t="s">
        <v>35</v>
      </c>
      <c r="G9" s="14" t="s">
        <v>454</v>
      </c>
      <c r="H9" s="14" t="s">
        <v>339</v>
      </c>
      <c r="I9" s="16" t="s">
        <v>339</v>
      </c>
      <c r="J9" s="14"/>
      <c r="K9" s="13" t="str">
        <f>"45,0"</f>
        <v>45,0</v>
      </c>
      <c r="L9" s="16" t="str">
        <f>"60,7530"</f>
        <v>60,7530</v>
      </c>
      <c r="M9" s="13" t="s">
        <v>716</v>
      </c>
    </row>
    <row r="11" spans="1:13" ht="15" x14ac:dyDescent="0.2">
      <c r="A11" s="50" t="s">
        <v>717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3" x14ac:dyDescent="0.2">
      <c r="A12" s="7" t="s">
        <v>719</v>
      </c>
      <c r="B12" s="7" t="s">
        <v>720</v>
      </c>
      <c r="C12" s="7" t="s">
        <v>721</v>
      </c>
      <c r="D12" s="7" t="str">
        <f>"1,2616"</f>
        <v>1,2616</v>
      </c>
      <c r="E12" s="7" t="s">
        <v>34</v>
      </c>
      <c r="F12" s="7" t="s">
        <v>35</v>
      </c>
      <c r="G12" s="8" t="s">
        <v>256</v>
      </c>
      <c r="H12" s="8" t="s">
        <v>275</v>
      </c>
      <c r="I12" s="9" t="s">
        <v>333</v>
      </c>
      <c r="J12" s="9"/>
      <c r="K12" s="7" t="str">
        <f>"50,0"</f>
        <v>50,0</v>
      </c>
      <c r="L12" s="8" t="str">
        <f>"63,0800"</f>
        <v>63,0800</v>
      </c>
      <c r="M12" s="7" t="s">
        <v>722</v>
      </c>
    </row>
    <row r="14" spans="1:13" ht="15" x14ac:dyDescent="0.2">
      <c r="A14" s="50" t="s">
        <v>237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3" x14ac:dyDescent="0.2">
      <c r="A15" s="10" t="s">
        <v>724</v>
      </c>
      <c r="B15" s="10" t="s">
        <v>725</v>
      </c>
      <c r="C15" s="10" t="s">
        <v>726</v>
      </c>
      <c r="D15" s="10" t="str">
        <f>"1,1933"</f>
        <v>1,1933</v>
      </c>
      <c r="E15" s="10" t="s">
        <v>34</v>
      </c>
      <c r="F15" s="10" t="s">
        <v>35</v>
      </c>
      <c r="G15" s="11" t="s">
        <v>727</v>
      </c>
      <c r="H15" s="12" t="s">
        <v>728</v>
      </c>
      <c r="I15" s="12" t="s">
        <v>728</v>
      </c>
      <c r="J15" s="12"/>
      <c r="K15" s="10" t="str">
        <f>"30,0"</f>
        <v>30,0</v>
      </c>
      <c r="L15" s="11" t="str">
        <f>"35,7990"</f>
        <v>35,7990</v>
      </c>
      <c r="M15" s="10" t="s">
        <v>140</v>
      </c>
    </row>
    <row r="16" spans="1:13" x14ac:dyDescent="0.2">
      <c r="A16" s="13" t="s">
        <v>729</v>
      </c>
      <c r="B16" s="13" t="s">
        <v>730</v>
      </c>
      <c r="C16" s="13" t="s">
        <v>731</v>
      </c>
      <c r="D16" s="13" t="str">
        <f>"1,2106"</f>
        <v>1,2106</v>
      </c>
      <c r="E16" s="13" t="s">
        <v>34</v>
      </c>
      <c r="F16" s="13" t="s">
        <v>35</v>
      </c>
      <c r="G16" s="14" t="s">
        <v>466</v>
      </c>
      <c r="H16" s="14" t="s">
        <v>732</v>
      </c>
      <c r="I16" s="14" t="s">
        <v>732</v>
      </c>
      <c r="J16" s="14"/>
      <c r="K16" s="13" t="str">
        <f>"0.00"</f>
        <v>0.00</v>
      </c>
      <c r="L16" s="16" t="str">
        <f>"0,0000"</f>
        <v>0,0000</v>
      </c>
      <c r="M16" s="13" t="s">
        <v>733</v>
      </c>
    </row>
    <row r="18" spans="1:13" ht="15" x14ac:dyDescent="0.2">
      <c r="A18" s="50" t="s">
        <v>13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3" x14ac:dyDescent="0.2">
      <c r="A19" s="10" t="s">
        <v>735</v>
      </c>
      <c r="B19" s="10" t="s">
        <v>736</v>
      </c>
      <c r="C19" s="10" t="s">
        <v>737</v>
      </c>
      <c r="D19" s="10" t="str">
        <f>"1,1192"</f>
        <v>1,1192</v>
      </c>
      <c r="E19" s="10" t="s">
        <v>34</v>
      </c>
      <c r="F19" s="10" t="s">
        <v>35</v>
      </c>
      <c r="G19" s="11" t="s">
        <v>24</v>
      </c>
      <c r="H19" s="12" t="s">
        <v>264</v>
      </c>
      <c r="I19" s="12" t="s">
        <v>264</v>
      </c>
      <c r="J19" s="12"/>
      <c r="K19" s="10" t="str">
        <f>"75,0"</f>
        <v>75,0</v>
      </c>
      <c r="L19" s="11" t="str">
        <f>"83,9400"</f>
        <v>83,9400</v>
      </c>
      <c r="M19" s="10" t="s">
        <v>738</v>
      </c>
    </row>
    <row r="20" spans="1:13" x14ac:dyDescent="0.2">
      <c r="A20" s="24" t="s">
        <v>740</v>
      </c>
      <c r="B20" s="24" t="s">
        <v>741</v>
      </c>
      <c r="C20" s="24" t="s">
        <v>742</v>
      </c>
      <c r="D20" s="24" t="str">
        <f>"1,1310"</f>
        <v>1,1310</v>
      </c>
      <c r="E20" s="24" t="s">
        <v>106</v>
      </c>
      <c r="F20" s="24" t="s">
        <v>35</v>
      </c>
      <c r="G20" s="26" t="s">
        <v>267</v>
      </c>
      <c r="H20" s="26" t="s">
        <v>23</v>
      </c>
      <c r="I20" s="25" t="s">
        <v>244</v>
      </c>
      <c r="J20" s="25"/>
      <c r="K20" s="24" t="str">
        <f>"65,0"</f>
        <v>65,0</v>
      </c>
      <c r="L20" s="26" t="str">
        <f>"73,5150"</f>
        <v>73,5150</v>
      </c>
      <c r="M20" s="24" t="s">
        <v>743</v>
      </c>
    </row>
    <row r="21" spans="1:13" x14ac:dyDescent="0.2">
      <c r="A21" s="24" t="s">
        <v>745</v>
      </c>
      <c r="B21" s="24" t="s">
        <v>746</v>
      </c>
      <c r="C21" s="24" t="s">
        <v>747</v>
      </c>
      <c r="D21" s="24" t="str">
        <f>"1,1163"</f>
        <v>1,1163</v>
      </c>
      <c r="E21" s="24" t="s">
        <v>34</v>
      </c>
      <c r="F21" s="24" t="s">
        <v>35</v>
      </c>
      <c r="G21" s="26" t="s">
        <v>266</v>
      </c>
      <c r="H21" s="26" t="s">
        <v>333</v>
      </c>
      <c r="I21" s="26" t="s">
        <v>267</v>
      </c>
      <c r="J21" s="25"/>
      <c r="K21" s="24" t="str">
        <f>"60,0"</f>
        <v>60,0</v>
      </c>
      <c r="L21" s="26" t="str">
        <f>"66,9780"</f>
        <v>66,9780</v>
      </c>
      <c r="M21" s="24" t="s">
        <v>748</v>
      </c>
    </row>
    <row r="22" spans="1:13" x14ac:dyDescent="0.2">
      <c r="A22" s="13" t="s">
        <v>750</v>
      </c>
      <c r="B22" s="13" t="s">
        <v>751</v>
      </c>
      <c r="C22" s="13" t="s">
        <v>752</v>
      </c>
      <c r="D22" s="13" t="str">
        <f>"1,1371"</f>
        <v>1,1371</v>
      </c>
      <c r="E22" s="13" t="s">
        <v>34</v>
      </c>
      <c r="F22" s="13" t="s">
        <v>106</v>
      </c>
      <c r="G22" s="16" t="s">
        <v>333</v>
      </c>
      <c r="H22" s="16" t="s">
        <v>267</v>
      </c>
      <c r="I22" s="14" t="s">
        <v>23</v>
      </c>
      <c r="J22" s="14"/>
      <c r="K22" s="13" t="str">
        <f>"60,0"</f>
        <v>60,0</v>
      </c>
      <c r="L22" s="16" t="str">
        <f>"69,5905"</f>
        <v>69,5905</v>
      </c>
      <c r="M22" s="13" t="s">
        <v>753</v>
      </c>
    </row>
    <row r="24" spans="1:13" ht="15" x14ac:dyDescent="0.2">
      <c r="A24" s="50" t="s">
        <v>278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</row>
    <row r="25" spans="1:13" x14ac:dyDescent="0.2">
      <c r="A25" s="10" t="s">
        <v>755</v>
      </c>
      <c r="B25" s="10" t="s">
        <v>756</v>
      </c>
      <c r="C25" s="10" t="s">
        <v>757</v>
      </c>
      <c r="D25" s="10" t="str">
        <f>"1,0491"</f>
        <v>1,0491</v>
      </c>
      <c r="E25" s="10" t="s">
        <v>34</v>
      </c>
      <c r="F25" s="10" t="s">
        <v>35</v>
      </c>
      <c r="G25" s="11" t="s">
        <v>265</v>
      </c>
      <c r="H25" s="11" t="s">
        <v>254</v>
      </c>
      <c r="I25" s="12" t="s">
        <v>347</v>
      </c>
      <c r="J25" s="12"/>
      <c r="K25" s="10" t="str">
        <f>"100,0"</f>
        <v>100,0</v>
      </c>
      <c r="L25" s="11" t="str">
        <f>"104,9100"</f>
        <v>104,9100</v>
      </c>
      <c r="M25" s="10" t="s">
        <v>758</v>
      </c>
    </row>
    <row r="26" spans="1:13" x14ac:dyDescent="0.2">
      <c r="A26" s="13" t="s">
        <v>755</v>
      </c>
      <c r="B26" s="13" t="s">
        <v>759</v>
      </c>
      <c r="C26" s="13" t="s">
        <v>757</v>
      </c>
      <c r="D26" s="13" t="str">
        <f>"1,0491"</f>
        <v>1,0491</v>
      </c>
      <c r="E26" s="13" t="s">
        <v>34</v>
      </c>
      <c r="F26" s="13" t="s">
        <v>35</v>
      </c>
      <c r="G26" s="16" t="s">
        <v>265</v>
      </c>
      <c r="H26" s="16" t="s">
        <v>254</v>
      </c>
      <c r="I26" s="14" t="s">
        <v>347</v>
      </c>
      <c r="J26" s="14"/>
      <c r="K26" s="13" t="str">
        <f>"100,0"</f>
        <v>100,0</v>
      </c>
      <c r="L26" s="16" t="str">
        <f>"104,9100"</f>
        <v>104,9100</v>
      </c>
      <c r="M26" s="13" t="s">
        <v>758</v>
      </c>
    </row>
    <row r="28" spans="1:13" ht="15" x14ac:dyDescent="0.2">
      <c r="A28" s="50" t="s">
        <v>342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3" x14ac:dyDescent="0.2">
      <c r="A29" s="7" t="s">
        <v>761</v>
      </c>
      <c r="B29" s="7" t="s">
        <v>762</v>
      </c>
      <c r="C29" s="7" t="s">
        <v>763</v>
      </c>
      <c r="D29" s="7" t="str">
        <f>"0,9689"</f>
        <v>0,9689</v>
      </c>
      <c r="E29" s="7" t="s">
        <v>34</v>
      </c>
      <c r="F29" s="7" t="s">
        <v>764</v>
      </c>
      <c r="G29" s="8" t="s">
        <v>266</v>
      </c>
      <c r="H29" s="9" t="s">
        <v>333</v>
      </c>
      <c r="I29" s="9" t="s">
        <v>333</v>
      </c>
      <c r="J29" s="9"/>
      <c r="K29" s="7" t="str">
        <f>"55,0"</f>
        <v>55,0</v>
      </c>
      <c r="L29" s="8" t="str">
        <f>"53,2895"</f>
        <v>53,2895</v>
      </c>
      <c r="M29" s="7" t="s">
        <v>73</v>
      </c>
    </row>
    <row r="31" spans="1:13" ht="15" x14ac:dyDescent="0.2">
      <c r="A31" s="50" t="s">
        <v>45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3" x14ac:dyDescent="0.2">
      <c r="A32" s="7" t="s">
        <v>766</v>
      </c>
      <c r="B32" s="7" t="s">
        <v>767</v>
      </c>
      <c r="C32" s="7" t="s">
        <v>202</v>
      </c>
      <c r="D32" s="7" t="str">
        <f>"0,8698"</f>
        <v>0,8698</v>
      </c>
      <c r="E32" s="7" t="s">
        <v>34</v>
      </c>
      <c r="F32" s="7" t="s">
        <v>35</v>
      </c>
      <c r="G32" s="8" t="s">
        <v>275</v>
      </c>
      <c r="H32" s="8" t="s">
        <v>267</v>
      </c>
      <c r="I32" s="9" t="s">
        <v>283</v>
      </c>
      <c r="J32" s="9"/>
      <c r="K32" s="7" t="str">
        <f>"60,0"</f>
        <v>60,0</v>
      </c>
      <c r="L32" s="8" t="str">
        <f>"52,1880"</f>
        <v>52,1880</v>
      </c>
      <c r="M32" s="7" t="s">
        <v>768</v>
      </c>
    </row>
    <row r="34" spans="1:13" ht="15" x14ac:dyDescent="0.2">
      <c r="A34" s="50" t="s">
        <v>13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</row>
    <row r="35" spans="1:13" x14ac:dyDescent="0.2">
      <c r="A35" s="7" t="s">
        <v>770</v>
      </c>
      <c r="B35" s="7" t="s">
        <v>771</v>
      </c>
      <c r="C35" s="7" t="s">
        <v>742</v>
      </c>
      <c r="D35" s="7" t="str">
        <f>"0,8675"</f>
        <v>0,8675</v>
      </c>
      <c r="E35" s="7" t="s">
        <v>34</v>
      </c>
      <c r="F35" s="7" t="s">
        <v>35</v>
      </c>
      <c r="G35" s="8" t="s">
        <v>25</v>
      </c>
      <c r="H35" s="8" t="s">
        <v>772</v>
      </c>
      <c r="I35" s="8" t="s">
        <v>128</v>
      </c>
      <c r="J35" s="9" t="s">
        <v>773</v>
      </c>
      <c r="K35" s="7" t="str">
        <f>"135,0"</f>
        <v>135,0</v>
      </c>
      <c r="L35" s="8" t="str">
        <f>"117,1125"</f>
        <v>117,1125</v>
      </c>
      <c r="M35" s="7" t="s">
        <v>190</v>
      </c>
    </row>
    <row r="37" spans="1:13" ht="15" x14ac:dyDescent="0.2">
      <c r="A37" s="50" t="s">
        <v>278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1:13" x14ac:dyDescent="0.2">
      <c r="A38" s="10" t="s">
        <v>775</v>
      </c>
      <c r="B38" s="10" t="s">
        <v>776</v>
      </c>
      <c r="C38" s="10" t="s">
        <v>777</v>
      </c>
      <c r="D38" s="10" t="str">
        <f>"0,7813"</f>
        <v>0,7813</v>
      </c>
      <c r="E38" s="10" t="s">
        <v>34</v>
      </c>
      <c r="F38" s="10" t="s">
        <v>778</v>
      </c>
      <c r="G38" s="11" t="s">
        <v>257</v>
      </c>
      <c r="H38" s="12" t="s">
        <v>254</v>
      </c>
      <c r="I38" s="12" t="s">
        <v>274</v>
      </c>
      <c r="J38" s="12"/>
      <c r="K38" s="10" t="str">
        <f>"90,0"</f>
        <v>90,0</v>
      </c>
      <c r="L38" s="11" t="str">
        <f>"70,3170"</f>
        <v>70,3170</v>
      </c>
      <c r="M38" s="10" t="s">
        <v>779</v>
      </c>
    </row>
    <row r="39" spans="1:13" x14ac:dyDescent="0.2">
      <c r="A39" s="24" t="s">
        <v>780</v>
      </c>
      <c r="B39" s="24" t="s">
        <v>781</v>
      </c>
      <c r="C39" s="24" t="s">
        <v>757</v>
      </c>
      <c r="D39" s="24" t="str">
        <f>"0,7952"</f>
        <v>0,7952</v>
      </c>
      <c r="E39" s="24" t="s">
        <v>106</v>
      </c>
      <c r="F39" s="24" t="s">
        <v>35</v>
      </c>
      <c r="G39" s="25" t="s">
        <v>254</v>
      </c>
      <c r="H39" s="25" t="s">
        <v>254</v>
      </c>
      <c r="I39" s="25" t="s">
        <v>254</v>
      </c>
      <c r="J39" s="25"/>
      <c r="K39" s="24" t="str">
        <f>"0.00"</f>
        <v>0.00</v>
      </c>
      <c r="L39" s="26" t="str">
        <f>"0,0000"</f>
        <v>0,0000</v>
      </c>
      <c r="M39" s="24" t="s">
        <v>782</v>
      </c>
    </row>
    <row r="40" spans="1:13" x14ac:dyDescent="0.2">
      <c r="A40" s="13" t="s">
        <v>783</v>
      </c>
      <c r="B40" s="13" t="s">
        <v>784</v>
      </c>
      <c r="C40" s="13" t="s">
        <v>785</v>
      </c>
      <c r="D40" s="13" t="str">
        <f>"0,7842"</f>
        <v>0,7842</v>
      </c>
      <c r="E40" s="13" t="s">
        <v>34</v>
      </c>
      <c r="F40" s="13" t="s">
        <v>786</v>
      </c>
      <c r="G40" s="14" t="s">
        <v>26</v>
      </c>
      <c r="H40" s="14" t="s">
        <v>26</v>
      </c>
      <c r="I40" s="14" t="s">
        <v>26</v>
      </c>
      <c r="J40" s="14"/>
      <c r="K40" s="13" t="str">
        <f>"0.00"</f>
        <v>0.00</v>
      </c>
      <c r="L40" s="16" t="str">
        <f>"0,0000"</f>
        <v>0,0000</v>
      </c>
      <c r="M40" s="13" t="s">
        <v>787</v>
      </c>
    </row>
    <row r="42" spans="1:13" ht="15" x14ac:dyDescent="0.2">
      <c r="A42" s="50" t="s">
        <v>342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3" x14ac:dyDescent="0.2">
      <c r="A43" s="10" t="s">
        <v>789</v>
      </c>
      <c r="B43" s="10" t="s">
        <v>790</v>
      </c>
      <c r="C43" s="10" t="s">
        <v>791</v>
      </c>
      <c r="D43" s="10" t="str">
        <f>"0,7307"</f>
        <v>0,7307</v>
      </c>
      <c r="E43" s="10" t="s">
        <v>34</v>
      </c>
      <c r="F43" s="10" t="s">
        <v>35</v>
      </c>
      <c r="G43" s="11" t="s">
        <v>22</v>
      </c>
      <c r="H43" s="11" t="s">
        <v>289</v>
      </c>
      <c r="I43" s="11" t="s">
        <v>792</v>
      </c>
      <c r="J43" s="12"/>
      <c r="K43" s="10" t="str">
        <f>"137,5"</f>
        <v>137,5</v>
      </c>
      <c r="L43" s="11" t="str">
        <f>"100,4713"</f>
        <v>100,4713</v>
      </c>
      <c r="M43" s="10" t="s">
        <v>793</v>
      </c>
    </row>
    <row r="44" spans="1:13" x14ac:dyDescent="0.2">
      <c r="A44" s="24" t="s">
        <v>795</v>
      </c>
      <c r="B44" s="24" t="s">
        <v>796</v>
      </c>
      <c r="C44" s="24" t="s">
        <v>797</v>
      </c>
      <c r="D44" s="24" t="str">
        <f>"0,7126"</f>
        <v>0,7126</v>
      </c>
      <c r="E44" s="24" t="s">
        <v>34</v>
      </c>
      <c r="F44" s="24" t="s">
        <v>35</v>
      </c>
      <c r="G44" s="26" t="s">
        <v>257</v>
      </c>
      <c r="H44" s="26" t="s">
        <v>254</v>
      </c>
      <c r="I44" s="25" t="s">
        <v>274</v>
      </c>
      <c r="J44" s="25"/>
      <c r="K44" s="24" t="str">
        <f>"100,0"</f>
        <v>100,0</v>
      </c>
      <c r="L44" s="26" t="str">
        <f>"71,2600"</f>
        <v>71,2600</v>
      </c>
      <c r="M44" s="24" t="s">
        <v>798</v>
      </c>
    </row>
    <row r="45" spans="1:13" x14ac:dyDescent="0.2">
      <c r="A45" s="24" t="s">
        <v>799</v>
      </c>
      <c r="B45" s="24" t="s">
        <v>364</v>
      </c>
      <c r="C45" s="24" t="s">
        <v>365</v>
      </c>
      <c r="D45" s="24" t="str">
        <f>"0,7510"</f>
        <v>0,7510</v>
      </c>
      <c r="E45" s="24" t="s">
        <v>34</v>
      </c>
      <c r="F45" s="24" t="s">
        <v>366</v>
      </c>
      <c r="G45" s="25" t="s">
        <v>367</v>
      </c>
      <c r="H45" s="26" t="s">
        <v>367</v>
      </c>
      <c r="I45" s="26" t="s">
        <v>265</v>
      </c>
      <c r="J45" s="25"/>
      <c r="K45" s="24" t="str">
        <f>"95,0"</f>
        <v>95,0</v>
      </c>
      <c r="L45" s="26" t="str">
        <f>"71,3450"</f>
        <v>71,3450</v>
      </c>
      <c r="M45" s="24" t="s">
        <v>73</v>
      </c>
    </row>
    <row r="46" spans="1:13" x14ac:dyDescent="0.2">
      <c r="A46" s="24" t="s">
        <v>800</v>
      </c>
      <c r="B46" s="24" t="s">
        <v>124</v>
      </c>
      <c r="C46" s="24" t="s">
        <v>797</v>
      </c>
      <c r="D46" s="24" t="str">
        <f>"0,7126"</f>
        <v>0,7126</v>
      </c>
      <c r="E46" s="24" t="s">
        <v>34</v>
      </c>
      <c r="F46" s="24" t="s">
        <v>801</v>
      </c>
      <c r="G46" s="25" t="s">
        <v>146</v>
      </c>
      <c r="H46" s="25" t="s">
        <v>146</v>
      </c>
      <c r="I46" s="25" t="s">
        <v>146</v>
      </c>
      <c r="J46" s="25"/>
      <c r="K46" s="24" t="str">
        <f>"0.00"</f>
        <v>0.00</v>
      </c>
      <c r="L46" s="26" t="str">
        <f>"0,0000"</f>
        <v>0,0000</v>
      </c>
      <c r="M46" s="24" t="s">
        <v>190</v>
      </c>
    </row>
    <row r="47" spans="1:13" x14ac:dyDescent="0.2">
      <c r="A47" s="24" t="s">
        <v>803</v>
      </c>
      <c r="B47" s="24" t="s">
        <v>804</v>
      </c>
      <c r="C47" s="24" t="s">
        <v>805</v>
      </c>
      <c r="D47" s="24" t="str">
        <f>"0,7322"</f>
        <v>0,7322</v>
      </c>
      <c r="E47" s="24" t="s">
        <v>34</v>
      </c>
      <c r="F47" s="24" t="s">
        <v>516</v>
      </c>
      <c r="G47" s="26" t="s">
        <v>26</v>
      </c>
      <c r="H47" s="26" t="s">
        <v>145</v>
      </c>
      <c r="I47" s="25" t="s">
        <v>27</v>
      </c>
      <c r="J47" s="25"/>
      <c r="K47" s="24" t="str">
        <f>"147,5"</f>
        <v>147,5</v>
      </c>
      <c r="L47" s="26" t="str">
        <f>"107,9995"</f>
        <v>107,9995</v>
      </c>
      <c r="M47" s="24" t="s">
        <v>806</v>
      </c>
    </row>
    <row r="48" spans="1:13" x14ac:dyDescent="0.2">
      <c r="A48" s="24" t="s">
        <v>808</v>
      </c>
      <c r="B48" s="24" t="s">
        <v>809</v>
      </c>
      <c r="C48" s="24" t="s">
        <v>810</v>
      </c>
      <c r="D48" s="24" t="str">
        <f>"0,7193"</f>
        <v>0,7193</v>
      </c>
      <c r="E48" s="24" t="s">
        <v>34</v>
      </c>
      <c r="F48" s="24" t="s">
        <v>35</v>
      </c>
      <c r="G48" s="26" t="s">
        <v>25</v>
      </c>
      <c r="H48" s="26" t="s">
        <v>792</v>
      </c>
      <c r="I48" s="26" t="s">
        <v>811</v>
      </c>
      <c r="J48" s="25"/>
      <c r="K48" s="24" t="str">
        <f>"142,5"</f>
        <v>142,5</v>
      </c>
      <c r="L48" s="26" t="str">
        <f>"102,5002"</f>
        <v>102,5002</v>
      </c>
      <c r="M48" s="24" t="s">
        <v>812</v>
      </c>
    </row>
    <row r="49" spans="1:13" x14ac:dyDescent="0.2">
      <c r="A49" s="24" t="s">
        <v>814</v>
      </c>
      <c r="B49" s="24" t="s">
        <v>815</v>
      </c>
      <c r="C49" s="24" t="s">
        <v>816</v>
      </c>
      <c r="D49" s="24" t="str">
        <f>"0,7179"</f>
        <v>0,7179</v>
      </c>
      <c r="E49" s="24" t="s">
        <v>34</v>
      </c>
      <c r="F49" s="24" t="s">
        <v>35</v>
      </c>
      <c r="G49" s="26" t="s">
        <v>22</v>
      </c>
      <c r="H49" s="26" t="s">
        <v>25</v>
      </c>
      <c r="I49" s="25" t="s">
        <v>289</v>
      </c>
      <c r="J49" s="25"/>
      <c r="K49" s="24" t="str">
        <f>"130,0"</f>
        <v>130,0</v>
      </c>
      <c r="L49" s="26" t="str">
        <f>"93,3270"</f>
        <v>93,3270</v>
      </c>
      <c r="M49" s="24" t="s">
        <v>817</v>
      </c>
    </row>
    <row r="50" spans="1:13" x14ac:dyDescent="0.2">
      <c r="A50" s="24" t="s">
        <v>819</v>
      </c>
      <c r="B50" s="24" t="s">
        <v>820</v>
      </c>
      <c r="C50" s="24" t="s">
        <v>821</v>
      </c>
      <c r="D50" s="24" t="str">
        <f>"0,7159"</f>
        <v>0,7159</v>
      </c>
      <c r="E50" s="24" t="s">
        <v>18</v>
      </c>
      <c r="F50" s="24" t="s">
        <v>106</v>
      </c>
      <c r="G50" s="26" t="s">
        <v>38</v>
      </c>
      <c r="H50" s="25" t="s">
        <v>39</v>
      </c>
      <c r="I50" s="25" t="s">
        <v>39</v>
      </c>
      <c r="J50" s="25"/>
      <c r="K50" s="24" t="str">
        <f>"105,0"</f>
        <v>105,0</v>
      </c>
      <c r="L50" s="26" t="str">
        <f>"75,1695"</f>
        <v>75,1695</v>
      </c>
      <c r="M50" s="24" t="s">
        <v>63</v>
      </c>
    </row>
    <row r="51" spans="1:13" x14ac:dyDescent="0.2">
      <c r="A51" s="24" t="s">
        <v>823</v>
      </c>
      <c r="B51" s="24" t="s">
        <v>824</v>
      </c>
      <c r="C51" s="24" t="s">
        <v>825</v>
      </c>
      <c r="D51" s="24" t="str">
        <f>"0,7300"</f>
        <v>0,7300</v>
      </c>
      <c r="E51" s="24" t="s">
        <v>106</v>
      </c>
      <c r="F51" s="24" t="s">
        <v>35</v>
      </c>
      <c r="G51" s="26" t="s">
        <v>26</v>
      </c>
      <c r="H51" s="25" t="s">
        <v>118</v>
      </c>
      <c r="I51" s="25" t="s">
        <v>118</v>
      </c>
      <c r="J51" s="25"/>
      <c r="K51" s="24" t="str">
        <f>"140,0"</f>
        <v>140,0</v>
      </c>
      <c r="L51" s="26" t="str">
        <f>"102,2000"</f>
        <v>102,2000</v>
      </c>
      <c r="M51" s="24" t="s">
        <v>826</v>
      </c>
    </row>
    <row r="52" spans="1:13" x14ac:dyDescent="0.2">
      <c r="A52" s="13" t="s">
        <v>828</v>
      </c>
      <c r="B52" s="13" t="s">
        <v>829</v>
      </c>
      <c r="C52" s="13" t="s">
        <v>482</v>
      </c>
      <c r="D52" s="13" t="str">
        <f>"0,7221"</f>
        <v>0,7221</v>
      </c>
      <c r="E52" s="13" t="s">
        <v>34</v>
      </c>
      <c r="F52" s="13" t="s">
        <v>35</v>
      </c>
      <c r="G52" s="16" t="s">
        <v>22</v>
      </c>
      <c r="H52" s="16" t="s">
        <v>289</v>
      </c>
      <c r="I52" s="14" t="s">
        <v>26</v>
      </c>
      <c r="J52" s="14"/>
      <c r="K52" s="13" t="str">
        <f>"132,5"</f>
        <v>132,5</v>
      </c>
      <c r="L52" s="16" t="str">
        <f>"103,5239"</f>
        <v>103,5239</v>
      </c>
      <c r="M52" s="13" t="s">
        <v>190</v>
      </c>
    </row>
    <row r="54" spans="1:13" ht="15" x14ac:dyDescent="0.2">
      <c r="A54" s="50" t="s">
        <v>29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</row>
    <row r="55" spans="1:13" x14ac:dyDescent="0.2">
      <c r="A55" s="10" t="s">
        <v>831</v>
      </c>
      <c r="B55" s="10" t="s">
        <v>832</v>
      </c>
      <c r="C55" s="10" t="s">
        <v>833</v>
      </c>
      <c r="D55" s="10" t="str">
        <f>"0,6734"</f>
        <v>0,6734</v>
      </c>
      <c r="E55" s="10" t="s">
        <v>34</v>
      </c>
      <c r="F55" s="10" t="s">
        <v>35</v>
      </c>
      <c r="G55" s="11" t="s">
        <v>243</v>
      </c>
      <c r="H55" s="11" t="s">
        <v>594</v>
      </c>
      <c r="I55" s="11" t="s">
        <v>309</v>
      </c>
      <c r="J55" s="12"/>
      <c r="K55" s="10" t="str">
        <f>"172,5"</f>
        <v>172,5</v>
      </c>
      <c r="L55" s="11" t="str">
        <f>"116,1615"</f>
        <v>116,1615</v>
      </c>
      <c r="M55" s="10" t="s">
        <v>834</v>
      </c>
    </row>
    <row r="56" spans="1:13" x14ac:dyDescent="0.2">
      <c r="A56" s="24" t="s">
        <v>836</v>
      </c>
      <c r="B56" s="24" t="s">
        <v>837</v>
      </c>
      <c r="C56" s="24" t="s">
        <v>838</v>
      </c>
      <c r="D56" s="24" t="str">
        <f>"0,6744"</f>
        <v>0,6744</v>
      </c>
      <c r="E56" s="24" t="s">
        <v>34</v>
      </c>
      <c r="F56" s="24" t="s">
        <v>839</v>
      </c>
      <c r="G56" s="26" t="s">
        <v>36</v>
      </c>
      <c r="H56" s="26" t="s">
        <v>71</v>
      </c>
      <c r="I56" s="25" t="s">
        <v>594</v>
      </c>
      <c r="J56" s="25"/>
      <c r="K56" s="24" t="str">
        <f>"165,0"</f>
        <v>165,0</v>
      </c>
      <c r="L56" s="26" t="str">
        <f>"111,2760"</f>
        <v>111,2760</v>
      </c>
      <c r="M56" s="24" t="s">
        <v>190</v>
      </c>
    </row>
    <row r="57" spans="1:13" x14ac:dyDescent="0.2">
      <c r="A57" s="24" t="s">
        <v>841</v>
      </c>
      <c r="B57" s="24" t="s">
        <v>842</v>
      </c>
      <c r="C57" s="24" t="s">
        <v>833</v>
      </c>
      <c r="D57" s="24" t="str">
        <f>"0,6734"</f>
        <v>0,6734</v>
      </c>
      <c r="E57" s="24" t="s">
        <v>34</v>
      </c>
      <c r="F57" s="24" t="s">
        <v>35</v>
      </c>
      <c r="G57" s="25" t="s">
        <v>27</v>
      </c>
      <c r="H57" s="25" t="s">
        <v>27</v>
      </c>
      <c r="I57" s="26" t="s">
        <v>27</v>
      </c>
      <c r="J57" s="25"/>
      <c r="K57" s="24" t="str">
        <f>"150,0"</f>
        <v>150,0</v>
      </c>
      <c r="L57" s="26" t="str">
        <f>"101,0100"</f>
        <v>101,0100</v>
      </c>
      <c r="M57" s="24" t="s">
        <v>843</v>
      </c>
    </row>
    <row r="58" spans="1:13" x14ac:dyDescent="0.2">
      <c r="A58" s="24" t="s">
        <v>845</v>
      </c>
      <c r="B58" s="24" t="s">
        <v>846</v>
      </c>
      <c r="C58" s="24" t="s">
        <v>847</v>
      </c>
      <c r="D58" s="24" t="str">
        <f>"0,6806"</f>
        <v>0,6806</v>
      </c>
      <c r="E58" s="24" t="s">
        <v>106</v>
      </c>
      <c r="F58" s="24" t="s">
        <v>35</v>
      </c>
      <c r="G58" s="26" t="s">
        <v>378</v>
      </c>
      <c r="H58" s="26" t="s">
        <v>25</v>
      </c>
      <c r="I58" s="25" t="s">
        <v>128</v>
      </c>
      <c r="J58" s="25"/>
      <c r="K58" s="24" t="str">
        <f>"130,0"</f>
        <v>130,0</v>
      </c>
      <c r="L58" s="26" t="str">
        <f>"88,4780"</f>
        <v>88,4780</v>
      </c>
      <c r="M58" s="24" t="s">
        <v>848</v>
      </c>
    </row>
    <row r="59" spans="1:13" x14ac:dyDescent="0.2">
      <c r="A59" s="24" t="s">
        <v>849</v>
      </c>
      <c r="B59" s="24" t="s">
        <v>850</v>
      </c>
      <c r="C59" s="24" t="s">
        <v>851</v>
      </c>
      <c r="D59" s="24" t="str">
        <f>"0,6779"</f>
        <v>0,6779</v>
      </c>
      <c r="E59" s="24" t="s">
        <v>106</v>
      </c>
      <c r="F59" s="24" t="s">
        <v>35</v>
      </c>
      <c r="G59" s="25" t="s">
        <v>27</v>
      </c>
      <c r="H59" s="25" t="s">
        <v>27</v>
      </c>
      <c r="I59" s="25" t="s">
        <v>27</v>
      </c>
      <c r="J59" s="25"/>
      <c r="K59" s="24" t="str">
        <f>"0.00"</f>
        <v>0.00</v>
      </c>
      <c r="L59" s="26" t="str">
        <f>"0,0000"</f>
        <v>0,0000</v>
      </c>
      <c r="M59" s="24" t="s">
        <v>852</v>
      </c>
    </row>
    <row r="60" spans="1:13" x14ac:dyDescent="0.2">
      <c r="A60" s="24" t="s">
        <v>853</v>
      </c>
      <c r="B60" s="24" t="s">
        <v>854</v>
      </c>
      <c r="C60" s="24" t="s">
        <v>855</v>
      </c>
      <c r="D60" s="24" t="str">
        <f>"0,6939"</f>
        <v>0,6939</v>
      </c>
      <c r="E60" s="24" t="s">
        <v>34</v>
      </c>
      <c r="F60" s="24" t="s">
        <v>856</v>
      </c>
      <c r="G60" s="26" t="s">
        <v>274</v>
      </c>
      <c r="H60" s="25" t="s">
        <v>20</v>
      </c>
      <c r="I60" s="25" t="s">
        <v>20</v>
      </c>
      <c r="J60" s="25"/>
      <c r="K60" s="24" t="str">
        <f>"110,0"</f>
        <v>110,0</v>
      </c>
      <c r="L60" s="26" t="str">
        <f>"93,5030"</f>
        <v>93,5030</v>
      </c>
      <c r="M60" s="24" t="s">
        <v>857</v>
      </c>
    </row>
    <row r="61" spans="1:13" x14ac:dyDescent="0.2">
      <c r="A61" s="13" t="s">
        <v>859</v>
      </c>
      <c r="B61" s="13" t="s">
        <v>860</v>
      </c>
      <c r="C61" s="13" t="s">
        <v>861</v>
      </c>
      <c r="D61" s="13" t="str">
        <f>"0,7048"</f>
        <v>0,7048</v>
      </c>
      <c r="E61" s="13" t="s">
        <v>34</v>
      </c>
      <c r="F61" s="13" t="s">
        <v>499</v>
      </c>
      <c r="G61" s="16" t="s">
        <v>24</v>
      </c>
      <c r="H61" s="16" t="s">
        <v>447</v>
      </c>
      <c r="I61" s="14" t="s">
        <v>264</v>
      </c>
      <c r="J61" s="14"/>
      <c r="K61" s="13" t="str">
        <f>"77,5"</f>
        <v>77,5</v>
      </c>
      <c r="L61" s="16" t="str">
        <f>"95,9162"</f>
        <v>95,9162</v>
      </c>
      <c r="M61" s="13" t="s">
        <v>862</v>
      </c>
    </row>
    <row r="63" spans="1:13" ht="15" x14ac:dyDescent="0.2">
      <c r="A63" s="50" t="s">
        <v>45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3" x14ac:dyDescent="0.2">
      <c r="A64" s="10" t="s">
        <v>864</v>
      </c>
      <c r="B64" s="10" t="s">
        <v>865</v>
      </c>
      <c r="C64" s="10" t="s">
        <v>866</v>
      </c>
      <c r="D64" s="10" t="str">
        <f>"0,6451"</f>
        <v>0,6451</v>
      </c>
      <c r="E64" s="10" t="s">
        <v>34</v>
      </c>
      <c r="F64" s="10" t="s">
        <v>35</v>
      </c>
      <c r="G64" s="11" t="s">
        <v>108</v>
      </c>
      <c r="H64" s="11" t="s">
        <v>360</v>
      </c>
      <c r="I64" s="11" t="s">
        <v>41</v>
      </c>
      <c r="J64" s="12"/>
      <c r="K64" s="10" t="str">
        <f>"190,0"</f>
        <v>190,0</v>
      </c>
      <c r="L64" s="11" t="str">
        <f>"122,5690"</f>
        <v>122,5690</v>
      </c>
      <c r="M64" s="10" t="s">
        <v>867</v>
      </c>
    </row>
    <row r="65" spans="1:13" x14ac:dyDescent="0.2">
      <c r="A65" s="24" t="s">
        <v>869</v>
      </c>
      <c r="B65" s="24" t="s">
        <v>870</v>
      </c>
      <c r="C65" s="24" t="s">
        <v>871</v>
      </c>
      <c r="D65" s="24" t="str">
        <f>"0,6421"</f>
        <v>0,6421</v>
      </c>
      <c r="E65" s="24" t="s">
        <v>18</v>
      </c>
      <c r="F65" s="24" t="s">
        <v>786</v>
      </c>
      <c r="G65" s="26" t="s">
        <v>243</v>
      </c>
      <c r="H65" s="26" t="s">
        <v>594</v>
      </c>
      <c r="I65" s="26" t="s">
        <v>37</v>
      </c>
      <c r="J65" s="25"/>
      <c r="K65" s="24" t="str">
        <f>"170,0"</f>
        <v>170,0</v>
      </c>
      <c r="L65" s="26" t="str">
        <f>"109,1570"</f>
        <v>109,1570</v>
      </c>
      <c r="M65" s="24" t="s">
        <v>190</v>
      </c>
    </row>
    <row r="66" spans="1:13" x14ac:dyDescent="0.2">
      <c r="A66" s="24" t="s">
        <v>873</v>
      </c>
      <c r="B66" s="24" t="s">
        <v>874</v>
      </c>
      <c r="C66" s="24" t="s">
        <v>871</v>
      </c>
      <c r="D66" s="24" t="str">
        <f>"0,6421"</f>
        <v>0,6421</v>
      </c>
      <c r="E66" s="24" t="s">
        <v>34</v>
      </c>
      <c r="F66" s="24" t="s">
        <v>35</v>
      </c>
      <c r="G66" s="25" t="s">
        <v>71</v>
      </c>
      <c r="H66" s="26" t="s">
        <v>594</v>
      </c>
      <c r="I66" s="25" t="s">
        <v>309</v>
      </c>
      <c r="J66" s="25"/>
      <c r="K66" s="24" t="str">
        <f>"167,5"</f>
        <v>167,5</v>
      </c>
      <c r="L66" s="26" t="str">
        <f>"107,5517"</f>
        <v>107,5517</v>
      </c>
      <c r="M66" s="24" t="s">
        <v>875</v>
      </c>
    </row>
    <row r="67" spans="1:13" x14ac:dyDescent="0.2">
      <c r="A67" s="24" t="s">
        <v>877</v>
      </c>
      <c r="B67" s="24" t="s">
        <v>878</v>
      </c>
      <c r="C67" s="24" t="s">
        <v>49</v>
      </c>
      <c r="D67" s="24" t="str">
        <f>"0,6384"</f>
        <v>0,6384</v>
      </c>
      <c r="E67" s="24" t="s">
        <v>34</v>
      </c>
      <c r="F67" s="24" t="s">
        <v>35</v>
      </c>
      <c r="G67" s="26" t="s">
        <v>243</v>
      </c>
      <c r="H67" s="25" t="s">
        <v>37</v>
      </c>
      <c r="I67" s="25" t="s">
        <v>37</v>
      </c>
      <c r="J67" s="25"/>
      <c r="K67" s="24" t="str">
        <f>"162,5"</f>
        <v>162,5</v>
      </c>
      <c r="L67" s="26" t="str">
        <f>"103,7400"</f>
        <v>103,7400</v>
      </c>
      <c r="M67" s="24" t="s">
        <v>190</v>
      </c>
    </row>
    <row r="68" spans="1:13" x14ac:dyDescent="0.2">
      <c r="A68" s="24" t="s">
        <v>880</v>
      </c>
      <c r="B68" s="24" t="s">
        <v>881</v>
      </c>
      <c r="C68" s="24" t="s">
        <v>882</v>
      </c>
      <c r="D68" s="24" t="str">
        <f>"0,6459"</f>
        <v>0,6459</v>
      </c>
      <c r="E68" s="24" t="s">
        <v>34</v>
      </c>
      <c r="F68" s="24" t="s">
        <v>35</v>
      </c>
      <c r="G68" s="26" t="s">
        <v>27</v>
      </c>
      <c r="H68" s="26" t="s">
        <v>54</v>
      </c>
      <c r="I68" s="25" t="s">
        <v>146</v>
      </c>
      <c r="J68" s="25"/>
      <c r="K68" s="24" t="str">
        <f>"155,0"</f>
        <v>155,0</v>
      </c>
      <c r="L68" s="26" t="str">
        <f>"100,1145"</f>
        <v>100,1145</v>
      </c>
      <c r="M68" s="24" t="s">
        <v>73</v>
      </c>
    </row>
    <row r="69" spans="1:13" x14ac:dyDescent="0.2">
      <c r="A69" s="24" t="s">
        <v>884</v>
      </c>
      <c r="B69" s="24" t="s">
        <v>885</v>
      </c>
      <c r="C69" s="24" t="s">
        <v>886</v>
      </c>
      <c r="D69" s="24" t="str">
        <f>"0,6495"</f>
        <v>0,6495</v>
      </c>
      <c r="E69" s="24" t="s">
        <v>34</v>
      </c>
      <c r="F69" s="24" t="s">
        <v>887</v>
      </c>
      <c r="G69" s="25" t="s">
        <v>26</v>
      </c>
      <c r="H69" s="26" t="s">
        <v>26</v>
      </c>
      <c r="I69" s="26" t="s">
        <v>27</v>
      </c>
      <c r="J69" s="25"/>
      <c r="K69" s="24" t="str">
        <f>"150,0"</f>
        <v>150,0</v>
      </c>
      <c r="L69" s="26" t="str">
        <f>"106,8752"</f>
        <v>106,8752</v>
      </c>
      <c r="M69" s="24" t="s">
        <v>190</v>
      </c>
    </row>
    <row r="70" spans="1:13" x14ac:dyDescent="0.2">
      <c r="A70" s="24" t="s">
        <v>888</v>
      </c>
      <c r="B70" s="24" t="s">
        <v>889</v>
      </c>
      <c r="C70" s="24" t="s">
        <v>662</v>
      </c>
      <c r="D70" s="24" t="str">
        <f>"0,6432"</f>
        <v>0,6432</v>
      </c>
      <c r="E70" s="24" t="s">
        <v>34</v>
      </c>
      <c r="F70" s="24" t="s">
        <v>499</v>
      </c>
      <c r="G70" s="26" t="s">
        <v>254</v>
      </c>
      <c r="H70" s="26" t="s">
        <v>274</v>
      </c>
      <c r="I70" s="25" t="s">
        <v>378</v>
      </c>
      <c r="J70" s="25"/>
      <c r="K70" s="24" t="str">
        <f>"110,0"</f>
        <v>110,0</v>
      </c>
      <c r="L70" s="26" t="str">
        <f>"75,5631"</f>
        <v>75,5631</v>
      </c>
      <c r="M70" s="24" t="s">
        <v>890</v>
      </c>
    </row>
    <row r="71" spans="1:13" x14ac:dyDescent="0.2">
      <c r="A71" s="24" t="s">
        <v>892</v>
      </c>
      <c r="B71" s="24" t="s">
        <v>893</v>
      </c>
      <c r="C71" s="24" t="s">
        <v>894</v>
      </c>
      <c r="D71" s="24" t="str">
        <f>"0,6549"</f>
        <v>0,6549</v>
      </c>
      <c r="E71" s="24" t="s">
        <v>34</v>
      </c>
      <c r="F71" s="24" t="s">
        <v>353</v>
      </c>
      <c r="G71" s="26" t="s">
        <v>25</v>
      </c>
      <c r="H71" s="26" t="s">
        <v>128</v>
      </c>
      <c r="I71" s="26" t="s">
        <v>26</v>
      </c>
      <c r="J71" s="25"/>
      <c r="K71" s="24" t="str">
        <f>"140,0"</f>
        <v>140,0</v>
      </c>
      <c r="L71" s="26" t="str">
        <f>"118,3666"</f>
        <v>118,3666</v>
      </c>
      <c r="M71" s="24" t="s">
        <v>355</v>
      </c>
    </row>
    <row r="72" spans="1:13" x14ac:dyDescent="0.2">
      <c r="A72" s="24" t="s">
        <v>896</v>
      </c>
      <c r="B72" s="24" t="s">
        <v>897</v>
      </c>
      <c r="C72" s="24" t="s">
        <v>898</v>
      </c>
      <c r="D72" s="24" t="str">
        <f>"0,6440"</f>
        <v>0,6440</v>
      </c>
      <c r="E72" s="24" t="s">
        <v>34</v>
      </c>
      <c r="F72" s="24" t="s">
        <v>899</v>
      </c>
      <c r="G72" s="26" t="s">
        <v>254</v>
      </c>
      <c r="H72" s="26" t="s">
        <v>38</v>
      </c>
      <c r="I72" s="25" t="s">
        <v>274</v>
      </c>
      <c r="J72" s="25"/>
      <c r="K72" s="24" t="str">
        <f>"105,0"</f>
        <v>105,0</v>
      </c>
      <c r="L72" s="26" t="str">
        <f>"98,0490"</f>
        <v>98,0490</v>
      </c>
      <c r="M72" s="24" t="s">
        <v>190</v>
      </c>
    </row>
    <row r="73" spans="1:13" x14ac:dyDescent="0.2">
      <c r="A73" s="13" t="s">
        <v>901</v>
      </c>
      <c r="B73" s="13" t="s">
        <v>902</v>
      </c>
      <c r="C73" s="13" t="s">
        <v>903</v>
      </c>
      <c r="D73" s="13" t="str">
        <f>"0,6402"</f>
        <v>0,6402</v>
      </c>
      <c r="E73" s="13" t="s">
        <v>106</v>
      </c>
      <c r="F73" s="13" t="s">
        <v>35</v>
      </c>
      <c r="G73" s="16" t="s">
        <v>25</v>
      </c>
      <c r="H73" s="16" t="s">
        <v>128</v>
      </c>
      <c r="I73" s="14"/>
      <c r="J73" s="14"/>
      <c r="K73" s="13" t="str">
        <f>"135,0"</f>
        <v>135,0</v>
      </c>
      <c r="L73" s="16" t="str">
        <f>"133,3569"</f>
        <v>133,3569</v>
      </c>
      <c r="M73" s="13" t="s">
        <v>904</v>
      </c>
    </row>
    <row r="75" spans="1:13" ht="15" x14ac:dyDescent="0.2">
      <c r="A75" s="50" t="s">
        <v>121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1:13" x14ac:dyDescent="0.2">
      <c r="A76" s="10" t="s">
        <v>397</v>
      </c>
      <c r="B76" s="10" t="s">
        <v>398</v>
      </c>
      <c r="C76" s="10" t="s">
        <v>399</v>
      </c>
      <c r="D76" s="10" t="str">
        <f>"0,6121"</f>
        <v>0,6121</v>
      </c>
      <c r="E76" s="10" t="s">
        <v>106</v>
      </c>
      <c r="F76" s="10" t="s">
        <v>35</v>
      </c>
      <c r="G76" s="11" t="s">
        <v>37</v>
      </c>
      <c r="H76" s="11" t="s">
        <v>309</v>
      </c>
      <c r="I76" s="11" t="s">
        <v>108</v>
      </c>
      <c r="J76" s="12"/>
      <c r="K76" s="10" t="str">
        <f>"175,0"</f>
        <v>175,0</v>
      </c>
      <c r="L76" s="11" t="str">
        <f>"107,1175"</f>
        <v>107,1175</v>
      </c>
      <c r="M76" s="10" t="s">
        <v>190</v>
      </c>
    </row>
    <row r="77" spans="1:13" x14ac:dyDescent="0.2">
      <c r="A77" s="24" t="s">
        <v>905</v>
      </c>
      <c r="B77" s="24" t="s">
        <v>301</v>
      </c>
      <c r="C77" s="24" t="s">
        <v>302</v>
      </c>
      <c r="D77" s="24" t="str">
        <f>"0,6250"</f>
        <v>0,6250</v>
      </c>
      <c r="E77" s="24" t="s">
        <v>34</v>
      </c>
      <c r="F77" s="24" t="s">
        <v>35</v>
      </c>
      <c r="G77" s="26" t="s">
        <v>27</v>
      </c>
      <c r="H77" s="26" t="s">
        <v>146</v>
      </c>
      <c r="I77" s="26" t="s">
        <v>71</v>
      </c>
      <c r="J77" s="25"/>
      <c r="K77" s="24" t="str">
        <f>"165,0"</f>
        <v>165,0</v>
      </c>
      <c r="L77" s="26" t="str">
        <f>"103,1250"</f>
        <v>103,1250</v>
      </c>
      <c r="M77" s="24" t="s">
        <v>190</v>
      </c>
    </row>
    <row r="78" spans="1:13" x14ac:dyDescent="0.2">
      <c r="A78" s="24" t="s">
        <v>907</v>
      </c>
      <c r="B78" s="24" t="s">
        <v>908</v>
      </c>
      <c r="C78" s="24" t="s">
        <v>909</v>
      </c>
      <c r="D78" s="24" t="str">
        <f>"0,6113"</f>
        <v>0,6113</v>
      </c>
      <c r="E78" s="24" t="s">
        <v>34</v>
      </c>
      <c r="F78" s="24" t="s">
        <v>910</v>
      </c>
      <c r="G78" s="26" t="s">
        <v>26</v>
      </c>
      <c r="H78" s="26" t="s">
        <v>118</v>
      </c>
      <c r="I78" s="26" t="s">
        <v>27</v>
      </c>
      <c r="J78" s="25"/>
      <c r="K78" s="24" t="str">
        <f>"150,0"</f>
        <v>150,0</v>
      </c>
      <c r="L78" s="26" t="str">
        <f>"91,6950"</f>
        <v>91,6950</v>
      </c>
      <c r="M78" s="24" t="s">
        <v>73</v>
      </c>
    </row>
    <row r="79" spans="1:13" x14ac:dyDescent="0.2">
      <c r="A79" s="24" t="s">
        <v>912</v>
      </c>
      <c r="B79" s="24" t="s">
        <v>913</v>
      </c>
      <c r="C79" s="24" t="s">
        <v>914</v>
      </c>
      <c r="D79" s="24" t="str">
        <f>"0,6091"</f>
        <v>0,6091</v>
      </c>
      <c r="E79" s="24" t="s">
        <v>34</v>
      </c>
      <c r="F79" s="24" t="s">
        <v>126</v>
      </c>
      <c r="G79" s="26" t="s">
        <v>27</v>
      </c>
      <c r="H79" s="25" t="s">
        <v>146</v>
      </c>
      <c r="I79" s="25"/>
      <c r="J79" s="25"/>
      <c r="K79" s="24" t="str">
        <f>"150,0"</f>
        <v>150,0</v>
      </c>
      <c r="L79" s="26" t="str">
        <f>"91,3650"</f>
        <v>91,3650</v>
      </c>
      <c r="M79" s="24" t="s">
        <v>915</v>
      </c>
    </row>
    <row r="80" spans="1:13" x14ac:dyDescent="0.2">
      <c r="A80" s="24" t="s">
        <v>917</v>
      </c>
      <c r="B80" s="24" t="s">
        <v>918</v>
      </c>
      <c r="C80" s="24" t="s">
        <v>909</v>
      </c>
      <c r="D80" s="24" t="str">
        <f>"0,6113"</f>
        <v>0,6113</v>
      </c>
      <c r="E80" s="24" t="s">
        <v>34</v>
      </c>
      <c r="F80" s="24" t="s">
        <v>366</v>
      </c>
      <c r="G80" s="26" t="s">
        <v>539</v>
      </c>
      <c r="H80" s="25" t="s">
        <v>383</v>
      </c>
      <c r="I80" s="25" t="s">
        <v>383</v>
      </c>
      <c r="J80" s="25"/>
      <c r="K80" s="24" t="str">
        <f>"182,5"</f>
        <v>182,5</v>
      </c>
      <c r="L80" s="26" t="str">
        <f>"116,3594"</f>
        <v>116,3594</v>
      </c>
      <c r="M80" s="24" t="s">
        <v>919</v>
      </c>
    </row>
    <row r="81" spans="1:13" x14ac:dyDescent="0.2">
      <c r="A81" s="24" t="s">
        <v>920</v>
      </c>
      <c r="B81" s="24" t="s">
        <v>921</v>
      </c>
      <c r="C81" s="24" t="s">
        <v>922</v>
      </c>
      <c r="D81" s="24" t="str">
        <f>"0,6166"</f>
        <v>0,6166</v>
      </c>
      <c r="E81" s="24" t="s">
        <v>34</v>
      </c>
      <c r="F81" s="24" t="s">
        <v>263</v>
      </c>
      <c r="G81" s="26" t="s">
        <v>27</v>
      </c>
      <c r="H81" s="25" t="s">
        <v>54</v>
      </c>
      <c r="I81" s="25" t="s">
        <v>36</v>
      </c>
      <c r="J81" s="25"/>
      <c r="K81" s="24" t="str">
        <f>"150,0"</f>
        <v>150,0</v>
      </c>
      <c r="L81" s="26" t="str">
        <f>"95,3572"</f>
        <v>95,3572</v>
      </c>
      <c r="M81" s="24" t="s">
        <v>923</v>
      </c>
    </row>
    <row r="82" spans="1:13" x14ac:dyDescent="0.2">
      <c r="A82" s="24" t="s">
        <v>925</v>
      </c>
      <c r="B82" s="24" t="s">
        <v>926</v>
      </c>
      <c r="C82" s="24" t="s">
        <v>927</v>
      </c>
      <c r="D82" s="24" t="str">
        <f>"0,6282"</f>
        <v>0,6282</v>
      </c>
      <c r="E82" s="24" t="s">
        <v>34</v>
      </c>
      <c r="F82" s="24" t="s">
        <v>499</v>
      </c>
      <c r="G82" s="26" t="s">
        <v>27</v>
      </c>
      <c r="H82" s="26" t="s">
        <v>54</v>
      </c>
      <c r="I82" s="26" t="s">
        <v>243</v>
      </c>
      <c r="J82" s="25"/>
      <c r="K82" s="24" t="str">
        <f>"162,5"</f>
        <v>162,5</v>
      </c>
      <c r="L82" s="26" t="str">
        <f>"110,4533"</f>
        <v>110,4533</v>
      </c>
      <c r="M82" s="24" t="s">
        <v>928</v>
      </c>
    </row>
    <row r="83" spans="1:13" x14ac:dyDescent="0.2">
      <c r="A83" s="24" t="s">
        <v>929</v>
      </c>
      <c r="B83" s="24" t="s">
        <v>930</v>
      </c>
      <c r="C83" s="24" t="s">
        <v>931</v>
      </c>
      <c r="D83" s="24" t="str">
        <f>"0,6142"</f>
        <v>0,6142</v>
      </c>
      <c r="E83" s="24" t="s">
        <v>34</v>
      </c>
      <c r="F83" s="24" t="s">
        <v>764</v>
      </c>
      <c r="G83" s="26" t="s">
        <v>128</v>
      </c>
      <c r="H83" s="26" t="s">
        <v>118</v>
      </c>
      <c r="I83" s="26" t="s">
        <v>145</v>
      </c>
      <c r="J83" s="25"/>
      <c r="K83" s="24" t="str">
        <f>"147,5"</f>
        <v>147,5</v>
      </c>
      <c r="L83" s="26" t="str">
        <f>"95,5772"</f>
        <v>95,5772</v>
      </c>
      <c r="M83" s="24" t="s">
        <v>932</v>
      </c>
    </row>
    <row r="84" spans="1:13" x14ac:dyDescent="0.2">
      <c r="A84" s="24" t="s">
        <v>934</v>
      </c>
      <c r="B84" s="24" t="s">
        <v>935</v>
      </c>
      <c r="C84" s="24" t="s">
        <v>936</v>
      </c>
      <c r="D84" s="24" t="str">
        <f>"0,6129"</f>
        <v>0,6129</v>
      </c>
      <c r="E84" s="24" t="s">
        <v>34</v>
      </c>
      <c r="F84" s="24" t="s">
        <v>937</v>
      </c>
      <c r="G84" s="26" t="s">
        <v>146</v>
      </c>
      <c r="H84" s="26" t="s">
        <v>594</v>
      </c>
      <c r="I84" s="25" t="s">
        <v>309</v>
      </c>
      <c r="J84" s="25"/>
      <c r="K84" s="24" t="str">
        <f>"167,5"</f>
        <v>167,5</v>
      </c>
      <c r="L84" s="26" t="str">
        <f>"117,7519"</f>
        <v>117,7519</v>
      </c>
      <c r="M84" s="24" t="s">
        <v>938</v>
      </c>
    </row>
    <row r="85" spans="1:13" x14ac:dyDescent="0.2">
      <c r="A85" s="24" t="s">
        <v>940</v>
      </c>
      <c r="B85" s="24" t="s">
        <v>941</v>
      </c>
      <c r="C85" s="24" t="s">
        <v>942</v>
      </c>
      <c r="D85" s="24" t="str">
        <f>"0,6229"</f>
        <v>0,6229</v>
      </c>
      <c r="E85" s="24" t="s">
        <v>34</v>
      </c>
      <c r="F85" s="24" t="s">
        <v>943</v>
      </c>
      <c r="G85" s="26" t="s">
        <v>340</v>
      </c>
      <c r="H85" s="26" t="s">
        <v>792</v>
      </c>
      <c r="I85" s="26" t="s">
        <v>118</v>
      </c>
      <c r="J85" s="25"/>
      <c r="K85" s="24" t="str">
        <f>"145,0"</f>
        <v>145,0</v>
      </c>
      <c r="L85" s="26" t="str">
        <f>"102,0622"</f>
        <v>102,0622</v>
      </c>
      <c r="M85" s="24" t="s">
        <v>944</v>
      </c>
    </row>
    <row r="86" spans="1:13" x14ac:dyDescent="0.2">
      <c r="A86" s="24" t="s">
        <v>945</v>
      </c>
      <c r="B86" s="24" t="s">
        <v>946</v>
      </c>
      <c r="C86" s="24" t="s">
        <v>947</v>
      </c>
      <c r="D86" s="24" t="str">
        <f>"0,6318"</f>
        <v>0,6318</v>
      </c>
      <c r="E86" s="24" t="s">
        <v>34</v>
      </c>
      <c r="F86" s="24" t="s">
        <v>35</v>
      </c>
      <c r="G86" s="26" t="s">
        <v>254</v>
      </c>
      <c r="H86" s="25" t="s">
        <v>274</v>
      </c>
      <c r="I86" s="25" t="s">
        <v>274</v>
      </c>
      <c r="J86" s="25"/>
      <c r="K86" s="24" t="str">
        <f>"100,0"</f>
        <v>100,0</v>
      </c>
      <c r="L86" s="26" t="str">
        <f>"93,5064"</f>
        <v>93,5064</v>
      </c>
      <c r="M86" s="24" t="s">
        <v>948</v>
      </c>
    </row>
    <row r="87" spans="1:13" x14ac:dyDescent="0.2">
      <c r="A87" s="13" t="s">
        <v>950</v>
      </c>
      <c r="B87" s="13" t="s">
        <v>951</v>
      </c>
      <c r="C87" s="13" t="s">
        <v>952</v>
      </c>
      <c r="D87" s="13" t="str">
        <f>"0,6150"</f>
        <v>0,6150</v>
      </c>
      <c r="E87" s="13" t="s">
        <v>34</v>
      </c>
      <c r="F87" s="13" t="s">
        <v>953</v>
      </c>
      <c r="G87" s="16" t="s">
        <v>340</v>
      </c>
      <c r="H87" s="16" t="s">
        <v>25</v>
      </c>
      <c r="I87" s="14"/>
      <c r="J87" s="14"/>
      <c r="K87" s="13" t="str">
        <f>"130,0"</f>
        <v>130,0</v>
      </c>
      <c r="L87" s="16" t="str">
        <f>"140,3922"</f>
        <v>140,3922</v>
      </c>
      <c r="M87" s="13" t="s">
        <v>954</v>
      </c>
    </row>
    <row r="89" spans="1:13" ht="15" x14ac:dyDescent="0.2">
      <c r="A89" s="50" t="s">
        <v>64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</row>
    <row r="90" spans="1:13" x14ac:dyDescent="0.2">
      <c r="A90" s="10" t="s">
        <v>956</v>
      </c>
      <c r="B90" s="10" t="s">
        <v>957</v>
      </c>
      <c r="C90" s="10" t="s">
        <v>958</v>
      </c>
      <c r="D90" s="10" t="str">
        <f>"0,5946"</f>
        <v>0,5946</v>
      </c>
      <c r="E90" s="10" t="s">
        <v>34</v>
      </c>
      <c r="F90" s="10" t="s">
        <v>887</v>
      </c>
      <c r="G90" s="11" t="s">
        <v>257</v>
      </c>
      <c r="H90" s="11" t="s">
        <v>265</v>
      </c>
      <c r="I90" s="11" t="s">
        <v>347</v>
      </c>
      <c r="J90" s="12"/>
      <c r="K90" s="10" t="str">
        <f>"102,5"</f>
        <v>102,5</v>
      </c>
      <c r="L90" s="11" t="str">
        <f>"60,9465"</f>
        <v>60,9465</v>
      </c>
      <c r="M90" s="10" t="s">
        <v>959</v>
      </c>
    </row>
    <row r="91" spans="1:13" x14ac:dyDescent="0.2">
      <c r="A91" s="24" t="s">
        <v>961</v>
      </c>
      <c r="B91" s="24" t="s">
        <v>962</v>
      </c>
      <c r="C91" s="24" t="s">
        <v>963</v>
      </c>
      <c r="D91" s="24" t="str">
        <f>"0,5914"</f>
        <v>0,5914</v>
      </c>
      <c r="E91" s="24" t="s">
        <v>34</v>
      </c>
      <c r="F91" s="24" t="s">
        <v>35</v>
      </c>
      <c r="G91" s="26" t="s">
        <v>36</v>
      </c>
      <c r="H91" s="26" t="s">
        <v>37</v>
      </c>
      <c r="I91" s="26" t="s">
        <v>964</v>
      </c>
      <c r="J91" s="25"/>
      <c r="K91" s="24" t="str">
        <f>"177,5"</f>
        <v>177,5</v>
      </c>
      <c r="L91" s="26" t="str">
        <f>"104,9735"</f>
        <v>104,9735</v>
      </c>
      <c r="M91" s="24" t="s">
        <v>965</v>
      </c>
    </row>
    <row r="92" spans="1:13" x14ac:dyDescent="0.2">
      <c r="A92" s="24" t="s">
        <v>967</v>
      </c>
      <c r="B92" s="24" t="s">
        <v>968</v>
      </c>
      <c r="C92" s="24" t="s">
        <v>969</v>
      </c>
      <c r="D92" s="24" t="str">
        <f>"0,5990"</f>
        <v>0,5990</v>
      </c>
      <c r="E92" s="24" t="s">
        <v>34</v>
      </c>
      <c r="F92" s="24" t="s">
        <v>970</v>
      </c>
      <c r="G92" s="26" t="s">
        <v>594</v>
      </c>
      <c r="H92" s="26" t="s">
        <v>309</v>
      </c>
      <c r="I92" s="26" t="s">
        <v>108</v>
      </c>
      <c r="J92" s="25"/>
      <c r="K92" s="24" t="str">
        <f>"175,0"</f>
        <v>175,0</v>
      </c>
      <c r="L92" s="26" t="str">
        <f>"104,8250"</f>
        <v>104,8250</v>
      </c>
      <c r="M92" s="24" t="s">
        <v>190</v>
      </c>
    </row>
    <row r="93" spans="1:13" x14ac:dyDescent="0.2">
      <c r="A93" s="24" t="s">
        <v>972</v>
      </c>
      <c r="B93" s="24" t="s">
        <v>973</v>
      </c>
      <c r="C93" s="24" t="s">
        <v>157</v>
      </c>
      <c r="D93" s="24" t="str">
        <f>"0,5905"</f>
        <v>0,5905</v>
      </c>
      <c r="E93" s="24" t="s">
        <v>34</v>
      </c>
      <c r="F93" s="24" t="s">
        <v>35</v>
      </c>
      <c r="G93" s="26" t="s">
        <v>54</v>
      </c>
      <c r="H93" s="25" t="s">
        <v>243</v>
      </c>
      <c r="I93" s="25"/>
      <c r="J93" s="25"/>
      <c r="K93" s="24" t="str">
        <f>"155,0"</f>
        <v>155,0</v>
      </c>
      <c r="L93" s="26" t="str">
        <f>"91,5275"</f>
        <v>91,5275</v>
      </c>
      <c r="M93" s="24" t="s">
        <v>190</v>
      </c>
    </row>
    <row r="94" spans="1:13" x14ac:dyDescent="0.2">
      <c r="A94" s="24" t="s">
        <v>975</v>
      </c>
      <c r="B94" s="24" t="s">
        <v>976</v>
      </c>
      <c r="C94" s="24" t="s">
        <v>977</v>
      </c>
      <c r="D94" s="24" t="str">
        <f>"0,5890"</f>
        <v>0,5890</v>
      </c>
      <c r="E94" s="24" t="s">
        <v>34</v>
      </c>
      <c r="F94" s="24" t="s">
        <v>453</v>
      </c>
      <c r="G94" s="26" t="s">
        <v>136</v>
      </c>
      <c r="H94" s="25" t="s">
        <v>539</v>
      </c>
      <c r="I94" s="25"/>
      <c r="J94" s="25"/>
      <c r="K94" s="24" t="str">
        <f>"180,0"</f>
        <v>180,0</v>
      </c>
      <c r="L94" s="26" t="str">
        <f>"106,0200"</f>
        <v>106,0200</v>
      </c>
      <c r="M94" s="24" t="s">
        <v>932</v>
      </c>
    </row>
    <row r="95" spans="1:13" x14ac:dyDescent="0.2">
      <c r="A95" s="24" t="s">
        <v>979</v>
      </c>
      <c r="B95" s="24" t="s">
        <v>980</v>
      </c>
      <c r="C95" s="24" t="s">
        <v>981</v>
      </c>
      <c r="D95" s="24" t="str">
        <f>"0,6013"</f>
        <v>0,6013</v>
      </c>
      <c r="E95" s="24" t="s">
        <v>34</v>
      </c>
      <c r="F95" s="24" t="s">
        <v>35</v>
      </c>
      <c r="G95" s="26" t="s">
        <v>37</v>
      </c>
      <c r="H95" s="26" t="s">
        <v>964</v>
      </c>
      <c r="I95" s="25" t="s">
        <v>360</v>
      </c>
      <c r="J95" s="25"/>
      <c r="K95" s="24" t="str">
        <f>"177,5"</f>
        <v>177,5</v>
      </c>
      <c r="L95" s="26" t="str">
        <f>"111,3202"</f>
        <v>111,3202</v>
      </c>
      <c r="M95" s="24" t="s">
        <v>982</v>
      </c>
    </row>
    <row r="96" spans="1:13" x14ac:dyDescent="0.2">
      <c r="A96" s="24" t="s">
        <v>983</v>
      </c>
      <c r="B96" s="24" t="s">
        <v>984</v>
      </c>
      <c r="C96" s="24" t="s">
        <v>985</v>
      </c>
      <c r="D96" s="24" t="str">
        <f>"0,5916"</f>
        <v>0,5916</v>
      </c>
      <c r="E96" s="24" t="s">
        <v>34</v>
      </c>
      <c r="F96" s="24" t="s">
        <v>35</v>
      </c>
      <c r="G96" s="25" t="s">
        <v>36</v>
      </c>
      <c r="H96" s="26" t="s">
        <v>36</v>
      </c>
      <c r="I96" s="25" t="s">
        <v>71</v>
      </c>
      <c r="J96" s="25"/>
      <c r="K96" s="24" t="str">
        <f>"160,0"</f>
        <v>160,0</v>
      </c>
      <c r="L96" s="26" t="str">
        <f>"94,6560"</f>
        <v>94,6560</v>
      </c>
      <c r="M96" s="24" t="s">
        <v>986</v>
      </c>
    </row>
    <row r="97" spans="1:13" x14ac:dyDescent="0.2">
      <c r="A97" s="24" t="s">
        <v>988</v>
      </c>
      <c r="B97" s="24" t="s">
        <v>989</v>
      </c>
      <c r="C97" s="24" t="s">
        <v>990</v>
      </c>
      <c r="D97" s="24" t="str">
        <f>"0,6046"</f>
        <v>0,6046</v>
      </c>
      <c r="E97" s="24" t="s">
        <v>34</v>
      </c>
      <c r="F97" s="24" t="s">
        <v>35</v>
      </c>
      <c r="G97" s="26" t="s">
        <v>27</v>
      </c>
      <c r="H97" s="26" t="s">
        <v>36</v>
      </c>
      <c r="I97" s="25" t="s">
        <v>71</v>
      </c>
      <c r="J97" s="25"/>
      <c r="K97" s="24" t="str">
        <f>"160,0"</f>
        <v>160,0</v>
      </c>
      <c r="L97" s="26" t="str">
        <f>"118,5016"</f>
        <v>118,5016</v>
      </c>
      <c r="M97" s="24" t="s">
        <v>991</v>
      </c>
    </row>
    <row r="98" spans="1:13" x14ac:dyDescent="0.2">
      <c r="A98" s="24" t="s">
        <v>993</v>
      </c>
      <c r="B98" s="24" t="s">
        <v>994</v>
      </c>
      <c r="C98" s="24" t="s">
        <v>995</v>
      </c>
      <c r="D98" s="24" t="str">
        <f>"0,5978"</f>
        <v>0,5978</v>
      </c>
      <c r="E98" s="24" t="s">
        <v>106</v>
      </c>
      <c r="F98" s="24" t="s">
        <v>856</v>
      </c>
      <c r="G98" s="26" t="s">
        <v>118</v>
      </c>
      <c r="H98" s="26" t="s">
        <v>996</v>
      </c>
      <c r="I98" s="26" t="s">
        <v>54</v>
      </c>
      <c r="J98" s="25"/>
      <c r="K98" s="24" t="str">
        <f>"155,0"</f>
        <v>155,0</v>
      </c>
      <c r="L98" s="26" t="str">
        <f>"109,7083"</f>
        <v>109,7083</v>
      </c>
      <c r="M98" s="24" t="s">
        <v>857</v>
      </c>
    </row>
    <row r="99" spans="1:13" x14ac:dyDescent="0.2">
      <c r="A99" s="24" t="s">
        <v>998</v>
      </c>
      <c r="B99" s="24" t="s">
        <v>999</v>
      </c>
      <c r="C99" s="24" t="s">
        <v>1000</v>
      </c>
      <c r="D99" s="24" t="str">
        <f>"0,5902"</f>
        <v>0,5902</v>
      </c>
      <c r="E99" s="24" t="s">
        <v>34</v>
      </c>
      <c r="F99" s="24" t="s">
        <v>35</v>
      </c>
      <c r="G99" s="26" t="s">
        <v>26</v>
      </c>
      <c r="H99" s="26" t="s">
        <v>118</v>
      </c>
      <c r="I99" s="26" t="s">
        <v>145</v>
      </c>
      <c r="J99" s="25"/>
      <c r="K99" s="24" t="str">
        <f>"147,5"</f>
        <v>147,5</v>
      </c>
      <c r="L99" s="26" t="str">
        <f>"110,3851"</f>
        <v>110,3851</v>
      </c>
      <c r="M99" s="24" t="s">
        <v>140</v>
      </c>
    </row>
    <row r="100" spans="1:13" x14ac:dyDescent="0.2">
      <c r="A100" s="24" t="s">
        <v>1002</v>
      </c>
      <c r="B100" s="24" t="s">
        <v>1003</v>
      </c>
      <c r="C100" s="24" t="s">
        <v>1004</v>
      </c>
      <c r="D100" s="24" t="str">
        <f>"0,5962"</f>
        <v>0,5962</v>
      </c>
      <c r="E100" s="24" t="s">
        <v>34</v>
      </c>
      <c r="F100" s="24" t="s">
        <v>764</v>
      </c>
      <c r="G100" s="26" t="s">
        <v>25</v>
      </c>
      <c r="H100" s="26" t="s">
        <v>128</v>
      </c>
      <c r="I100" s="25" t="s">
        <v>118</v>
      </c>
      <c r="J100" s="25"/>
      <c r="K100" s="24" t="str">
        <f>"135,0"</f>
        <v>135,0</v>
      </c>
      <c r="L100" s="26" t="str">
        <f>"98,5966"</f>
        <v>98,5966</v>
      </c>
      <c r="M100" s="24" t="s">
        <v>73</v>
      </c>
    </row>
    <row r="101" spans="1:13" x14ac:dyDescent="0.2">
      <c r="A101" s="24" t="s">
        <v>1006</v>
      </c>
      <c r="B101" s="24" t="s">
        <v>1007</v>
      </c>
      <c r="C101" s="24" t="s">
        <v>1008</v>
      </c>
      <c r="D101" s="24" t="str">
        <f>"0,6050"</f>
        <v>0,6050</v>
      </c>
      <c r="E101" s="24" t="s">
        <v>1009</v>
      </c>
      <c r="F101" s="24" t="s">
        <v>114</v>
      </c>
      <c r="G101" s="26" t="s">
        <v>274</v>
      </c>
      <c r="H101" s="26" t="s">
        <v>21</v>
      </c>
      <c r="I101" s="26" t="s">
        <v>22</v>
      </c>
      <c r="J101" s="25"/>
      <c r="K101" s="24" t="str">
        <f>"125,0"</f>
        <v>125,0</v>
      </c>
      <c r="L101" s="26" t="str">
        <f>"103,3038"</f>
        <v>103,3038</v>
      </c>
      <c r="M101" s="24" t="s">
        <v>190</v>
      </c>
    </row>
    <row r="102" spans="1:13" x14ac:dyDescent="0.2">
      <c r="A102" s="13" t="s">
        <v>1011</v>
      </c>
      <c r="B102" s="13" t="s">
        <v>1012</v>
      </c>
      <c r="C102" s="13" t="s">
        <v>673</v>
      </c>
      <c r="D102" s="13" t="str">
        <f>"0,5888"</f>
        <v>0,5888</v>
      </c>
      <c r="E102" s="13" t="s">
        <v>34</v>
      </c>
      <c r="F102" s="13" t="s">
        <v>353</v>
      </c>
      <c r="G102" s="16" t="s">
        <v>26</v>
      </c>
      <c r="H102" s="14" t="s">
        <v>145</v>
      </c>
      <c r="I102" s="14" t="s">
        <v>145</v>
      </c>
      <c r="J102" s="14"/>
      <c r="K102" s="13" t="str">
        <f>"140,0"</f>
        <v>140,0</v>
      </c>
      <c r="L102" s="16" t="str">
        <f>"124,5548"</f>
        <v>124,5548</v>
      </c>
      <c r="M102" s="13" t="s">
        <v>190</v>
      </c>
    </row>
    <row r="104" spans="1:13" ht="15" x14ac:dyDescent="0.2">
      <c r="A104" s="50" t="s">
        <v>161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</row>
    <row r="105" spans="1:13" x14ac:dyDescent="0.2">
      <c r="A105" s="10" t="s">
        <v>1014</v>
      </c>
      <c r="B105" s="10" t="s">
        <v>1015</v>
      </c>
      <c r="C105" s="10" t="s">
        <v>1016</v>
      </c>
      <c r="D105" s="10" t="str">
        <f>"0,5809"</f>
        <v>0,5809</v>
      </c>
      <c r="E105" s="10" t="s">
        <v>34</v>
      </c>
      <c r="F105" s="10" t="s">
        <v>910</v>
      </c>
      <c r="G105" s="11" t="s">
        <v>360</v>
      </c>
      <c r="H105" s="11" t="s">
        <v>41</v>
      </c>
      <c r="I105" s="12" t="s">
        <v>290</v>
      </c>
      <c r="J105" s="12"/>
      <c r="K105" s="10" t="str">
        <f>"190,0"</f>
        <v>190,0</v>
      </c>
      <c r="L105" s="11" t="str">
        <f>"110,3710"</f>
        <v>110,3710</v>
      </c>
      <c r="M105" s="10" t="s">
        <v>190</v>
      </c>
    </row>
    <row r="106" spans="1:13" x14ac:dyDescent="0.2">
      <c r="A106" s="24" t="s">
        <v>1018</v>
      </c>
      <c r="B106" s="24" t="s">
        <v>1019</v>
      </c>
      <c r="C106" s="24" t="s">
        <v>193</v>
      </c>
      <c r="D106" s="24" t="str">
        <f>"0,5756"</f>
        <v>0,5756</v>
      </c>
      <c r="E106" s="24" t="s">
        <v>34</v>
      </c>
      <c r="F106" s="24" t="s">
        <v>472</v>
      </c>
      <c r="G106" s="26" t="s">
        <v>37</v>
      </c>
      <c r="H106" s="25" t="s">
        <v>136</v>
      </c>
      <c r="I106" s="25" t="s">
        <v>136</v>
      </c>
      <c r="J106" s="25"/>
      <c r="K106" s="24" t="str">
        <f>"170,0"</f>
        <v>170,0</v>
      </c>
      <c r="L106" s="26" t="str">
        <f>"97,8520"</f>
        <v>97,8520</v>
      </c>
      <c r="M106" s="24" t="s">
        <v>190</v>
      </c>
    </row>
    <row r="107" spans="1:13" x14ac:dyDescent="0.2">
      <c r="A107" s="24" t="s">
        <v>1021</v>
      </c>
      <c r="B107" s="24" t="s">
        <v>1022</v>
      </c>
      <c r="C107" s="24" t="s">
        <v>1023</v>
      </c>
      <c r="D107" s="24" t="str">
        <f>"0,5846"</f>
        <v>0,5846</v>
      </c>
      <c r="E107" s="24" t="s">
        <v>34</v>
      </c>
      <c r="F107" s="24" t="s">
        <v>499</v>
      </c>
      <c r="G107" s="26" t="s">
        <v>71</v>
      </c>
      <c r="H107" s="25" t="s">
        <v>136</v>
      </c>
      <c r="I107" s="26" t="s">
        <v>136</v>
      </c>
      <c r="J107" s="25"/>
      <c r="K107" s="24" t="str">
        <f>"180,0"</f>
        <v>180,0</v>
      </c>
      <c r="L107" s="26" t="str">
        <f>"111,0155"</f>
        <v>111,0155</v>
      </c>
      <c r="M107" s="24" t="s">
        <v>1024</v>
      </c>
    </row>
    <row r="108" spans="1:13" x14ac:dyDescent="0.2">
      <c r="A108" s="24" t="s">
        <v>1026</v>
      </c>
      <c r="B108" s="24" t="s">
        <v>1027</v>
      </c>
      <c r="C108" s="24" t="s">
        <v>1028</v>
      </c>
      <c r="D108" s="24" t="str">
        <f>"0,5698"</f>
        <v>0,5698</v>
      </c>
      <c r="E108" s="24" t="s">
        <v>18</v>
      </c>
      <c r="F108" s="24" t="s">
        <v>35</v>
      </c>
      <c r="G108" s="26" t="s">
        <v>36</v>
      </c>
      <c r="H108" s="26" t="s">
        <v>71</v>
      </c>
      <c r="I108" s="25" t="s">
        <v>594</v>
      </c>
      <c r="J108" s="25"/>
      <c r="K108" s="24" t="str">
        <f>"165,0"</f>
        <v>165,0</v>
      </c>
      <c r="L108" s="26" t="str">
        <f>"115,1708"</f>
        <v>115,1708</v>
      </c>
      <c r="M108" s="24" t="s">
        <v>190</v>
      </c>
    </row>
    <row r="109" spans="1:13" x14ac:dyDescent="0.2">
      <c r="A109" s="13" t="s">
        <v>1029</v>
      </c>
      <c r="B109" s="13" t="s">
        <v>1030</v>
      </c>
      <c r="C109" s="13" t="s">
        <v>1031</v>
      </c>
      <c r="D109" s="13" t="str">
        <f>"0,5828"</f>
        <v>0,5828</v>
      </c>
      <c r="E109" s="13" t="s">
        <v>34</v>
      </c>
      <c r="F109" s="13" t="s">
        <v>35</v>
      </c>
      <c r="G109" s="16" t="s">
        <v>257</v>
      </c>
      <c r="H109" s="14" t="s">
        <v>254</v>
      </c>
      <c r="I109" s="14"/>
      <c r="J109" s="14"/>
      <c r="K109" s="13" t="str">
        <f>"90,0"</f>
        <v>90,0</v>
      </c>
      <c r="L109" s="16" t="str">
        <f>"92,1057"</f>
        <v>92,1057</v>
      </c>
      <c r="M109" s="13" t="s">
        <v>190</v>
      </c>
    </row>
    <row r="111" spans="1:13" ht="15" x14ac:dyDescent="0.2">
      <c r="A111" s="50" t="s">
        <v>218</v>
      </c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</row>
    <row r="112" spans="1:13" x14ac:dyDescent="0.2">
      <c r="A112" s="10" t="s">
        <v>1033</v>
      </c>
      <c r="B112" s="10" t="s">
        <v>1034</v>
      </c>
      <c r="C112" s="10" t="s">
        <v>1035</v>
      </c>
      <c r="D112" s="10" t="str">
        <f>"0,5627"</f>
        <v>0,5627</v>
      </c>
      <c r="E112" s="10" t="s">
        <v>34</v>
      </c>
      <c r="F112" s="10" t="s">
        <v>910</v>
      </c>
      <c r="G112" s="11" t="s">
        <v>127</v>
      </c>
      <c r="H112" s="11" t="s">
        <v>42</v>
      </c>
      <c r="I112" s="12" t="s">
        <v>43</v>
      </c>
      <c r="J112" s="12"/>
      <c r="K112" s="10" t="str">
        <f>"205,0"</f>
        <v>205,0</v>
      </c>
      <c r="L112" s="11" t="str">
        <f>"115,3535"</f>
        <v>115,3535</v>
      </c>
      <c r="M112" s="10" t="s">
        <v>1036</v>
      </c>
    </row>
    <row r="113" spans="1:13" x14ac:dyDescent="0.2">
      <c r="A113" s="13" t="s">
        <v>1038</v>
      </c>
      <c r="B113" s="13" t="s">
        <v>1039</v>
      </c>
      <c r="C113" s="13" t="s">
        <v>1040</v>
      </c>
      <c r="D113" s="13" t="str">
        <f>"0,5605"</f>
        <v>0,5605</v>
      </c>
      <c r="E113" s="13" t="s">
        <v>34</v>
      </c>
      <c r="F113" s="13" t="s">
        <v>1041</v>
      </c>
      <c r="G113" s="16" t="s">
        <v>36</v>
      </c>
      <c r="H113" s="16" t="s">
        <v>37</v>
      </c>
      <c r="I113" s="14" t="s">
        <v>136</v>
      </c>
      <c r="J113" s="14"/>
      <c r="K113" s="13" t="str">
        <f>"170,0"</f>
        <v>170,0</v>
      </c>
      <c r="L113" s="16" t="str">
        <f>"104,5276"</f>
        <v>104,5276</v>
      </c>
      <c r="M113" s="13" t="s">
        <v>190</v>
      </c>
    </row>
    <row r="115" spans="1:13" ht="15" x14ac:dyDescent="0.2">
      <c r="E115" s="15" t="s">
        <v>74</v>
      </c>
    </row>
    <row r="116" spans="1:13" ht="15" x14ac:dyDescent="0.2">
      <c r="E116" s="15" t="s">
        <v>75</v>
      </c>
    </row>
    <row r="117" spans="1:13" ht="15" x14ac:dyDescent="0.2">
      <c r="E117" s="15" t="s">
        <v>76</v>
      </c>
    </row>
    <row r="118" spans="1:13" ht="15" x14ac:dyDescent="0.2">
      <c r="E118" s="15" t="s">
        <v>77</v>
      </c>
    </row>
    <row r="119" spans="1:13" ht="15" x14ac:dyDescent="0.2">
      <c r="E119" s="15" t="s">
        <v>77</v>
      </c>
    </row>
    <row r="120" spans="1:13" ht="15" x14ac:dyDescent="0.2">
      <c r="E120" s="15" t="s">
        <v>78</v>
      </c>
    </row>
    <row r="121" spans="1:13" ht="15" x14ac:dyDescent="0.2">
      <c r="E121" s="15"/>
    </row>
    <row r="123" spans="1:13" ht="18" x14ac:dyDescent="0.25">
      <c r="A123" s="17" t="s">
        <v>79</v>
      </c>
      <c r="B123" s="17"/>
    </row>
    <row r="124" spans="1:13" ht="15" x14ac:dyDescent="0.2">
      <c r="A124" s="18" t="s">
        <v>80</v>
      </c>
      <c r="B124" s="18"/>
    </row>
    <row r="125" spans="1:13" ht="14.25" x14ac:dyDescent="0.2">
      <c r="A125" s="20"/>
      <c r="B125" s="21" t="s">
        <v>1042</v>
      </c>
    </row>
    <row r="126" spans="1:13" ht="15" x14ac:dyDescent="0.2">
      <c r="A126" s="22" t="s">
        <v>82</v>
      </c>
      <c r="B126" s="22" t="s">
        <v>83</v>
      </c>
      <c r="C126" s="22" t="s">
        <v>84</v>
      </c>
      <c r="D126" s="22" t="s">
        <v>85</v>
      </c>
      <c r="E126" s="22" t="s">
        <v>86</v>
      </c>
    </row>
    <row r="127" spans="1:13" x14ac:dyDescent="0.2">
      <c r="A127" s="19" t="s">
        <v>754</v>
      </c>
      <c r="B127" s="4" t="s">
        <v>169</v>
      </c>
      <c r="C127" s="4" t="s">
        <v>318</v>
      </c>
      <c r="D127" s="4" t="s">
        <v>254</v>
      </c>
      <c r="E127" s="23" t="s">
        <v>1043</v>
      </c>
    </row>
    <row r="129" spans="1:5" ht="14.25" x14ac:dyDescent="0.2">
      <c r="A129" s="20"/>
      <c r="B129" s="21" t="s">
        <v>92</v>
      </c>
    </row>
    <row r="130" spans="1:5" ht="15" x14ac:dyDescent="0.2">
      <c r="A130" s="22" t="s">
        <v>82</v>
      </c>
      <c r="B130" s="22" t="s">
        <v>83</v>
      </c>
      <c r="C130" s="22" t="s">
        <v>84</v>
      </c>
      <c r="D130" s="22" t="s">
        <v>85</v>
      </c>
      <c r="E130" s="22" t="s">
        <v>86</v>
      </c>
    </row>
    <row r="131" spans="1:5" x14ac:dyDescent="0.2">
      <c r="A131" s="19" t="s">
        <v>754</v>
      </c>
      <c r="B131" s="4" t="s">
        <v>92</v>
      </c>
      <c r="C131" s="4" t="s">
        <v>318</v>
      </c>
      <c r="D131" s="4" t="s">
        <v>254</v>
      </c>
      <c r="E131" s="23" t="s">
        <v>1043</v>
      </c>
    </row>
    <row r="132" spans="1:5" x14ac:dyDescent="0.2">
      <c r="A132" s="19" t="s">
        <v>700</v>
      </c>
      <c r="B132" s="4" t="s">
        <v>92</v>
      </c>
      <c r="C132" s="4" t="s">
        <v>1044</v>
      </c>
      <c r="D132" s="4" t="s">
        <v>245</v>
      </c>
      <c r="E132" s="23" t="s">
        <v>1045</v>
      </c>
    </row>
    <row r="133" spans="1:5" x14ac:dyDescent="0.2">
      <c r="A133" s="19" t="s">
        <v>734</v>
      </c>
      <c r="B133" s="4" t="s">
        <v>92</v>
      </c>
      <c r="C133" s="4" t="s">
        <v>88</v>
      </c>
      <c r="D133" s="4" t="s">
        <v>24</v>
      </c>
      <c r="E133" s="23" t="s">
        <v>1046</v>
      </c>
    </row>
    <row r="134" spans="1:5" x14ac:dyDescent="0.2">
      <c r="A134" s="19" t="s">
        <v>739</v>
      </c>
      <c r="B134" s="4" t="s">
        <v>92</v>
      </c>
      <c r="C134" s="4" t="s">
        <v>88</v>
      </c>
      <c r="D134" s="4" t="s">
        <v>23</v>
      </c>
      <c r="E134" s="23" t="s">
        <v>1047</v>
      </c>
    </row>
    <row r="135" spans="1:5" x14ac:dyDescent="0.2">
      <c r="A135" s="19" t="s">
        <v>744</v>
      </c>
      <c r="B135" s="4" t="s">
        <v>92</v>
      </c>
      <c r="C135" s="4" t="s">
        <v>88</v>
      </c>
      <c r="D135" s="4" t="s">
        <v>267</v>
      </c>
      <c r="E135" s="23" t="s">
        <v>1048</v>
      </c>
    </row>
    <row r="136" spans="1:5" x14ac:dyDescent="0.2">
      <c r="A136" s="19" t="s">
        <v>705</v>
      </c>
      <c r="B136" s="4" t="s">
        <v>92</v>
      </c>
      <c r="C136" s="4" t="s">
        <v>1044</v>
      </c>
      <c r="D136" s="4" t="s">
        <v>256</v>
      </c>
      <c r="E136" s="23" t="s">
        <v>1049</v>
      </c>
    </row>
    <row r="137" spans="1:5" x14ac:dyDescent="0.2">
      <c r="A137" s="19" t="s">
        <v>718</v>
      </c>
      <c r="B137" s="4" t="s">
        <v>92</v>
      </c>
      <c r="C137" s="4" t="s">
        <v>1050</v>
      </c>
      <c r="D137" s="4" t="s">
        <v>275</v>
      </c>
      <c r="E137" s="23" t="s">
        <v>1051</v>
      </c>
    </row>
    <row r="138" spans="1:5" x14ac:dyDescent="0.2">
      <c r="A138" s="19" t="s">
        <v>709</v>
      </c>
      <c r="B138" s="4" t="s">
        <v>92</v>
      </c>
      <c r="C138" s="4" t="s">
        <v>1044</v>
      </c>
      <c r="D138" s="4" t="s">
        <v>255</v>
      </c>
      <c r="E138" s="23" t="s">
        <v>1052</v>
      </c>
    </row>
    <row r="139" spans="1:5" x14ac:dyDescent="0.2">
      <c r="A139" s="19" t="s">
        <v>765</v>
      </c>
      <c r="B139" s="4" t="s">
        <v>92</v>
      </c>
      <c r="C139" s="4" t="s">
        <v>93</v>
      </c>
      <c r="D139" s="4" t="s">
        <v>267</v>
      </c>
      <c r="E139" s="23" t="s">
        <v>1053</v>
      </c>
    </row>
    <row r="140" spans="1:5" x14ac:dyDescent="0.2">
      <c r="A140" s="19" t="s">
        <v>723</v>
      </c>
      <c r="B140" s="4" t="s">
        <v>92</v>
      </c>
      <c r="C140" s="4" t="s">
        <v>313</v>
      </c>
      <c r="D140" s="4" t="s">
        <v>727</v>
      </c>
      <c r="E140" s="23" t="s">
        <v>1054</v>
      </c>
    </row>
    <row r="142" spans="1:5" ht="14.25" x14ac:dyDescent="0.2">
      <c r="A142" s="20"/>
      <c r="B142" s="21" t="s">
        <v>81</v>
      </c>
    </row>
    <row r="143" spans="1:5" ht="15" x14ac:dyDescent="0.2">
      <c r="A143" s="22" t="s">
        <v>82</v>
      </c>
      <c r="B143" s="22" t="s">
        <v>83</v>
      </c>
      <c r="C143" s="22" t="s">
        <v>84</v>
      </c>
      <c r="D143" s="22" t="s">
        <v>85</v>
      </c>
      <c r="E143" s="22" t="s">
        <v>86</v>
      </c>
    </row>
    <row r="144" spans="1:5" x14ac:dyDescent="0.2">
      <c r="A144" s="19" t="s">
        <v>749</v>
      </c>
      <c r="B144" s="4" t="s">
        <v>87</v>
      </c>
      <c r="C144" s="4" t="s">
        <v>88</v>
      </c>
      <c r="D144" s="4" t="s">
        <v>267</v>
      </c>
      <c r="E144" s="23" t="s">
        <v>1055</v>
      </c>
    </row>
    <row r="145" spans="1:5" x14ac:dyDescent="0.2">
      <c r="A145" s="19" t="s">
        <v>712</v>
      </c>
      <c r="B145" s="4" t="s">
        <v>87</v>
      </c>
      <c r="C145" s="4" t="s">
        <v>1044</v>
      </c>
      <c r="D145" s="4" t="s">
        <v>339</v>
      </c>
      <c r="E145" s="23" t="s">
        <v>1056</v>
      </c>
    </row>
    <row r="146" spans="1:5" x14ac:dyDescent="0.2">
      <c r="A146" s="19" t="s">
        <v>760</v>
      </c>
      <c r="B146" s="4" t="s">
        <v>87</v>
      </c>
      <c r="C146" s="4" t="s">
        <v>414</v>
      </c>
      <c r="D146" s="4" t="s">
        <v>266</v>
      </c>
      <c r="E146" s="23" t="s">
        <v>1057</v>
      </c>
    </row>
    <row r="149" spans="1:5" ht="15" x14ac:dyDescent="0.2">
      <c r="A149" s="18" t="s">
        <v>91</v>
      </c>
      <c r="B149" s="18"/>
    </row>
    <row r="150" spans="1:5" ht="14.25" x14ac:dyDescent="0.2">
      <c r="A150" s="20"/>
      <c r="B150" s="21" t="s">
        <v>422</v>
      </c>
    </row>
    <row r="151" spans="1:5" ht="15" x14ac:dyDescent="0.2">
      <c r="A151" s="22" t="s">
        <v>82</v>
      </c>
      <c r="B151" s="22" t="s">
        <v>83</v>
      </c>
      <c r="C151" s="22" t="s">
        <v>84</v>
      </c>
      <c r="D151" s="22" t="s">
        <v>85</v>
      </c>
      <c r="E151" s="22" t="s">
        <v>86</v>
      </c>
    </row>
    <row r="152" spans="1:5" x14ac:dyDescent="0.2">
      <c r="A152" s="19" t="s">
        <v>788</v>
      </c>
      <c r="B152" s="4" t="s">
        <v>423</v>
      </c>
      <c r="C152" s="4" t="s">
        <v>414</v>
      </c>
      <c r="D152" s="4" t="s">
        <v>792</v>
      </c>
      <c r="E152" s="23" t="s">
        <v>1058</v>
      </c>
    </row>
    <row r="153" spans="1:5" x14ac:dyDescent="0.2">
      <c r="A153" s="19" t="s">
        <v>362</v>
      </c>
      <c r="B153" s="4" t="s">
        <v>423</v>
      </c>
      <c r="C153" s="4" t="s">
        <v>414</v>
      </c>
      <c r="D153" s="4" t="s">
        <v>265</v>
      </c>
      <c r="E153" s="23" t="s">
        <v>1059</v>
      </c>
    </row>
    <row r="154" spans="1:5" x14ac:dyDescent="0.2">
      <c r="A154" s="19" t="s">
        <v>794</v>
      </c>
      <c r="B154" s="4" t="s">
        <v>423</v>
      </c>
      <c r="C154" s="4" t="s">
        <v>414</v>
      </c>
      <c r="D154" s="4" t="s">
        <v>254</v>
      </c>
      <c r="E154" s="23" t="s">
        <v>1060</v>
      </c>
    </row>
    <row r="155" spans="1:5" x14ac:dyDescent="0.2">
      <c r="A155" s="19" t="s">
        <v>955</v>
      </c>
      <c r="B155" s="4" t="s">
        <v>423</v>
      </c>
      <c r="C155" s="4" t="s">
        <v>96</v>
      </c>
      <c r="D155" s="4" t="s">
        <v>347</v>
      </c>
      <c r="E155" s="23" t="s">
        <v>1061</v>
      </c>
    </row>
    <row r="157" spans="1:5" ht="14.25" x14ac:dyDescent="0.2">
      <c r="A157" s="20"/>
      <c r="B157" s="21" t="s">
        <v>168</v>
      </c>
    </row>
    <row r="158" spans="1:5" ht="15" x14ac:dyDescent="0.2">
      <c r="A158" s="22" t="s">
        <v>82</v>
      </c>
      <c r="B158" s="22" t="s">
        <v>83</v>
      </c>
      <c r="C158" s="22" t="s">
        <v>84</v>
      </c>
      <c r="D158" s="22" t="s">
        <v>85</v>
      </c>
      <c r="E158" s="22" t="s">
        <v>86</v>
      </c>
    </row>
    <row r="159" spans="1:5" x14ac:dyDescent="0.2">
      <c r="A159" s="19" t="s">
        <v>774</v>
      </c>
      <c r="B159" s="4" t="s">
        <v>169</v>
      </c>
      <c r="C159" s="4" t="s">
        <v>318</v>
      </c>
      <c r="D159" s="4" t="s">
        <v>257</v>
      </c>
      <c r="E159" s="23" t="s">
        <v>1062</v>
      </c>
    </row>
    <row r="161" spans="1:5" ht="14.25" x14ac:dyDescent="0.2">
      <c r="A161" s="20"/>
      <c r="B161" s="21" t="s">
        <v>92</v>
      </c>
    </row>
    <row r="162" spans="1:5" ht="15" x14ac:dyDescent="0.2">
      <c r="A162" s="22" t="s">
        <v>82</v>
      </c>
      <c r="B162" s="22" t="s">
        <v>83</v>
      </c>
      <c r="C162" s="22" t="s">
        <v>84</v>
      </c>
      <c r="D162" s="22" t="s">
        <v>85</v>
      </c>
      <c r="E162" s="22" t="s">
        <v>86</v>
      </c>
    </row>
    <row r="163" spans="1:5" x14ac:dyDescent="0.2">
      <c r="A163" s="19" t="s">
        <v>863</v>
      </c>
      <c r="B163" s="4" t="s">
        <v>92</v>
      </c>
      <c r="C163" s="4" t="s">
        <v>93</v>
      </c>
      <c r="D163" s="4" t="s">
        <v>41</v>
      </c>
      <c r="E163" s="23" t="s">
        <v>1063</v>
      </c>
    </row>
    <row r="164" spans="1:5" x14ac:dyDescent="0.2">
      <c r="A164" s="19" t="s">
        <v>769</v>
      </c>
      <c r="B164" s="4" t="s">
        <v>92</v>
      </c>
      <c r="C164" s="4" t="s">
        <v>88</v>
      </c>
      <c r="D164" s="4" t="s">
        <v>128</v>
      </c>
      <c r="E164" s="23" t="s">
        <v>1064</v>
      </c>
    </row>
    <row r="165" spans="1:5" x14ac:dyDescent="0.2">
      <c r="A165" s="19" t="s">
        <v>830</v>
      </c>
      <c r="B165" s="4" t="s">
        <v>92</v>
      </c>
      <c r="C165" s="4" t="s">
        <v>99</v>
      </c>
      <c r="D165" s="4" t="s">
        <v>309</v>
      </c>
      <c r="E165" s="23" t="s">
        <v>1065</v>
      </c>
    </row>
    <row r="166" spans="1:5" x14ac:dyDescent="0.2">
      <c r="A166" s="19" t="s">
        <v>1032</v>
      </c>
      <c r="B166" s="4" t="s">
        <v>92</v>
      </c>
      <c r="C166" s="4" t="s">
        <v>226</v>
      </c>
      <c r="D166" s="4" t="s">
        <v>42</v>
      </c>
      <c r="E166" s="23" t="s">
        <v>1066</v>
      </c>
    </row>
    <row r="167" spans="1:5" x14ac:dyDescent="0.2">
      <c r="A167" s="19" t="s">
        <v>835</v>
      </c>
      <c r="B167" s="4" t="s">
        <v>92</v>
      </c>
      <c r="C167" s="4" t="s">
        <v>99</v>
      </c>
      <c r="D167" s="4" t="s">
        <v>71</v>
      </c>
      <c r="E167" s="23" t="s">
        <v>1067</v>
      </c>
    </row>
    <row r="168" spans="1:5" x14ac:dyDescent="0.2">
      <c r="A168" s="19" t="s">
        <v>1013</v>
      </c>
      <c r="B168" s="4" t="s">
        <v>92</v>
      </c>
      <c r="C168" s="4" t="s">
        <v>181</v>
      </c>
      <c r="D168" s="4" t="s">
        <v>41</v>
      </c>
      <c r="E168" s="23" t="s">
        <v>1068</v>
      </c>
    </row>
    <row r="169" spans="1:5" x14ac:dyDescent="0.2">
      <c r="A169" s="19" t="s">
        <v>868</v>
      </c>
      <c r="B169" s="4" t="s">
        <v>92</v>
      </c>
      <c r="C169" s="4" t="s">
        <v>93</v>
      </c>
      <c r="D169" s="4" t="s">
        <v>37</v>
      </c>
      <c r="E169" s="23" t="s">
        <v>1069</v>
      </c>
    </row>
    <row r="170" spans="1:5" x14ac:dyDescent="0.2">
      <c r="A170" s="19" t="s">
        <v>802</v>
      </c>
      <c r="B170" s="4" t="s">
        <v>92</v>
      </c>
      <c r="C170" s="4" t="s">
        <v>414</v>
      </c>
      <c r="D170" s="4" t="s">
        <v>145</v>
      </c>
      <c r="E170" s="23" t="s">
        <v>1070</v>
      </c>
    </row>
    <row r="171" spans="1:5" x14ac:dyDescent="0.2">
      <c r="A171" s="19" t="s">
        <v>872</v>
      </c>
      <c r="B171" s="4" t="s">
        <v>92</v>
      </c>
      <c r="C171" s="4" t="s">
        <v>93</v>
      </c>
      <c r="D171" s="4" t="s">
        <v>594</v>
      </c>
      <c r="E171" s="23" t="s">
        <v>1071</v>
      </c>
    </row>
    <row r="172" spans="1:5" x14ac:dyDescent="0.2">
      <c r="A172" s="19" t="s">
        <v>396</v>
      </c>
      <c r="B172" s="4" t="s">
        <v>92</v>
      </c>
      <c r="C172" s="4" t="s">
        <v>170</v>
      </c>
      <c r="D172" s="4" t="s">
        <v>108</v>
      </c>
      <c r="E172" s="23" t="s">
        <v>1072</v>
      </c>
    </row>
    <row r="173" spans="1:5" x14ac:dyDescent="0.2">
      <c r="A173" s="19" t="s">
        <v>960</v>
      </c>
      <c r="B173" s="4" t="s">
        <v>92</v>
      </c>
      <c r="C173" s="4" t="s">
        <v>96</v>
      </c>
      <c r="D173" s="4" t="s">
        <v>964</v>
      </c>
      <c r="E173" s="23" t="s">
        <v>1073</v>
      </c>
    </row>
    <row r="174" spans="1:5" x14ac:dyDescent="0.2">
      <c r="A174" s="19" t="s">
        <v>966</v>
      </c>
      <c r="B174" s="4" t="s">
        <v>92</v>
      </c>
      <c r="C174" s="4" t="s">
        <v>96</v>
      </c>
      <c r="D174" s="4" t="s">
        <v>108</v>
      </c>
      <c r="E174" s="23" t="s">
        <v>1074</v>
      </c>
    </row>
    <row r="175" spans="1:5" x14ac:dyDescent="0.2">
      <c r="A175" s="19" t="s">
        <v>876</v>
      </c>
      <c r="B175" s="4" t="s">
        <v>92</v>
      </c>
      <c r="C175" s="4" t="s">
        <v>93</v>
      </c>
      <c r="D175" s="4" t="s">
        <v>243</v>
      </c>
      <c r="E175" s="23" t="s">
        <v>1075</v>
      </c>
    </row>
    <row r="176" spans="1:5" x14ac:dyDescent="0.2">
      <c r="A176" s="19" t="s">
        <v>299</v>
      </c>
      <c r="B176" s="4" t="s">
        <v>92</v>
      </c>
      <c r="C176" s="4" t="s">
        <v>170</v>
      </c>
      <c r="D176" s="4" t="s">
        <v>71</v>
      </c>
      <c r="E176" s="23" t="s">
        <v>1076</v>
      </c>
    </row>
    <row r="177" spans="1:5" x14ac:dyDescent="0.2">
      <c r="A177" s="19" t="s">
        <v>807</v>
      </c>
      <c r="B177" s="4" t="s">
        <v>92</v>
      </c>
      <c r="C177" s="4" t="s">
        <v>414</v>
      </c>
      <c r="D177" s="4" t="s">
        <v>811</v>
      </c>
      <c r="E177" s="23" t="s">
        <v>1077</v>
      </c>
    </row>
    <row r="178" spans="1:5" x14ac:dyDescent="0.2">
      <c r="A178" s="19" t="s">
        <v>840</v>
      </c>
      <c r="B178" s="4" t="s">
        <v>92</v>
      </c>
      <c r="C178" s="4" t="s">
        <v>99</v>
      </c>
      <c r="D178" s="4" t="s">
        <v>27</v>
      </c>
      <c r="E178" s="23" t="s">
        <v>1078</v>
      </c>
    </row>
    <row r="179" spans="1:5" x14ac:dyDescent="0.2">
      <c r="A179" s="19" t="s">
        <v>879</v>
      </c>
      <c r="B179" s="4" t="s">
        <v>92</v>
      </c>
      <c r="C179" s="4" t="s">
        <v>93</v>
      </c>
      <c r="D179" s="4" t="s">
        <v>54</v>
      </c>
      <c r="E179" s="23" t="s">
        <v>1079</v>
      </c>
    </row>
    <row r="180" spans="1:5" x14ac:dyDescent="0.2">
      <c r="A180" s="19" t="s">
        <v>813</v>
      </c>
      <c r="B180" s="4" t="s">
        <v>92</v>
      </c>
      <c r="C180" s="4" t="s">
        <v>414</v>
      </c>
      <c r="D180" s="4" t="s">
        <v>25</v>
      </c>
      <c r="E180" s="23" t="s">
        <v>1080</v>
      </c>
    </row>
    <row r="181" spans="1:5" x14ac:dyDescent="0.2">
      <c r="A181" s="19" t="s">
        <v>906</v>
      </c>
      <c r="B181" s="4" t="s">
        <v>92</v>
      </c>
      <c r="C181" s="4" t="s">
        <v>170</v>
      </c>
      <c r="D181" s="4" t="s">
        <v>27</v>
      </c>
      <c r="E181" s="23" t="s">
        <v>1081</v>
      </c>
    </row>
    <row r="182" spans="1:5" x14ac:dyDescent="0.2">
      <c r="A182" s="19" t="s">
        <v>971</v>
      </c>
      <c r="B182" s="4" t="s">
        <v>92</v>
      </c>
      <c r="C182" s="4" t="s">
        <v>96</v>
      </c>
      <c r="D182" s="4" t="s">
        <v>54</v>
      </c>
      <c r="E182" s="23" t="s">
        <v>1082</v>
      </c>
    </row>
    <row r="183" spans="1:5" x14ac:dyDescent="0.2">
      <c r="A183" s="19" t="s">
        <v>911</v>
      </c>
      <c r="B183" s="4" t="s">
        <v>92</v>
      </c>
      <c r="C183" s="4" t="s">
        <v>170</v>
      </c>
      <c r="D183" s="4" t="s">
        <v>27</v>
      </c>
      <c r="E183" s="23" t="s">
        <v>1083</v>
      </c>
    </row>
    <row r="184" spans="1:5" x14ac:dyDescent="0.2">
      <c r="A184" s="19" t="s">
        <v>844</v>
      </c>
      <c r="B184" s="4" t="s">
        <v>92</v>
      </c>
      <c r="C184" s="4" t="s">
        <v>99</v>
      </c>
      <c r="D184" s="4" t="s">
        <v>25</v>
      </c>
      <c r="E184" s="23" t="s">
        <v>1084</v>
      </c>
    </row>
    <row r="185" spans="1:5" x14ac:dyDescent="0.2">
      <c r="A185" s="19" t="s">
        <v>818</v>
      </c>
      <c r="B185" s="4" t="s">
        <v>92</v>
      </c>
      <c r="C185" s="4" t="s">
        <v>414</v>
      </c>
      <c r="D185" s="4" t="s">
        <v>38</v>
      </c>
      <c r="E185" s="23" t="s">
        <v>1085</v>
      </c>
    </row>
    <row r="187" spans="1:5" ht="14.25" x14ac:dyDescent="0.2">
      <c r="A187" s="20"/>
      <c r="B187" s="21" t="s">
        <v>81</v>
      </c>
    </row>
    <row r="188" spans="1:5" ht="15" x14ac:dyDescent="0.2">
      <c r="A188" s="22" t="s">
        <v>82</v>
      </c>
      <c r="B188" s="22" t="s">
        <v>83</v>
      </c>
      <c r="C188" s="22" t="s">
        <v>84</v>
      </c>
      <c r="D188" s="22" t="s">
        <v>85</v>
      </c>
      <c r="E188" s="22" t="s">
        <v>86</v>
      </c>
    </row>
    <row r="189" spans="1:5" x14ac:dyDescent="0.2">
      <c r="A189" s="19" t="s">
        <v>949</v>
      </c>
      <c r="B189" s="4" t="s">
        <v>647</v>
      </c>
      <c r="C189" s="4" t="s">
        <v>170</v>
      </c>
      <c r="D189" s="4" t="s">
        <v>25</v>
      </c>
      <c r="E189" s="23" t="s">
        <v>1086</v>
      </c>
    </row>
    <row r="190" spans="1:5" x14ac:dyDescent="0.2">
      <c r="A190" s="19" t="s">
        <v>900</v>
      </c>
      <c r="B190" s="4" t="s">
        <v>1087</v>
      </c>
      <c r="C190" s="4" t="s">
        <v>93</v>
      </c>
      <c r="D190" s="4" t="s">
        <v>128</v>
      </c>
      <c r="E190" s="23" t="s">
        <v>1088</v>
      </c>
    </row>
    <row r="191" spans="1:5" x14ac:dyDescent="0.2">
      <c r="A191" s="19" t="s">
        <v>1010</v>
      </c>
      <c r="B191" s="4" t="s">
        <v>1087</v>
      </c>
      <c r="C191" s="4" t="s">
        <v>96</v>
      </c>
      <c r="D191" s="4" t="s">
        <v>26</v>
      </c>
      <c r="E191" s="23" t="s">
        <v>1089</v>
      </c>
    </row>
    <row r="192" spans="1:5" x14ac:dyDescent="0.2">
      <c r="A192" s="19" t="s">
        <v>987</v>
      </c>
      <c r="B192" s="4" t="s">
        <v>620</v>
      </c>
      <c r="C192" s="4" t="s">
        <v>96</v>
      </c>
      <c r="D192" s="4" t="s">
        <v>36</v>
      </c>
      <c r="E192" s="23" t="s">
        <v>1090</v>
      </c>
    </row>
    <row r="193" spans="1:5" x14ac:dyDescent="0.2">
      <c r="A193" s="19" t="s">
        <v>891</v>
      </c>
      <c r="B193" s="4" t="s">
        <v>420</v>
      </c>
      <c r="C193" s="4" t="s">
        <v>93</v>
      </c>
      <c r="D193" s="4" t="s">
        <v>26</v>
      </c>
      <c r="E193" s="23" t="s">
        <v>1091</v>
      </c>
    </row>
    <row r="194" spans="1:5" x14ac:dyDescent="0.2">
      <c r="A194" s="19" t="s">
        <v>933</v>
      </c>
      <c r="B194" s="4" t="s">
        <v>620</v>
      </c>
      <c r="C194" s="4" t="s">
        <v>170</v>
      </c>
      <c r="D194" s="4" t="s">
        <v>594</v>
      </c>
      <c r="E194" s="23" t="s">
        <v>1092</v>
      </c>
    </row>
    <row r="195" spans="1:5" x14ac:dyDescent="0.2">
      <c r="A195" s="19" t="s">
        <v>916</v>
      </c>
      <c r="B195" s="4" t="s">
        <v>87</v>
      </c>
      <c r="C195" s="4" t="s">
        <v>170</v>
      </c>
      <c r="D195" s="4" t="s">
        <v>539</v>
      </c>
      <c r="E195" s="23" t="s">
        <v>1093</v>
      </c>
    </row>
    <row r="196" spans="1:5" x14ac:dyDescent="0.2">
      <c r="A196" s="19" t="s">
        <v>1025</v>
      </c>
      <c r="B196" s="4" t="s">
        <v>420</v>
      </c>
      <c r="C196" s="4" t="s">
        <v>181</v>
      </c>
      <c r="D196" s="4" t="s">
        <v>71</v>
      </c>
      <c r="E196" s="23" t="s">
        <v>1094</v>
      </c>
    </row>
    <row r="197" spans="1:5" x14ac:dyDescent="0.2">
      <c r="A197" s="19" t="s">
        <v>978</v>
      </c>
      <c r="B197" s="4" t="s">
        <v>87</v>
      </c>
      <c r="C197" s="4" t="s">
        <v>96</v>
      </c>
      <c r="D197" s="4" t="s">
        <v>964</v>
      </c>
      <c r="E197" s="23" t="s">
        <v>1095</v>
      </c>
    </row>
    <row r="198" spans="1:5" x14ac:dyDescent="0.2">
      <c r="A198" s="19" t="s">
        <v>1020</v>
      </c>
      <c r="B198" s="4" t="s">
        <v>644</v>
      </c>
      <c r="C198" s="4" t="s">
        <v>181</v>
      </c>
      <c r="D198" s="4" t="s">
        <v>136</v>
      </c>
      <c r="E198" s="23" t="s">
        <v>1096</v>
      </c>
    </row>
    <row r="199" spans="1:5" x14ac:dyDescent="0.2">
      <c r="A199" s="19" t="s">
        <v>924</v>
      </c>
      <c r="B199" s="4" t="s">
        <v>644</v>
      </c>
      <c r="C199" s="4" t="s">
        <v>170</v>
      </c>
      <c r="D199" s="4" t="s">
        <v>243</v>
      </c>
      <c r="E199" s="23" t="s">
        <v>1097</v>
      </c>
    </row>
    <row r="200" spans="1:5" x14ac:dyDescent="0.2">
      <c r="A200" s="19" t="s">
        <v>997</v>
      </c>
      <c r="B200" s="4" t="s">
        <v>420</v>
      </c>
      <c r="C200" s="4" t="s">
        <v>96</v>
      </c>
      <c r="D200" s="4" t="s">
        <v>145</v>
      </c>
      <c r="E200" s="23" t="s">
        <v>1098</v>
      </c>
    </row>
    <row r="201" spans="1:5" x14ac:dyDescent="0.2">
      <c r="A201" s="19" t="s">
        <v>992</v>
      </c>
      <c r="B201" s="4" t="s">
        <v>620</v>
      </c>
      <c r="C201" s="4" t="s">
        <v>96</v>
      </c>
      <c r="D201" s="4" t="s">
        <v>54</v>
      </c>
      <c r="E201" s="23" t="s">
        <v>1099</v>
      </c>
    </row>
    <row r="202" spans="1:5" x14ac:dyDescent="0.2">
      <c r="A202" s="19" t="s">
        <v>883</v>
      </c>
      <c r="B202" s="4" t="s">
        <v>644</v>
      </c>
      <c r="C202" s="4" t="s">
        <v>93</v>
      </c>
      <c r="D202" s="4" t="s">
        <v>27</v>
      </c>
      <c r="E202" s="23" t="s">
        <v>1100</v>
      </c>
    </row>
    <row r="203" spans="1:5" x14ac:dyDescent="0.2">
      <c r="A203" s="19" t="s">
        <v>974</v>
      </c>
      <c r="B203" s="4" t="s">
        <v>87</v>
      </c>
      <c r="C203" s="4" t="s">
        <v>96</v>
      </c>
      <c r="D203" s="4" t="s">
        <v>136</v>
      </c>
      <c r="E203" s="23" t="s">
        <v>1101</v>
      </c>
    </row>
    <row r="204" spans="1:5" x14ac:dyDescent="0.2">
      <c r="A204" s="19" t="s">
        <v>1037</v>
      </c>
      <c r="B204" s="4" t="s">
        <v>644</v>
      </c>
      <c r="C204" s="4" t="s">
        <v>226</v>
      </c>
      <c r="D204" s="4" t="s">
        <v>37</v>
      </c>
      <c r="E204" s="23" t="s">
        <v>1102</v>
      </c>
    </row>
    <row r="205" spans="1:5" x14ac:dyDescent="0.2">
      <c r="A205" s="19" t="s">
        <v>827</v>
      </c>
      <c r="B205" s="4" t="s">
        <v>644</v>
      </c>
      <c r="C205" s="4" t="s">
        <v>414</v>
      </c>
      <c r="D205" s="4" t="s">
        <v>289</v>
      </c>
      <c r="E205" s="23" t="s">
        <v>1103</v>
      </c>
    </row>
    <row r="206" spans="1:5" x14ac:dyDescent="0.2">
      <c r="A206" s="19" t="s">
        <v>1005</v>
      </c>
      <c r="B206" s="4" t="s">
        <v>656</v>
      </c>
      <c r="C206" s="4" t="s">
        <v>96</v>
      </c>
      <c r="D206" s="4" t="s">
        <v>22</v>
      </c>
      <c r="E206" s="23" t="s">
        <v>1104</v>
      </c>
    </row>
    <row r="207" spans="1:5" x14ac:dyDescent="0.2">
      <c r="A207" s="19" t="s">
        <v>822</v>
      </c>
      <c r="B207" s="4" t="s">
        <v>87</v>
      </c>
      <c r="C207" s="4" t="s">
        <v>414</v>
      </c>
      <c r="D207" s="4" t="s">
        <v>26</v>
      </c>
      <c r="E207" s="23" t="s">
        <v>1105</v>
      </c>
    </row>
    <row r="208" spans="1:5" x14ac:dyDescent="0.2">
      <c r="A208" s="19" t="s">
        <v>939</v>
      </c>
      <c r="B208" s="4" t="s">
        <v>620</v>
      </c>
      <c r="C208" s="4" t="s">
        <v>170</v>
      </c>
      <c r="D208" s="4" t="s">
        <v>118</v>
      </c>
      <c r="E208" s="23" t="s">
        <v>1106</v>
      </c>
    </row>
    <row r="209" spans="1:5" x14ac:dyDescent="0.2">
      <c r="A209" s="19" t="s">
        <v>1001</v>
      </c>
      <c r="B209" s="4" t="s">
        <v>420</v>
      </c>
      <c r="C209" s="4" t="s">
        <v>96</v>
      </c>
      <c r="D209" s="4" t="s">
        <v>128</v>
      </c>
      <c r="E209" s="23" t="s">
        <v>1107</v>
      </c>
    </row>
    <row r="210" spans="1:5" x14ac:dyDescent="0.2">
      <c r="A210" s="19" t="s">
        <v>895</v>
      </c>
      <c r="B210" s="4" t="s">
        <v>656</v>
      </c>
      <c r="C210" s="4" t="s">
        <v>93</v>
      </c>
      <c r="D210" s="4" t="s">
        <v>38</v>
      </c>
      <c r="E210" s="23" t="s">
        <v>1108</v>
      </c>
    </row>
    <row r="211" spans="1:5" x14ac:dyDescent="0.2">
      <c r="A211" s="19" t="s">
        <v>1017</v>
      </c>
      <c r="B211" s="4" t="s">
        <v>87</v>
      </c>
      <c r="C211" s="4" t="s">
        <v>181</v>
      </c>
      <c r="D211" s="4" t="s">
        <v>37</v>
      </c>
      <c r="E211" s="23" t="s">
        <v>1109</v>
      </c>
    </row>
    <row r="212" spans="1:5" x14ac:dyDescent="0.2">
      <c r="A212" s="19" t="s">
        <v>858</v>
      </c>
      <c r="B212" s="4" t="s">
        <v>647</v>
      </c>
      <c r="C212" s="4" t="s">
        <v>99</v>
      </c>
      <c r="D212" s="4" t="s">
        <v>447</v>
      </c>
      <c r="E212" s="23" t="s">
        <v>1110</v>
      </c>
    </row>
  </sheetData>
  <mergeCells count="27">
    <mergeCell ref="A111:L111"/>
    <mergeCell ref="A42:L42"/>
    <mergeCell ref="A54:L54"/>
    <mergeCell ref="A63:L63"/>
    <mergeCell ref="A75:L75"/>
    <mergeCell ref="A89:L89"/>
    <mergeCell ref="A104:L104"/>
    <mergeCell ref="A37:L37"/>
    <mergeCell ref="K3:K4"/>
    <mergeCell ref="L3:L4"/>
    <mergeCell ref="M3:M4"/>
    <mergeCell ref="A5:L5"/>
    <mergeCell ref="A11:L11"/>
    <mergeCell ref="A14:L14"/>
    <mergeCell ref="A18:L18"/>
    <mergeCell ref="A24:L24"/>
    <mergeCell ref="A28:L28"/>
    <mergeCell ref="A31:L31"/>
    <mergeCell ref="A34:L3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5.42578125" style="4" bestFit="1" customWidth="1"/>
    <col min="14" max="16384" width="9.140625" style="3"/>
  </cols>
  <sheetData>
    <row r="1" spans="1:13" s="2" customFormat="1" ht="29.1" customHeight="1" x14ac:dyDescent="0.2">
      <c r="A1" s="51" t="s">
        <v>1356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11</v>
      </c>
      <c r="H3" s="61"/>
      <c r="I3" s="61"/>
      <c r="J3" s="61"/>
      <c r="K3" s="61" t="s">
        <v>442</v>
      </c>
      <c r="L3" s="61" t="s">
        <v>3</v>
      </c>
      <c r="M3" s="62" t="s">
        <v>2</v>
      </c>
    </row>
    <row r="4" spans="1:13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60"/>
      <c r="L4" s="60"/>
      <c r="M4" s="63"/>
    </row>
    <row r="5" spans="1:13" ht="15" x14ac:dyDescent="0.2">
      <c r="A5" s="64" t="s">
        <v>121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x14ac:dyDescent="0.2">
      <c r="A6" s="7" t="s">
        <v>205</v>
      </c>
      <c r="B6" s="7" t="s">
        <v>206</v>
      </c>
      <c r="C6" s="7" t="s">
        <v>207</v>
      </c>
      <c r="D6" s="7" t="str">
        <f>"0,6086"</f>
        <v>0,6086</v>
      </c>
      <c r="E6" s="7" t="s">
        <v>34</v>
      </c>
      <c r="F6" s="7" t="s">
        <v>203</v>
      </c>
      <c r="G6" s="8" t="s">
        <v>36</v>
      </c>
      <c r="H6" s="9" t="s">
        <v>127</v>
      </c>
      <c r="I6" s="8" t="s">
        <v>127</v>
      </c>
      <c r="J6" s="9"/>
      <c r="K6" s="7" t="str">
        <f>"200,0"</f>
        <v>200,0</v>
      </c>
      <c r="L6" s="8" t="str">
        <f>"121,7200"</f>
        <v>121,7200</v>
      </c>
      <c r="M6" s="7" t="s">
        <v>140</v>
      </c>
    </row>
    <row r="8" spans="1:13" ht="15" x14ac:dyDescent="0.2">
      <c r="A8" s="50" t="s">
        <v>64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3" x14ac:dyDescent="0.2">
      <c r="A9" s="7" t="s">
        <v>690</v>
      </c>
      <c r="B9" s="7" t="s">
        <v>691</v>
      </c>
      <c r="C9" s="7" t="s">
        <v>692</v>
      </c>
      <c r="D9" s="7" t="str">
        <f>"0,5893"</f>
        <v>0,5893</v>
      </c>
      <c r="E9" s="7" t="s">
        <v>34</v>
      </c>
      <c r="F9" s="7" t="s">
        <v>61</v>
      </c>
      <c r="G9" s="8" t="s">
        <v>55</v>
      </c>
      <c r="H9" s="9" t="s">
        <v>51</v>
      </c>
      <c r="I9" s="9" t="s">
        <v>51</v>
      </c>
      <c r="J9" s="9"/>
      <c r="K9" s="7" t="str">
        <f>"250,0"</f>
        <v>250,0</v>
      </c>
      <c r="L9" s="8" t="str">
        <f>"147,3250"</f>
        <v>147,3250</v>
      </c>
      <c r="M9" s="7" t="s">
        <v>693</v>
      </c>
    </row>
    <row r="11" spans="1:13" ht="15" x14ac:dyDescent="0.2">
      <c r="A11" s="50" t="s">
        <v>161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3" x14ac:dyDescent="0.2">
      <c r="A12" s="7" t="s">
        <v>694</v>
      </c>
      <c r="B12" s="7" t="s">
        <v>215</v>
      </c>
      <c r="C12" s="7" t="s">
        <v>216</v>
      </c>
      <c r="D12" s="7" t="str">
        <f>"0,5864"</f>
        <v>0,5864</v>
      </c>
      <c r="E12" s="7" t="s">
        <v>34</v>
      </c>
      <c r="F12" s="7" t="s">
        <v>203</v>
      </c>
      <c r="G12" s="8" t="s">
        <v>36</v>
      </c>
      <c r="H12" s="8" t="s">
        <v>136</v>
      </c>
      <c r="I12" s="8" t="s">
        <v>217</v>
      </c>
      <c r="J12" s="9"/>
      <c r="K12" s="7" t="str">
        <f>"195,0"</f>
        <v>195,0</v>
      </c>
      <c r="L12" s="8" t="str">
        <f>"114,3480"</f>
        <v>114,3480</v>
      </c>
      <c r="M12" s="7" t="s">
        <v>140</v>
      </c>
    </row>
    <row r="14" spans="1:13" ht="15" x14ac:dyDescent="0.2">
      <c r="A14" s="50" t="s">
        <v>218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3" x14ac:dyDescent="0.2">
      <c r="A15" s="7" t="s">
        <v>220</v>
      </c>
      <c r="B15" s="7" t="s">
        <v>221</v>
      </c>
      <c r="C15" s="7" t="s">
        <v>222</v>
      </c>
      <c r="D15" s="7" t="str">
        <f>"0,5624"</f>
        <v>0,5624</v>
      </c>
      <c r="E15" s="7" t="s">
        <v>34</v>
      </c>
      <c r="F15" s="7" t="s">
        <v>203</v>
      </c>
      <c r="G15" s="8" t="s">
        <v>138</v>
      </c>
      <c r="H15" s="9" t="s">
        <v>225</v>
      </c>
      <c r="I15" s="9"/>
      <c r="J15" s="9"/>
      <c r="K15" s="7" t="str">
        <f>"330,0"</f>
        <v>330,0</v>
      </c>
      <c r="L15" s="8" t="str">
        <f>"185,5920"</f>
        <v>185,5920</v>
      </c>
      <c r="M15" s="7" t="s">
        <v>140</v>
      </c>
    </row>
    <row r="17" spans="1:5" ht="15" x14ac:dyDescent="0.2">
      <c r="E17" s="15" t="s">
        <v>74</v>
      </c>
    </row>
    <row r="18" spans="1:5" ht="15" x14ac:dyDescent="0.2">
      <c r="E18" s="15" t="s">
        <v>75</v>
      </c>
    </row>
    <row r="19" spans="1:5" ht="15" x14ac:dyDescent="0.2">
      <c r="E19" s="15" t="s">
        <v>76</v>
      </c>
    </row>
    <row r="20" spans="1:5" ht="15" x14ac:dyDescent="0.2">
      <c r="E20" s="15" t="s">
        <v>77</v>
      </c>
    </row>
    <row r="21" spans="1:5" ht="15" x14ac:dyDescent="0.2">
      <c r="E21" s="15" t="s">
        <v>77</v>
      </c>
    </row>
    <row r="22" spans="1:5" ht="15" x14ac:dyDescent="0.2">
      <c r="E22" s="15" t="s">
        <v>78</v>
      </c>
    </row>
    <row r="23" spans="1:5" ht="15" x14ac:dyDescent="0.2">
      <c r="E23" s="15"/>
    </row>
    <row r="25" spans="1:5" ht="18" x14ac:dyDescent="0.25">
      <c r="A25" s="17" t="s">
        <v>79</v>
      </c>
      <c r="B25" s="17"/>
    </row>
    <row r="26" spans="1:5" ht="15" x14ac:dyDescent="0.2">
      <c r="A26" s="18" t="s">
        <v>91</v>
      </c>
      <c r="B26" s="18"/>
    </row>
    <row r="27" spans="1:5" ht="14.25" x14ac:dyDescent="0.2">
      <c r="A27" s="20"/>
      <c r="B27" s="21" t="s">
        <v>92</v>
      </c>
    </row>
    <row r="28" spans="1:5" ht="15" x14ac:dyDescent="0.2">
      <c r="A28" s="22" t="s">
        <v>82</v>
      </c>
      <c r="B28" s="22" t="s">
        <v>83</v>
      </c>
      <c r="C28" s="22" t="s">
        <v>84</v>
      </c>
      <c r="D28" s="22" t="s">
        <v>85</v>
      </c>
      <c r="E28" s="22" t="s">
        <v>86</v>
      </c>
    </row>
    <row r="29" spans="1:5" x14ac:dyDescent="0.2">
      <c r="A29" s="19" t="s">
        <v>219</v>
      </c>
      <c r="B29" s="4" t="s">
        <v>92</v>
      </c>
      <c r="C29" s="4" t="s">
        <v>226</v>
      </c>
      <c r="D29" s="4" t="s">
        <v>138</v>
      </c>
      <c r="E29" s="23" t="s">
        <v>695</v>
      </c>
    </row>
    <row r="30" spans="1:5" x14ac:dyDescent="0.2">
      <c r="A30" s="19" t="s">
        <v>689</v>
      </c>
      <c r="B30" s="4" t="s">
        <v>92</v>
      </c>
      <c r="C30" s="4" t="s">
        <v>96</v>
      </c>
      <c r="D30" s="4" t="s">
        <v>55</v>
      </c>
      <c r="E30" s="23" t="s">
        <v>696</v>
      </c>
    </row>
    <row r="31" spans="1:5" x14ac:dyDescent="0.2">
      <c r="A31" s="19" t="s">
        <v>204</v>
      </c>
      <c r="B31" s="4" t="s">
        <v>92</v>
      </c>
      <c r="C31" s="4" t="s">
        <v>170</v>
      </c>
      <c r="D31" s="4" t="s">
        <v>127</v>
      </c>
      <c r="E31" s="23" t="s">
        <v>697</v>
      </c>
    </row>
    <row r="32" spans="1:5" x14ac:dyDescent="0.2">
      <c r="A32" s="19" t="s">
        <v>213</v>
      </c>
      <c r="B32" s="4" t="s">
        <v>92</v>
      </c>
      <c r="C32" s="4" t="s">
        <v>181</v>
      </c>
      <c r="D32" s="4" t="s">
        <v>217</v>
      </c>
      <c r="E32" s="23" t="s">
        <v>698</v>
      </c>
    </row>
  </sheetData>
  <mergeCells count="15">
    <mergeCell ref="A14:L14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22.140625" style="4" bestFit="1" customWidth="1"/>
    <col min="14" max="16384" width="9.140625" style="3"/>
  </cols>
  <sheetData>
    <row r="1" spans="1:13" s="2" customFormat="1" ht="29.1" customHeight="1" x14ac:dyDescent="0.2">
      <c r="A1" s="51" t="s">
        <v>1355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11</v>
      </c>
      <c r="H3" s="61"/>
      <c r="I3" s="61"/>
      <c r="J3" s="61"/>
      <c r="K3" s="61" t="s">
        <v>442</v>
      </c>
      <c r="L3" s="61" t="s">
        <v>3</v>
      </c>
      <c r="M3" s="62" t="s">
        <v>2</v>
      </c>
    </row>
    <row r="4" spans="1:13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60"/>
      <c r="L4" s="60"/>
      <c r="M4" s="63"/>
    </row>
    <row r="5" spans="1:13" ht="15" x14ac:dyDescent="0.2">
      <c r="A5" s="64" t="s">
        <v>342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x14ac:dyDescent="0.2">
      <c r="A6" s="7" t="s">
        <v>488</v>
      </c>
      <c r="B6" s="7" t="s">
        <v>489</v>
      </c>
      <c r="C6" s="7" t="s">
        <v>482</v>
      </c>
      <c r="D6" s="7" t="str">
        <f>"0,7221"</f>
        <v>0,7221</v>
      </c>
      <c r="E6" s="7" t="s">
        <v>34</v>
      </c>
      <c r="F6" s="7" t="s">
        <v>35</v>
      </c>
      <c r="G6" s="8" t="s">
        <v>447</v>
      </c>
      <c r="H6" s="8" t="s">
        <v>483</v>
      </c>
      <c r="I6" s="8" t="s">
        <v>252</v>
      </c>
      <c r="J6" s="9"/>
      <c r="K6" s="7" t="str">
        <f>"85,0"</f>
        <v>85,0</v>
      </c>
      <c r="L6" s="8" t="str">
        <f>"87,2189"</f>
        <v>87,2189</v>
      </c>
      <c r="M6" s="7" t="s">
        <v>190</v>
      </c>
    </row>
    <row r="8" spans="1:13" ht="15" x14ac:dyDescent="0.2">
      <c r="A8" s="50" t="s">
        <v>45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3" x14ac:dyDescent="0.2">
      <c r="A9" s="10" t="s">
        <v>660</v>
      </c>
      <c r="B9" s="10" t="s">
        <v>661</v>
      </c>
      <c r="C9" s="10" t="s">
        <v>662</v>
      </c>
      <c r="D9" s="10" t="str">
        <f>"0,6432"</f>
        <v>0,6432</v>
      </c>
      <c r="E9" s="10" t="s">
        <v>663</v>
      </c>
      <c r="F9" s="10" t="s">
        <v>664</v>
      </c>
      <c r="G9" s="11" t="s">
        <v>115</v>
      </c>
      <c r="H9" s="11" t="s">
        <v>116</v>
      </c>
      <c r="I9" s="12" t="s">
        <v>69</v>
      </c>
      <c r="J9" s="12"/>
      <c r="K9" s="10" t="str">
        <f>"225,0"</f>
        <v>225,0</v>
      </c>
      <c r="L9" s="11" t="str">
        <f>"144,7200"</f>
        <v>144,7200</v>
      </c>
      <c r="M9" s="10" t="s">
        <v>190</v>
      </c>
    </row>
    <row r="10" spans="1:13" x14ac:dyDescent="0.2">
      <c r="A10" s="13" t="s">
        <v>59</v>
      </c>
      <c r="B10" s="13" t="s">
        <v>60</v>
      </c>
      <c r="C10" s="13" t="s">
        <v>49</v>
      </c>
      <c r="D10" s="13" t="str">
        <f>"0,6384"</f>
        <v>0,6384</v>
      </c>
      <c r="E10" s="13" t="s">
        <v>18</v>
      </c>
      <c r="F10" s="13" t="s">
        <v>61</v>
      </c>
      <c r="G10" s="14" t="s">
        <v>152</v>
      </c>
      <c r="H10" s="14" t="s">
        <v>152</v>
      </c>
      <c r="I10" s="14" t="s">
        <v>152</v>
      </c>
      <c r="J10" s="14"/>
      <c r="K10" s="13" t="str">
        <f>"0.00"</f>
        <v>0.00</v>
      </c>
      <c r="L10" s="16" t="str">
        <f>"0,0000"</f>
        <v>0,0000</v>
      </c>
      <c r="M10" s="13" t="s">
        <v>63</v>
      </c>
    </row>
    <row r="12" spans="1:13" ht="15" x14ac:dyDescent="0.2">
      <c r="A12" s="50" t="s">
        <v>121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3" x14ac:dyDescent="0.2">
      <c r="A13" s="10" t="s">
        <v>666</v>
      </c>
      <c r="B13" s="10" t="s">
        <v>667</v>
      </c>
      <c r="C13" s="10" t="s">
        <v>668</v>
      </c>
      <c r="D13" s="10" t="str">
        <f>"0,6285"</f>
        <v>0,6285</v>
      </c>
      <c r="E13" s="10" t="s">
        <v>34</v>
      </c>
      <c r="F13" s="10" t="s">
        <v>571</v>
      </c>
      <c r="G13" s="12" t="s">
        <v>69</v>
      </c>
      <c r="H13" s="11" t="s">
        <v>70</v>
      </c>
      <c r="I13" s="12" t="s">
        <v>373</v>
      </c>
      <c r="J13" s="12"/>
      <c r="K13" s="10" t="str">
        <f>"240,0"</f>
        <v>240,0</v>
      </c>
      <c r="L13" s="11" t="str">
        <f>"150,8400"</f>
        <v>150,8400</v>
      </c>
      <c r="M13" s="10" t="s">
        <v>63</v>
      </c>
    </row>
    <row r="14" spans="1:13" x14ac:dyDescent="0.2">
      <c r="A14" s="13" t="s">
        <v>666</v>
      </c>
      <c r="B14" s="13" t="s">
        <v>669</v>
      </c>
      <c r="C14" s="13" t="s">
        <v>668</v>
      </c>
      <c r="D14" s="13" t="str">
        <f>"0,6285"</f>
        <v>0,6285</v>
      </c>
      <c r="E14" s="13" t="s">
        <v>34</v>
      </c>
      <c r="F14" s="13" t="s">
        <v>571</v>
      </c>
      <c r="G14" s="14" t="s">
        <v>69</v>
      </c>
      <c r="H14" s="16" t="s">
        <v>70</v>
      </c>
      <c r="I14" s="14" t="s">
        <v>373</v>
      </c>
      <c r="J14" s="14"/>
      <c r="K14" s="13" t="str">
        <f>"240,0"</f>
        <v>240,0</v>
      </c>
      <c r="L14" s="16" t="str">
        <f>"161,0971"</f>
        <v>161,0971</v>
      </c>
      <c r="M14" s="13" t="s">
        <v>63</v>
      </c>
    </row>
    <row r="16" spans="1:13" ht="15" x14ac:dyDescent="0.2">
      <c r="A16" s="50" t="s">
        <v>64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13" x14ac:dyDescent="0.2">
      <c r="A17" s="10" t="s">
        <v>671</v>
      </c>
      <c r="B17" s="10" t="s">
        <v>672</v>
      </c>
      <c r="C17" s="10" t="s">
        <v>673</v>
      </c>
      <c r="D17" s="10" t="str">
        <f>"0,5888"</f>
        <v>0,5888</v>
      </c>
      <c r="E17" s="10" t="s">
        <v>18</v>
      </c>
      <c r="F17" s="10" t="s">
        <v>571</v>
      </c>
      <c r="G17" s="11" t="s">
        <v>373</v>
      </c>
      <c r="H17" s="11" t="s">
        <v>158</v>
      </c>
      <c r="I17" s="11" t="s">
        <v>674</v>
      </c>
      <c r="J17" s="12"/>
      <c r="K17" s="10" t="str">
        <f>"273,0"</f>
        <v>273,0</v>
      </c>
      <c r="L17" s="11" t="str">
        <f>"160,7424"</f>
        <v>160,7424</v>
      </c>
      <c r="M17" s="10" t="s">
        <v>675</v>
      </c>
    </row>
    <row r="18" spans="1:13" x14ac:dyDescent="0.2">
      <c r="A18" s="24" t="s">
        <v>677</v>
      </c>
      <c r="B18" s="24" t="s">
        <v>678</v>
      </c>
      <c r="C18" s="24" t="s">
        <v>679</v>
      </c>
      <c r="D18" s="24" t="str">
        <f>"0,5984"</f>
        <v>0,5984</v>
      </c>
      <c r="E18" s="24" t="s">
        <v>34</v>
      </c>
      <c r="F18" s="24" t="s">
        <v>194</v>
      </c>
      <c r="G18" s="26" t="s">
        <v>166</v>
      </c>
      <c r="H18" s="26" t="s">
        <v>373</v>
      </c>
      <c r="I18" s="25" t="s">
        <v>158</v>
      </c>
      <c r="J18" s="25"/>
      <c r="K18" s="24" t="str">
        <f>"255,0"</f>
        <v>255,0</v>
      </c>
      <c r="L18" s="26" t="str">
        <f>"152,5920"</f>
        <v>152,5920</v>
      </c>
      <c r="M18" s="24" t="s">
        <v>680</v>
      </c>
    </row>
    <row r="19" spans="1:13" x14ac:dyDescent="0.2">
      <c r="A19" s="13" t="s">
        <v>681</v>
      </c>
      <c r="B19" s="13" t="s">
        <v>575</v>
      </c>
      <c r="C19" s="13" t="s">
        <v>576</v>
      </c>
      <c r="D19" s="13" t="str">
        <f>"0,5948"</f>
        <v>0,5948</v>
      </c>
      <c r="E19" s="13" t="s">
        <v>34</v>
      </c>
      <c r="F19" s="13" t="s">
        <v>577</v>
      </c>
      <c r="G19" s="16" t="s">
        <v>69</v>
      </c>
      <c r="H19" s="14" t="s">
        <v>70</v>
      </c>
      <c r="I19" s="16" t="s">
        <v>70</v>
      </c>
      <c r="J19" s="14"/>
      <c r="K19" s="13" t="str">
        <f>"240,0"</f>
        <v>240,0</v>
      </c>
      <c r="L19" s="16" t="str">
        <f>"142,7520"</f>
        <v>142,7520</v>
      </c>
      <c r="M19" s="13" t="s">
        <v>579</v>
      </c>
    </row>
    <row r="21" spans="1:13" ht="15" x14ac:dyDescent="0.2">
      <c r="E21" s="15" t="s">
        <v>74</v>
      </c>
    </row>
    <row r="22" spans="1:13" ht="15" x14ac:dyDescent="0.2">
      <c r="E22" s="15" t="s">
        <v>75</v>
      </c>
    </row>
    <row r="23" spans="1:13" ht="15" x14ac:dyDescent="0.2">
      <c r="E23" s="15" t="s">
        <v>76</v>
      </c>
    </row>
    <row r="24" spans="1:13" ht="15" x14ac:dyDescent="0.2">
      <c r="E24" s="15" t="s">
        <v>77</v>
      </c>
    </row>
    <row r="25" spans="1:13" ht="15" x14ac:dyDescent="0.2">
      <c r="E25" s="15" t="s">
        <v>77</v>
      </c>
    </row>
    <row r="26" spans="1:13" ht="15" x14ac:dyDescent="0.2">
      <c r="E26" s="15" t="s">
        <v>78</v>
      </c>
    </row>
    <row r="27" spans="1:13" ht="15" x14ac:dyDescent="0.2">
      <c r="E27" s="15"/>
    </row>
    <row r="29" spans="1:13" ht="18" x14ac:dyDescent="0.25">
      <c r="A29" s="17" t="s">
        <v>79</v>
      </c>
      <c r="B29" s="17"/>
    </row>
    <row r="30" spans="1:13" ht="15" x14ac:dyDescent="0.2">
      <c r="A30" s="18" t="s">
        <v>91</v>
      </c>
      <c r="B30" s="18"/>
    </row>
    <row r="31" spans="1:13" ht="14.25" x14ac:dyDescent="0.2">
      <c r="A31" s="20"/>
      <c r="B31" s="21" t="s">
        <v>92</v>
      </c>
    </row>
    <row r="32" spans="1:13" ht="15" x14ac:dyDescent="0.2">
      <c r="A32" s="22" t="s">
        <v>82</v>
      </c>
      <c r="B32" s="22" t="s">
        <v>83</v>
      </c>
      <c r="C32" s="22" t="s">
        <v>84</v>
      </c>
      <c r="D32" s="22" t="s">
        <v>85</v>
      </c>
      <c r="E32" s="22" t="s">
        <v>86</v>
      </c>
    </row>
    <row r="33" spans="1:5" x14ac:dyDescent="0.2">
      <c r="A33" s="19" t="s">
        <v>670</v>
      </c>
      <c r="B33" s="4" t="s">
        <v>92</v>
      </c>
      <c r="C33" s="4" t="s">
        <v>96</v>
      </c>
      <c r="D33" s="4" t="s">
        <v>674</v>
      </c>
      <c r="E33" s="23" t="s">
        <v>682</v>
      </c>
    </row>
    <row r="34" spans="1:5" x14ac:dyDescent="0.2">
      <c r="A34" s="19" t="s">
        <v>676</v>
      </c>
      <c r="B34" s="4" t="s">
        <v>92</v>
      </c>
      <c r="C34" s="4" t="s">
        <v>96</v>
      </c>
      <c r="D34" s="4" t="s">
        <v>373</v>
      </c>
      <c r="E34" s="23" t="s">
        <v>683</v>
      </c>
    </row>
    <row r="35" spans="1:5" x14ac:dyDescent="0.2">
      <c r="A35" s="19" t="s">
        <v>665</v>
      </c>
      <c r="B35" s="4" t="s">
        <v>92</v>
      </c>
      <c r="C35" s="4" t="s">
        <v>170</v>
      </c>
      <c r="D35" s="4" t="s">
        <v>70</v>
      </c>
      <c r="E35" s="23" t="s">
        <v>684</v>
      </c>
    </row>
    <row r="36" spans="1:5" x14ac:dyDescent="0.2">
      <c r="A36" s="19" t="s">
        <v>659</v>
      </c>
      <c r="B36" s="4" t="s">
        <v>92</v>
      </c>
      <c r="C36" s="4" t="s">
        <v>93</v>
      </c>
      <c r="D36" s="4" t="s">
        <v>116</v>
      </c>
      <c r="E36" s="23" t="s">
        <v>685</v>
      </c>
    </row>
    <row r="37" spans="1:5" x14ac:dyDescent="0.2">
      <c r="A37" s="19" t="s">
        <v>573</v>
      </c>
      <c r="B37" s="4" t="s">
        <v>92</v>
      </c>
      <c r="C37" s="4" t="s">
        <v>96</v>
      </c>
      <c r="D37" s="4" t="s">
        <v>70</v>
      </c>
      <c r="E37" s="23" t="s">
        <v>686</v>
      </c>
    </row>
    <row r="39" spans="1:5" ht="14.25" x14ac:dyDescent="0.2">
      <c r="A39" s="20"/>
      <c r="B39" s="21" t="s">
        <v>81</v>
      </c>
    </row>
    <row r="40" spans="1:5" ht="15" x14ac:dyDescent="0.2">
      <c r="A40" s="22" t="s">
        <v>82</v>
      </c>
      <c r="B40" s="22" t="s">
        <v>83</v>
      </c>
      <c r="C40" s="22" t="s">
        <v>84</v>
      </c>
      <c r="D40" s="22" t="s">
        <v>85</v>
      </c>
      <c r="E40" s="22" t="s">
        <v>86</v>
      </c>
    </row>
    <row r="41" spans="1:5" x14ac:dyDescent="0.2">
      <c r="A41" s="19" t="s">
        <v>665</v>
      </c>
      <c r="B41" s="4" t="s">
        <v>644</v>
      </c>
      <c r="C41" s="4" t="s">
        <v>170</v>
      </c>
      <c r="D41" s="4" t="s">
        <v>70</v>
      </c>
      <c r="E41" s="23" t="s">
        <v>687</v>
      </c>
    </row>
    <row r="42" spans="1:5" x14ac:dyDescent="0.2">
      <c r="A42" s="19" t="s">
        <v>479</v>
      </c>
      <c r="B42" s="4" t="s">
        <v>656</v>
      </c>
      <c r="C42" s="4" t="s">
        <v>414</v>
      </c>
      <c r="D42" s="4" t="s">
        <v>252</v>
      </c>
      <c r="E42" s="23" t="s">
        <v>688</v>
      </c>
    </row>
  </sheetData>
  <mergeCells count="15">
    <mergeCell ref="A16:L16"/>
    <mergeCell ref="K3:K4"/>
    <mergeCell ref="L3:L4"/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6.710937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7.7109375" style="4" bestFit="1" customWidth="1"/>
    <col min="14" max="16384" width="9.140625" style="3"/>
  </cols>
  <sheetData>
    <row r="1" spans="1:13" s="2" customFormat="1" ht="29.1" customHeight="1" x14ac:dyDescent="0.2">
      <c r="A1" s="51" t="s">
        <v>1354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11</v>
      </c>
      <c r="H3" s="61"/>
      <c r="I3" s="61"/>
      <c r="J3" s="61"/>
      <c r="K3" s="61" t="s">
        <v>442</v>
      </c>
      <c r="L3" s="61" t="s">
        <v>3</v>
      </c>
      <c r="M3" s="62" t="s">
        <v>2</v>
      </c>
    </row>
    <row r="4" spans="1:13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60"/>
      <c r="L4" s="60"/>
      <c r="M4" s="63"/>
    </row>
    <row r="5" spans="1:13" ht="15" x14ac:dyDescent="0.2">
      <c r="A5" s="64" t="s">
        <v>13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x14ac:dyDescent="0.2">
      <c r="A6" s="10" t="s">
        <v>444</v>
      </c>
      <c r="B6" s="10" t="s">
        <v>445</v>
      </c>
      <c r="C6" s="10" t="s">
        <v>446</v>
      </c>
      <c r="D6" s="10" t="str">
        <f>"1,1340"</f>
        <v>1,1340</v>
      </c>
      <c r="E6" s="10" t="s">
        <v>34</v>
      </c>
      <c r="F6" s="10" t="s">
        <v>35</v>
      </c>
      <c r="G6" s="11" t="s">
        <v>244</v>
      </c>
      <c r="H6" s="11" t="s">
        <v>24</v>
      </c>
      <c r="I6" s="12" t="s">
        <v>447</v>
      </c>
      <c r="J6" s="12"/>
      <c r="K6" s="10" t="str">
        <f>"75,0"</f>
        <v>75,0</v>
      </c>
      <c r="L6" s="11" t="str">
        <f>"85,0500"</f>
        <v>85,0500</v>
      </c>
      <c r="M6" s="10" t="s">
        <v>448</v>
      </c>
    </row>
    <row r="7" spans="1:13" x14ac:dyDescent="0.2">
      <c r="A7" s="13" t="s">
        <v>450</v>
      </c>
      <c r="B7" s="13" t="s">
        <v>451</v>
      </c>
      <c r="C7" s="13" t="s">
        <v>452</v>
      </c>
      <c r="D7" s="13" t="str">
        <f>"1,1401"</f>
        <v>1,1401</v>
      </c>
      <c r="E7" s="13" t="s">
        <v>34</v>
      </c>
      <c r="F7" s="13" t="s">
        <v>453</v>
      </c>
      <c r="G7" s="14" t="s">
        <v>454</v>
      </c>
      <c r="H7" s="16" t="s">
        <v>454</v>
      </c>
      <c r="I7" s="14" t="s">
        <v>255</v>
      </c>
      <c r="J7" s="14"/>
      <c r="K7" s="13" t="str">
        <f>"40,0"</f>
        <v>40,0</v>
      </c>
      <c r="L7" s="16" t="str">
        <f>"45,6040"</f>
        <v>45,6040</v>
      </c>
      <c r="M7" s="13" t="s">
        <v>455</v>
      </c>
    </row>
    <row r="9" spans="1:13" ht="15" x14ac:dyDescent="0.2">
      <c r="A9" s="50" t="s">
        <v>278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13" x14ac:dyDescent="0.2">
      <c r="A10" s="7" t="s">
        <v>457</v>
      </c>
      <c r="B10" s="7" t="s">
        <v>458</v>
      </c>
      <c r="C10" s="7" t="s">
        <v>459</v>
      </c>
      <c r="D10" s="7" t="str">
        <f>"1,0444"</f>
        <v>1,0444</v>
      </c>
      <c r="E10" s="7" t="s">
        <v>34</v>
      </c>
      <c r="F10" s="7" t="s">
        <v>460</v>
      </c>
      <c r="G10" s="8" t="s">
        <v>283</v>
      </c>
      <c r="H10" s="9" t="s">
        <v>447</v>
      </c>
      <c r="I10" s="8" t="s">
        <v>447</v>
      </c>
      <c r="J10" s="9"/>
      <c r="K10" s="7" t="str">
        <f>"77,5"</f>
        <v>77,5</v>
      </c>
      <c r="L10" s="8" t="str">
        <f>"91,4633"</f>
        <v>91,4633</v>
      </c>
      <c r="M10" s="7" t="s">
        <v>190</v>
      </c>
    </row>
    <row r="12" spans="1:13" ht="15" x14ac:dyDescent="0.2">
      <c r="A12" s="50" t="s">
        <v>237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3" x14ac:dyDescent="0.2">
      <c r="A13" s="7" t="s">
        <v>462</v>
      </c>
      <c r="B13" s="7" t="s">
        <v>463</v>
      </c>
      <c r="C13" s="7" t="s">
        <v>464</v>
      </c>
      <c r="D13" s="7" t="str">
        <f>"1,0962"</f>
        <v>1,0962</v>
      </c>
      <c r="E13" s="7" t="s">
        <v>34</v>
      </c>
      <c r="F13" s="7" t="s">
        <v>465</v>
      </c>
      <c r="G13" s="8" t="s">
        <v>466</v>
      </c>
      <c r="H13" s="8" t="s">
        <v>454</v>
      </c>
      <c r="I13" s="8" t="s">
        <v>255</v>
      </c>
      <c r="J13" s="9"/>
      <c r="K13" s="7" t="str">
        <f>"42,5"</f>
        <v>42,5</v>
      </c>
      <c r="L13" s="8" t="str">
        <f>"46,5885"</f>
        <v>46,5885</v>
      </c>
      <c r="M13" s="7" t="s">
        <v>467</v>
      </c>
    </row>
    <row r="15" spans="1:13" ht="15" x14ac:dyDescent="0.2">
      <c r="A15" s="50" t="s">
        <v>278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3" x14ac:dyDescent="0.2">
      <c r="A16" s="7" t="s">
        <v>469</v>
      </c>
      <c r="B16" s="7" t="s">
        <v>470</v>
      </c>
      <c r="C16" s="7" t="s">
        <v>471</v>
      </c>
      <c r="D16" s="7" t="str">
        <f>"0,7932"</f>
        <v>0,7932</v>
      </c>
      <c r="E16" s="7" t="s">
        <v>34</v>
      </c>
      <c r="F16" s="7" t="s">
        <v>472</v>
      </c>
      <c r="G16" s="8" t="s">
        <v>257</v>
      </c>
      <c r="H16" s="8" t="s">
        <v>254</v>
      </c>
      <c r="I16" s="8" t="s">
        <v>347</v>
      </c>
      <c r="J16" s="9"/>
      <c r="K16" s="7" t="str">
        <f>"102,5"</f>
        <v>102,5</v>
      </c>
      <c r="L16" s="8" t="str">
        <f>"81,3030"</f>
        <v>81,3030</v>
      </c>
      <c r="M16" s="7" t="s">
        <v>140</v>
      </c>
    </row>
    <row r="18" spans="1:13" ht="15" x14ac:dyDescent="0.2">
      <c r="A18" s="50" t="s">
        <v>342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</row>
    <row r="19" spans="1:13" x14ac:dyDescent="0.2">
      <c r="A19" s="10" t="s">
        <v>474</v>
      </c>
      <c r="B19" s="10" t="s">
        <v>475</v>
      </c>
      <c r="C19" s="10" t="s">
        <v>476</v>
      </c>
      <c r="D19" s="10" t="str">
        <f>"0,7430"</f>
        <v>0,7430</v>
      </c>
      <c r="E19" s="10" t="s">
        <v>106</v>
      </c>
      <c r="F19" s="10" t="s">
        <v>35</v>
      </c>
      <c r="G19" s="11" t="s">
        <v>340</v>
      </c>
      <c r="H19" s="11" t="s">
        <v>289</v>
      </c>
      <c r="I19" s="11" t="s">
        <v>477</v>
      </c>
      <c r="J19" s="12"/>
      <c r="K19" s="10" t="str">
        <f>"138,0"</f>
        <v>138,0</v>
      </c>
      <c r="L19" s="11" t="str">
        <f>"102,5340"</f>
        <v>102,5340</v>
      </c>
      <c r="M19" s="10" t="s">
        <v>478</v>
      </c>
    </row>
    <row r="20" spans="1:13" x14ac:dyDescent="0.2">
      <c r="A20" s="24" t="s">
        <v>480</v>
      </c>
      <c r="B20" s="24" t="s">
        <v>481</v>
      </c>
      <c r="C20" s="24" t="s">
        <v>482</v>
      </c>
      <c r="D20" s="24" t="str">
        <f>"0,7221"</f>
        <v>0,7221</v>
      </c>
      <c r="E20" s="24" t="s">
        <v>34</v>
      </c>
      <c r="F20" s="24" t="s">
        <v>35</v>
      </c>
      <c r="G20" s="26" t="s">
        <v>447</v>
      </c>
      <c r="H20" s="26" t="s">
        <v>483</v>
      </c>
      <c r="I20" s="25"/>
      <c r="J20" s="25"/>
      <c r="K20" s="24" t="str">
        <f>"82,5"</f>
        <v>82,5</v>
      </c>
      <c r="L20" s="26" t="str">
        <f>"59,5733"</f>
        <v>59,5733</v>
      </c>
      <c r="M20" s="24" t="s">
        <v>190</v>
      </c>
    </row>
    <row r="21" spans="1:13" x14ac:dyDescent="0.2">
      <c r="A21" s="24" t="s">
        <v>485</v>
      </c>
      <c r="B21" s="24" t="s">
        <v>486</v>
      </c>
      <c r="C21" s="24" t="s">
        <v>371</v>
      </c>
      <c r="D21" s="24" t="str">
        <f>"0,7139"</f>
        <v>0,7139</v>
      </c>
      <c r="E21" s="24" t="s">
        <v>34</v>
      </c>
      <c r="F21" s="24" t="s">
        <v>487</v>
      </c>
      <c r="G21" s="26" t="s">
        <v>128</v>
      </c>
      <c r="H21" s="26" t="s">
        <v>477</v>
      </c>
      <c r="I21" s="26" t="s">
        <v>26</v>
      </c>
      <c r="J21" s="25"/>
      <c r="K21" s="24" t="str">
        <f>"140,0"</f>
        <v>140,0</v>
      </c>
      <c r="L21" s="26" t="str">
        <f>"109,6408"</f>
        <v>109,6408</v>
      </c>
      <c r="M21" s="24" t="s">
        <v>190</v>
      </c>
    </row>
    <row r="22" spans="1:13" x14ac:dyDescent="0.2">
      <c r="A22" s="24" t="s">
        <v>488</v>
      </c>
      <c r="B22" s="24" t="s">
        <v>489</v>
      </c>
      <c r="C22" s="24" t="s">
        <v>482</v>
      </c>
      <c r="D22" s="24" t="str">
        <f>"0,7221"</f>
        <v>0,7221</v>
      </c>
      <c r="E22" s="24" t="s">
        <v>34</v>
      </c>
      <c r="F22" s="24" t="s">
        <v>35</v>
      </c>
      <c r="G22" s="26" t="s">
        <v>447</v>
      </c>
      <c r="H22" s="26" t="s">
        <v>483</v>
      </c>
      <c r="I22" s="25"/>
      <c r="J22" s="25"/>
      <c r="K22" s="24" t="str">
        <f>"82,5"</f>
        <v>82,5</v>
      </c>
      <c r="L22" s="26" t="str">
        <f>"84,6536"</f>
        <v>84,6536</v>
      </c>
      <c r="M22" s="24" t="s">
        <v>190</v>
      </c>
    </row>
    <row r="23" spans="1:13" x14ac:dyDescent="0.2">
      <c r="A23" s="24" t="s">
        <v>491</v>
      </c>
      <c r="B23" s="24" t="s">
        <v>492</v>
      </c>
      <c r="C23" s="24" t="s">
        <v>493</v>
      </c>
      <c r="D23" s="24" t="str">
        <f>"0,7330"</f>
        <v>0,7330</v>
      </c>
      <c r="E23" s="24" t="s">
        <v>34</v>
      </c>
      <c r="F23" s="24" t="s">
        <v>35</v>
      </c>
      <c r="G23" s="26" t="s">
        <v>252</v>
      </c>
      <c r="H23" s="26" t="s">
        <v>265</v>
      </c>
      <c r="I23" s="26" t="s">
        <v>254</v>
      </c>
      <c r="J23" s="25"/>
      <c r="K23" s="24" t="str">
        <f>"100,0"</f>
        <v>100,0</v>
      </c>
      <c r="L23" s="26" t="str">
        <f>"120,5785"</f>
        <v>120,5785</v>
      </c>
      <c r="M23" s="24" t="s">
        <v>494</v>
      </c>
    </row>
    <row r="24" spans="1:13" x14ac:dyDescent="0.2">
      <c r="A24" s="13" t="s">
        <v>496</v>
      </c>
      <c r="B24" s="13" t="s">
        <v>497</v>
      </c>
      <c r="C24" s="13" t="s">
        <v>498</v>
      </c>
      <c r="D24" s="13" t="str">
        <f>"0,7235"</f>
        <v>0,7235</v>
      </c>
      <c r="E24" s="13" t="s">
        <v>34</v>
      </c>
      <c r="F24" s="13" t="s">
        <v>499</v>
      </c>
      <c r="G24" s="16" t="s">
        <v>24</v>
      </c>
      <c r="H24" s="16" t="s">
        <v>447</v>
      </c>
      <c r="I24" s="14" t="s">
        <v>264</v>
      </c>
      <c r="J24" s="14"/>
      <c r="K24" s="13" t="str">
        <f>"77,5"</f>
        <v>77,5</v>
      </c>
      <c r="L24" s="16" t="str">
        <f>"114,9461"</f>
        <v>114,9461</v>
      </c>
      <c r="M24" s="13" t="s">
        <v>190</v>
      </c>
    </row>
    <row r="26" spans="1:13" ht="15" x14ac:dyDescent="0.2">
      <c r="A26" s="50" t="s">
        <v>29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13" x14ac:dyDescent="0.2">
      <c r="A27" s="10" t="s">
        <v>501</v>
      </c>
      <c r="B27" s="10" t="s">
        <v>502</v>
      </c>
      <c r="C27" s="10" t="s">
        <v>503</v>
      </c>
      <c r="D27" s="10" t="str">
        <f>"0,6724"</f>
        <v>0,6724</v>
      </c>
      <c r="E27" s="10" t="s">
        <v>34</v>
      </c>
      <c r="F27" s="10" t="s">
        <v>35</v>
      </c>
      <c r="G27" s="11" t="s">
        <v>118</v>
      </c>
      <c r="H27" s="11" t="s">
        <v>27</v>
      </c>
      <c r="I27" s="11" t="s">
        <v>54</v>
      </c>
      <c r="J27" s="12"/>
      <c r="K27" s="10" t="str">
        <f>"155,0"</f>
        <v>155,0</v>
      </c>
      <c r="L27" s="11" t="str">
        <f>"104,2220"</f>
        <v>104,2220</v>
      </c>
      <c r="M27" s="10" t="s">
        <v>73</v>
      </c>
    </row>
    <row r="28" spans="1:13" x14ac:dyDescent="0.2">
      <c r="A28" s="24" t="s">
        <v>505</v>
      </c>
      <c r="B28" s="24" t="s">
        <v>506</v>
      </c>
      <c r="C28" s="24" t="s">
        <v>33</v>
      </c>
      <c r="D28" s="24" t="str">
        <f>"0,6785"</f>
        <v>0,6785</v>
      </c>
      <c r="E28" s="24" t="s">
        <v>18</v>
      </c>
      <c r="F28" s="24" t="s">
        <v>35</v>
      </c>
      <c r="G28" s="25" t="s">
        <v>274</v>
      </c>
      <c r="H28" s="25" t="s">
        <v>274</v>
      </c>
      <c r="I28" s="26" t="s">
        <v>274</v>
      </c>
      <c r="J28" s="25"/>
      <c r="K28" s="24" t="str">
        <f>"110,0"</f>
        <v>110,0</v>
      </c>
      <c r="L28" s="26" t="str">
        <f>"74,6350"</f>
        <v>74,6350</v>
      </c>
      <c r="M28" s="24" t="s">
        <v>190</v>
      </c>
    </row>
    <row r="29" spans="1:13" x14ac:dyDescent="0.2">
      <c r="A29" s="13" t="s">
        <v>508</v>
      </c>
      <c r="B29" s="13" t="s">
        <v>509</v>
      </c>
      <c r="C29" s="13" t="s">
        <v>510</v>
      </c>
      <c r="D29" s="13" t="str">
        <f>"0,6854"</f>
        <v>0,6854</v>
      </c>
      <c r="E29" s="13" t="s">
        <v>34</v>
      </c>
      <c r="F29" s="13" t="s">
        <v>511</v>
      </c>
      <c r="G29" s="16" t="s">
        <v>252</v>
      </c>
      <c r="H29" s="16" t="s">
        <v>257</v>
      </c>
      <c r="I29" s="16" t="s">
        <v>265</v>
      </c>
      <c r="J29" s="14"/>
      <c r="K29" s="13" t="str">
        <f>"95,0"</f>
        <v>95,0</v>
      </c>
      <c r="L29" s="16" t="str">
        <f>"142,5975"</f>
        <v>142,5975</v>
      </c>
      <c r="M29" s="13" t="s">
        <v>73</v>
      </c>
    </row>
    <row r="31" spans="1:13" ht="15" x14ac:dyDescent="0.2">
      <c r="A31" s="50" t="s">
        <v>45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3" x14ac:dyDescent="0.2">
      <c r="A32" s="10" t="s">
        <v>513</v>
      </c>
      <c r="B32" s="10" t="s">
        <v>514</v>
      </c>
      <c r="C32" s="10" t="s">
        <v>515</v>
      </c>
      <c r="D32" s="10" t="str">
        <f>"0,6417"</f>
        <v>0,6417</v>
      </c>
      <c r="E32" s="10" t="s">
        <v>106</v>
      </c>
      <c r="F32" s="10" t="s">
        <v>516</v>
      </c>
      <c r="G32" s="11" t="s">
        <v>41</v>
      </c>
      <c r="H32" s="11" t="s">
        <v>127</v>
      </c>
      <c r="I32" s="12" t="s">
        <v>129</v>
      </c>
      <c r="J32" s="12"/>
      <c r="K32" s="10" t="str">
        <f>"200,0"</f>
        <v>200,0</v>
      </c>
      <c r="L32" s="11" t="str">
        <f>"128,3400"</f>
        <v>128,3400</v>
      </c>
      <c r="M32" s="10" t="s">
        <v>140</v>
      </c>
    </row>
    <row r="33" spans="1:13" x14ac:dyDescent="0.2">
      <c r="A33" s="24" t="s">
        <v>518</v>
      </c>
      <c r="B33" s="24" t="s">
        <v>519</v>
      </c>
      <c r="C33" s="24" t="s">
        <v>520</v>
      </c>
      <c r="D33" s="24" t="str">
        <f>"0,6444"</f>
        <v>0,6444</v>
      </c>
      <c r="E33" s="24" t="s">
        <v>34</v>
      </c>
      <c r="F33" s="24" t="s">
        <v>35</v>
      </c>
      <c r="G33" s="26" t="s">
        <v>360</v>
      </c>
      <c r="H33" s="26" t="s">
        <v>41</v>
      </c>
      <c r="I33" s="25" t="s">
        <v>217</v>
      </c>
      <c r="J33" s="25"/>
      <c r="K33" s="24" t="str">
        <f>"190,0"</f>
        <v>190,0</v>
      </c>
      <c r="L33" s="26" t="str">
        <f>"122,4360"</f>
        <v>122,4360</v>
      </c>
      <c r="M33" s="24" t="s">
        <v>190</v>
      </c>
    </row>
    <row r="34" spans="1:13" x14ac:dyDescent="0.2">
      <c r="A34" s="24" t="s">
        <v>522</v>
      </c>
      <c r="B34" s="24" t="s">
        <v>523</v>
      </c>
      <c r="C34" s="24" t="s">
        <v>524</v>
      </c>
      <c r="D34" s="24" t="str">
        <f>"0,6471"</f>
        <v>0,6471</v>
      </c>
      <c r="E34" s="24" t="s">
        <v>34</v>
      </c>
      <c r="F34" s="24" t="s">
        <v>114</v>
      </c>
      <c r="G34" s="26" t="s">
        <v>108</v>
      </c>
      <c r="H34" s="26" t="s">
        <v>136</v>
      </c>
      <c r="I34" s="26" t="s">
        <v>360</v>
      </c>
      <c r="J34" s="25"/>
      <c r="K34" s="24" t="str">
        <f>"185,0"</f>
        <v>185,0</v>
      </c>
      <c r="L34" s="26" t="str">
        <f>"119,7135"</f>
        <v>119,7135</v>
      </c>
      <c r="M34" s="24" t="s">
        <v>525</v>
      </c>
    </row>
    <row r="35" spans="1:13" x14ac:dyDescent="0.2">
      <c r="A35" s="24" t="s">
        <v>527</v>
      </c>
      <c r="B35" s="24" t="s">
        <v>528</v>
      </c>
      <c r="C35" s="24" t="s">
        <v>529</v>
      </c>
      <c r="D35" s="24" t="str">
        <f>"0,6540"</f>
        <v>0,6540</v>
      </c>
      <c r="E35" s="24" t="s">
        <v>34</v>
      </c>
      <c r="F35" s="24" t="s">
        <v>530</v>
      </c>
      <c r="G35" s="26" t="s">
        <v>54</v>
      </c>
      <c r="H35" s="26" t="s">
        <v>36</v>
      </c>
      <c r="I35" s="26" t="s">
        <v>71</v>
      </c>
      <c r="J35" s="25"/>
      <c r="K35" s="24" t="str">
        <f>"165,0"</f>
        <v>165,0</v>
      </c>
      <c r="L35" s="26" t="str">
        <f>"107,9100"</f>
        <v>107,9100</v>
      </c>
      <c r="M35" s="24" t="s">
        <v>531</v>
      </c>
    </row>
    <row r="36" spans="1:13" x14ac:dyDescent="0.2">
      <c r="A36" s="24" t="s">
        <v>533</v>
      </c>
      <c r="B36" s="24" t="s">
        <v>534</v>
      </c>
      <c r="C36" s="24" t="s">
        <v>515</v>
      </c>
      <c r="D36" s="24" t="str">
        <f>"0,6417"</f>
        <v>0,6417</v>
      </c>
      <c r="E36" s="24" t="s">
        <v>34</v>
      </c>
      <c r="F36" s="24" t="s">
        <v>453</v>
      </c>
      <c r="G36" s="26" t="s">
        <v>26</v>
      </c>
      <c r="H36" s="26" t="s">
        <v>118</v>
      </c>
      <c r="I36" s="26" t="s">
        <v>27</v>
      </c>
      <c r="J36" s="25"/>
      <c r="K36" s="24" t="str">
        <f>"150,0"</f>
        <v>150,0</v>
      </c>
      <c r="L36" s="26" t="str">
        <f>"107,1318"</f>
        <v>107,1318</v>
      </c>
      <c r="M36" s="24" t="s">
        <v>190</v>
      </c>
    </row>
    <row r="37" spans="1:13" x14ac:dyDescent="0.2">
      <c r="A37" s="24" t="s">
        <v>536</v>
      </c>
      <c r="B37" s="24" t="s">
        <v>537</v>
      </c>
      <c r="C37" s="24" t="s">
        <v>288</v>
      </c>
      <c r="D37" s="24" t="str">
        <f>"0,6487"</f>
        <v>0,6487</v>
      </c>
      <c r="E37" s="24" t="s">
        <v>34</v>
      </c>
      <c r="F37" s="24" t="s">
        <v>538</v>
      </c>
      <c r="G37" s="26" t="s">
        <v>108</v>
      </c>
      <c r="H37" s="26" t="s">
        <v>136</v>
      </c>
      <c r="I37" s="26" t="s">
        <v>539</v>
      </c>
      <c r="J37" s="25" t="s">
        <v>360</v>
      </c>
      <c r="K37" s="24" t="str">
        <f>"182,5"</f>
        <v>182,5</v>
      </c>
      <c r="L37" s="26" t="str">
        <f>"150,1157"</f>
        <v>150,1157</v>
      </c>
      <c r="M37" s="24" t="s">
        <v>190</v>
      </c>
    </row>
    <row r="38" spans="1:13" x14ac:dyDescent="0.2">
      <c r="A38" s="13" t="s">
        <v>541</v>
      </c>
      <c r="B38" s="13" t="s">
        <v>542</v>
      </c>
      <c r="C38" s="13" t="s">
        <v>543</v>
      </c>
      <c r="D38" s="13" t="str">
        <f>"0,6575"</f>
        <v>0,6575</v>
      </c>
      <c r="E38" s="13" t="s">
        <v>34</v>
      </c>
      <c r="F38" s="13" t="s">
        <v>35</v>
      </c>
      <c r="G38" s="16" t="s">
        <v>254</v>
      </c>
      <c r="H38" s="16" t="s">
        <v>274</v>
      </c>
      <c r="I38" s="14" t="s">
        <v>21</v>
      </c>
      <c r="J38" s="14"/>
      <c r="K38" s="13" t="str">
        <f>"110,0"</f>
        <v>110,0</v>
      </c>
      <c r="L38" s="16" t="str">
        <f>"121,5783"</f>
        <v>121,5783</v>
      </c>
      <c r="M38" s="13" t="s">
        <v>494</v>
      </c>
    </row>
    <row r="40" spans="1:13" ht="15" x14ac:dyDescent="0.2">
      <c r="A40" s="50" t="s">
        <v>121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3" x14ac:dyDescent="0.2">
      <c r="A41" s="10" t="s">
        <v>545</v>
      </c>
      <c r="B41" s="10" t="s">
        <v>546</v>
      </c>
      <c r="C41" s="10" t="s">
        <v>547</v>
      </c>
      <c r="D41" s="10" t="str">
        <f>"0,6096"</f>
        <v>0,6096</v>
      </c>
      <c r="E41" s="10" t="s">
        <v>106</v>
      </c>
      <c r="F41" s="10" t="s">
        <v>548</v>
      </c>
      <c r="G41" s="11" t="s">
        <v>70</v>
      </c>
      <c r="H41" s="11" t="s">
        <v>69</v>
      </c>
      <c r="I41" s="11" t="s">
        <v>70</v>
      </c>
      <c r="J41" s="12" t="s">
        <v>55</v>
      </c>
      <c r="K41" s="10" t="str">
        <f>"240,0"</f>
        <v>240,0</v>
      </c>
      <c r="L41" s="11" t="str">
        <f>"146,3040"</f>
        <v>146,3040</v>
      </c>
      <c r="M41" s="10" t="s">
        <v>140</v>
      </c>
    </row>
    <row r="42" spans="1:13" x14ac:dyDescent="0.2">
      <c r="A42" s="24" t="s">
        <v>545</v>
      </c>
      <c r="B42" s="24" t="s">
        <v>549</v>
      </c>
      <c r="C42" s="24" t="s">
        <v>547</v>
      </c>
      <c r="D42" s="24" t="str">
        <f>"0,6096"</f>
        <v>0,6096</v>
      </c>
      <c r="E42" s="24" t="s">
        <v>106</v>
      </c>
      <c r="F42" s="24" t="s">
        <v>548</v>
      </c>
      <c r="G42" s="26" t="s">
        <v>70</v>
      </c>
      <c r="H42" s="25"/>
      <c r="I42" s="25"/>
      <c r="J42" s="25"/>
      <c r="K42" s="24" t="str">
        <f>"240,0"</f>
        <v>240,0</v>
      </c>
      <c r="L42" s="26" t="str">
        <f>"146,3040"</f>
        <v>146,3040</v>
      </c>
      <c r="M42" s="24" t="s">
        <v>140</v>
      </c>
    </row>
    <row r="43" spans="1:13" x14ac:dyDescent="0.2">
      <c r="A43" s="24" t="s">
        <v>551</v>
      </c>
      <c r="B43" s="24" t="s">
        <v>552</v>
      </c>
      <c r="C43" s="24" t="s">
        <v>553</v>
      </c>
      <c r="D43" s="24" t="str">
        <f>"0,6118"</f>
        <v>0,6118</v>
      </c>
      <c r="E43" s="24" t="s">
        <v>34</v>
      </c>
      <c r="F43" s="24" t="s">
        <v>35</v>
      </c>
      <c r="G43" s="26" t="s">
        <v>554</v>
      </c>
      <c r="H43" s="26" t="s">
        <v>372</v>
      </c>
      <c r="I43" s="25" t="s">
        <v>116</v>
      </c>
      <c r="J43" s="25"/>
      <c r="K43" s="24" t="str">
        <f>"222,5"</f>
        <v>222,5</v>
      </c>
      <c r="L43" s="26" t="str">
        <f>"136,1255"</f>
        <v>136,1255</v>
      </c>
      <c r="M43" s="24" t="s">
        <v>555</v>
      </c>
    </row>
    <row r="44" spans="1:13" x14ac:dyDescent="0.2">
      <c r="A44" s="24" t="s">
        <v>557</v>
      </c>
      <c r="B44" s="24" t="s">
        <v>558</v>
      </c>
      <c r="C44" s="24" t="s">
        <v>553</v>
      </c>
      <c r="D44" s="24" t="str">
        <f>"0,6118"</f>
        <v>0,6118</v>
      </c>
      <c r="E44" s="24" t="s">
        <v>34</v>
      </c>
      <c r="F44" s="24" t="s">
        <v>538</v>
      </c>
      <c r="G44" s="26" t="s">
        <v>41</v>
      </c>
      <c r="H44" s="26" t="s">
        <v>127</v>
      </c>
      <c r="I44" s="25"/>
      <c r="J44" s="25"/>
      <c r="K44" s="24" t="str">
        <f>"200,0"</f>
        <v>200,0</v>
      </c>
      <c r="L44" s="26" t="str">
        <f>"122,3600"</f>
        <v>122,3600</v>
      </c>
      <c r="M44" s="24" t="s">
        <v>559</v>
      </c>
    </row>
    <row r="45" spans="1:13" x14ac:dyDescent="0.2">
      <c r="A45" s="24" t="s">
        <v>561</v>
      </c>
      <c r="B45" s="24" t="s">
        <v>562</v>
      </c>
      <c r="C45" s="24" t="s">
        <v>296</v>
      </c>
      <c r="D45" s="24" t="str">
        <f>"0,6144"</f>
        <v>0,6144</v>
      </c>
      <c r="E45" s="24" t="s">
        <v>34</v>
      </c>
      <c r="F45" s="24" t="s">
        <v>353</v>
      </c>
      <c r="G45" s="26" t="s">
        <v>108</v>
      </c>
      <c r="H45" s="26" t="s">
        <v>383</v>
      </c>
      <c r="I45" s="25" t="s">
        <v>394</v>
      </c>
      <c r="J45" s="25"/>
      <c r="K45" s="24" t="str">
        <f>"187,5"</f>
        <v>187,5</v>
      </c>
      <c r="L45" s="26" t="str">
        <f>"115,2000"</f>
        <v>115,2000</v>
      </c>
      <c r="M45" s="24" t="s">
        <v>355</v>
      </c>
    </row>
    <row r="46" spans="1:13" x14ac:dyDescent="0.2">
      <c r="A46" s="24" t="s">
        <v>564</v>
      </c>
      <c r="B46" s="24" t="s">
        <v>565</v>
      </c>
      <c r="C46" s="24" t="s">
        <v>566</v>
      </c>
      <c r="D46" s="24" t="str">
        <f>"0,6155"</f>
        <v>0,6155</v>
      </c>
      <c r="E46" s="24" t="s">
        <v>106</v>
      </c>
      <c r="F46" s="24" t="s">
        <v>35</v>
      </c>
      <c r="G46" s="26" t="s">
        <v>136</v>
      </c>
      <c r="H46" s="25" t="s">
        <v>539</v>
      </c>
      <c r="I46" s="26" t="s">
        <v>539</v>
      </c>
      <c r="J46" s="25"/>
      <c r="K46" s="24" t="str">
        <f>"182,5"</f>
        <v>182,5</v>
      </c>
      <c r="L46" s="26" t="str">
        <f>"112,3287"</f>
        <v>112,3287</v>
      </c>
      <c r="M46" s="24" t="s">
        <v>567</v>
      </c>
    </row>
    <row r="47" spans="1:13" x14ac:dyDescent="0.2">
      <c r="A47" s="13" t="s">
        <v>569</v>
      </c>
      <c r="B47" s="13" t="s">
        <v>570</v>
      </c>
      <c r="C47" s="13" t="s">
        <v>408</v>
      </c>
      <c r="D47" s="13" t="str">
        <f>"0,6131"</f>
        <v>0,6131</v>
      </c>
      <c r="E47" s="13" t="s">
        <v>34</v>
      </c>
      <c r="F47" s="13" t="s">
        <v>571</v>
      </c>
      <c r="G47" s="16" t="s">
        <v>26</v>
      </c>
      <c r="H47" s="16" t="s">
        <v>27</v>
      </c>
      <c r="I47" s="14"/>
      <c r="J47" s="14"/>
      <c r="K47" s="13" t="str">
        <f>"150,0"</f>
        <v>150,0</v>
      </c>
      <c r="L47" s="16" t="str">
        <f>"99,5061"</f>
        <v>99,5061</v>
      </c>
      <c r="M47" s="13" t="s">
        <v>572</v>
      </c>
    </row>
    <row r="49" spans="1:13" ht="15" x14ac:dyDescent="0.2">
      <c r="A49" s="50" t="s">
        <v>64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3" x14ac:dyDescent="0.2">
      <c r="A50" s="10" t="s">
        <v>574</v>
      </c>
      <c r="B50" s="10" t="s">
        <v>575</v>
      </c>
      <c r="C50" s="10" t="s">
        <v>576</v>
      </c>
      <c r="D50" s="10" t="str">
        <f>"0,5948"</f>
        <v>0,5948</v>
      </c>
      <c r="E50" s="10" t="s">
        <v>34</v>
      </c>
      <c r="F50" s="10" t="s">
        <v>577</v>
      </c>
      <c r="G50" s="11" t="s">
        <v>217</v>
      </c>
      <c r="H50" s="11" t="s">
        <v>578</v>
      </c>
      <c r="I50" s="11" t="s">
        <v>43</v>
      </c>
      <c r="J50" s="12"/>
      <c r="K50" s="10" t="str">
        <f>"207,5"</f>
        <v>207,5</v>
      </c>
      <c r="L50" s="11" t="str">
        <f>"123,4210"</f>
        <v>123,4210</v>
      </c>
      <c r="M50" s="10" t="s">
        <v>579</v>
      </c>
    </row>
    <row r="51" spans="1:13" x14ac:dyDescent="0.2">
      <c r="A51" s="24" t="s">
        <v>581</v>
      </c>
      <c r="B51" s="24" t="s">
        <v>582</v>
      </c>
      <c r="C51" s="24" t="s">
        <v>583</v>
      </c>
      <c r="D51" s="24" t="str">
        <f>"0,5909"</f>
        <v>0,5909</v>
      </c>
      <c r="E51" s="24" t="s">
        <v>34</v>
      </c>
      <c r="F51" s="24" t="s">
        <v>35</v>
      </c>
      <c r="G51" s="26" t="s">
        <v>360</v>
      </c>
      <c r="H51" s="26" t="s">
        <v>217</v>
      </c>
      <c r="I51" s="26" t="s">
        <v>127</v>
      </c>
      <c r="J51" s="25"/>
      <c r="K51" s="24" t="str">
        <f>"200,0"</f>
        <v>200,0</v>
      </c>
      <c r="L51" s="26" t="str">
        <f>"118,1800"</f>
        <v>118,1800</v>
      </c>
      <c r="M51" s="24" t="s">
        <v>584</v>
      </c>
    </row>
    <row r="52" spans="1:13" x14ac:dyDescent="0.2">
      <c r="A52" s="24" t="s">
        <v>586</v>
      </c>
      <c r="B52" s="24" t="s">
        <v>587</v>
      </c>
      <c r="C52" s="24" t="s">
        <v>588</v>
      </c>
      <c r="D52" s="24" t="str">
        <f>"0,5966"</f>
        <v>0,5966</v>
      </c>
      <c r="E52" s="24" t="s">
        <v>34</v>
      </c>
      <c r="F52" s="24" t="s">
        <v>35</v>
      </c>
      <c r="G52" s="26" t="s">
        <v>129</v>
      </c>
      <c r="H52" s="26" t="s">
        <v>152</v>
      </c>
      <c r="I52" s="26" t="s">
        <v>116</v>
      </c>
      <c r="J52" s="25" t="s">
        <v>69</v>
      </c>
      <c r="K52" s="24" t="str">
        <f>"225,0"</f>
        <v>225,0</v>
      </c>
      <c r="L52" s="26" t="str">
        <f>"141,6179"</f>
        <v>141,6179</v>
      </c>
      <c r="M52" s="24" t="s">
        <v>589</v>
      </c>
    </row>
    <row r="53" spans="1:13" x14ac:dyDescent="0.2">
      <c r="A53" s="24" t="s">
        <v>591</v>
      </c>
      <c r="B53" s="24" t="s">
        <v>592</v>
      </c>
      <c r="C53" s="24" t="s">
        <v>593</v>
      </c>
      <c r="D53" s="24" t="str">
        <f>"0,5900"</f>
        <v>0,5900</v>
      </c>
      <c r="E53" s="24" t="s">
        <v>34</v>
      </c>
      <c r="F53" s="24" t="s">
        <v>35</v>
      </c>
      <c r="G53" s="26" t="s">
        <v>243</v>
      </c>
      <c r="H53" s="25" t="s">
        <v>594</v>
      </c>
      <c r="I53" s="25" t="s">
        <v>594</v>
      </c>
      <c r="J53" s="25"/>
      <c r="K53" s="24" t="str">
        <f>"162,5"</f>
        <v>162,5</v>
      </c>
      <c r="L53" s="26" t="str">
        <f>"101,1481"</f>
        <v>101,1481</v>
      </c>
      <c r="M53" s="24" t="s">
        <v>190</v>
      </c>
    </row>
    <row r="54" spans="1:13" x14ac:dyDescent="0.2">
      <c r="A54" s="13" t="s">
        <v>596</v>
      </c>
      <c r="B54" s="13" t="s">
        <v>597</v>
      </c>
      <c r="C54" s="13" t="s">
        <v>598</v>
      </c>
      <c r="D54" s="13" t="str">
        <f>"0,5964"</f>
        <v>0,5964</v>
      </c>
      <c r="E54" s="13" t="s">
        <v>106</v>
      </c>
      <c r="F54" s="13" t="s">
        <v>599</v>
      </c>
      <c r="G54" s="14" t="s">
        <v>136</v>
      </c>
      <c r="H54" s="16" t="s">
        <v>136</v>
      </c>
      <c r="I54" s="14" t="s">
        <v>41</v>
      </c>
      <c r="J54" s="14"/>
      <c r="K54" s="13" t="str">
        <f>"180,0"</f>
        <v>180,0</v>
      </c>
      <c r="L54" s="16" t="str">
        <f>"129,2518"</f>
        <v>129,2518</v>
      </c>
      <c r="M54" s="13" t="s">
        <v>600</v>
      </c>
    </row>
    <row r="56" spans="1:13" ht="15" x14ac:dyDescent="0.2">
      <c r="A56" s="50" t="s">
        <v>161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</row>
    <row r="57" spans="1:13" x14ac:dyDescent="0.2">
      <c r="A57" s="10" t="s">
        <v>602</v>
      </c>
      <c r="B57" s="10" t="s">
        <v>603</v>
      </c>
      <c r="C57" s="10" t="s">
        <v>604</v>
      </c>
      <c r="D57" s="10" t="str">
        <f>"0,5736"</f>
        <v>0,5736</v>
      </c>
      <c r="E57" s="10" t="s">
        <v>34</v>
      </c>
      <c r="F57" s="10" t="s">
        <v>263</v>
      </c>
      <c r="G57" s="11" t="s">
        <v>152</v>
      </c>
      <c r="H57" s="11" t="s">
        <v>605</v>
      </c>
      <c r="I57" s="11" t="s">
        <v>606</v>
      </c>
      <c r="J57" s="12"/>
      <c r="K57" s="10" t="str">
        <f>"232,5"</f>
        <v>232,5</v>
      </c>
      <c r="L57" s="11" t="str">
        <f>"133,3620"</f>
        <v>133,3620</v>
      </c>
      <c r="M57" s="10" t="s">
        <v>607</v>
      </c>
    </row>
    <row r="58" spans="1:13" x14ac:dyDescent="0.2">
      <c r="A58" s="13" t="s">
        <v>609</v>
      </c>
      <c r="B58" s="13" t="s">
        <v>610</v>
      </c>
      <c r="C58" s="13" t="s">
        <v>611</v>
      </c>
      <c r="D58" s="13" t="str">
        <f>"0,5745"</f>
        <v>0,5745</v>
      </c>
      <c r="E58" s="13" t="s">
        <v>34</v>
      </c>
      <c r="F58" s="13" t="s">
        <v>612</v>
      </c>
      <c r="G58" s="16" t="s">
        <v>37</v>
      </c>
      <c r="H58" s="14" t="s">
        <v>136</v>
      </c>
      <c r="I58" s="14" t="s">
        <v>127</v>
      </c>
      <c r="J58" s="14"/>
      <c r="K58" s="13" t="str">
        <f>"170,0"</f>
        <v>170,0</v>
      </c>
      <c r="L58" s="16" t="str">
        <f>"100,6926"</f>
        <v>100,6926</v>
      </c>
      <c r="M58" s="13" t="s">
        <v>190</v>
      </c>
    </row>
    <row r="60" spans="1:13" ht="15" x14ac:dyDescent="0.2">
      <c r="A60" s="50" t="s">
        <v>613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</row>
    <row r="61" spans="1:13" x14ac:dyDescent="0.2">
      <c r="A61" s="7" t="s">
        <v>615</v>
      </c>
      <c r="B61" s="7" t="s">
        <v>616</v>
      </c>
      <c r="C61" s="7" t="s">
        <v>617</v>
      </c>
      <c r="D61" s="7" t="str">
        <f>"0,5430"</f>
        <v>0,5430</v>
      </c>
      <c r="E61" s="7" t="s">
        <v>34</v>
      </c>
      <c r="F61" s="7" t="s">
        <v>35</v>
      </c>
      <c r="G61" s="8" t="s">
        <v>129</v>
      </c>
      <c r="H61" s="8" t="s">
        <v>152</v>
      </c>
      <c r="I61" s="9" t="s">
        <v>69</v>
      </c>
      <c r="J61" s="9"/>
      <c r="K61" s="7" t="str">
        <f>"220,0"</f>
        <v>220,0</v>
      </c>
      <c r="L61" s="8" t="str">
        <f>"119,4600"</f>
        <v>119,4600</v>
      </c>
      <c r="M61" s="7" t="s">
        <v>190</v>
      </c>
    </row>
    <row r="63" spans="1:13" ht="15" x14ac:dyDescent="0.2">
      <c r="E63" s="15" t="s">
        <v>74</v>
      </c>
    </row>
    <row r="64" spans="1:13" ht="15" x14ac:dyDescent="0.2">
      <c r="E64" s="15" t="s">
        <v>75</v>
      </c>
    </row>
    <row r="65" spans="1:5" ht="15" x14ac:dyDescent="0.2">
      <c r="E65" s="15" t="s">
        <v>76</v>
      </c>
    </row>
    <row r="66" spans="1:5" ht="15" x14ac:dyDescent="0.2">
      <c r="E66" s="15" t="s">
        <v>77</v>
      </c>
    </row>
    <row r="67" spans="1:5" ht="15" x14ac:dyDescent="0.2">
      <c r="E67" s="15" t="s">
        <v>77</v>
      </c>
    </row>
    <row r="68" spans="1:5" ht="15" x14ac:dyDescent="0.2">
      <c r="E68" s="15" t="s">
        <v>78</v>
      </c>
    </row>
    <row r="69" spans="1:5" ht="15" x14ac:dyDescent="0.2">
      <c r="E69" s="15"/>
    </row>
    <row r="71" spans="1:5" ht="18" x14ac:dyDescent="0.25">
      <c r="A71" s="17" t="s">
        <v>79</v>
      </c>
      <c r="B71" s="17"/>
    </row>
    <row r="72" spans="1:5" ht="15" x14ac:dyDescent="0.2">
      <c r="A72" s="18" t="s">
        <v>80</v>
      </c>
      <c r="B72" s="18"/>
    </row>
    <row r="73" spans="1:5" ht="14.25" x14ac:dyDescent="0.2">
      <c r="A73" s="20"/>
      <c r="B73" s="21" t="s">
        <v>92</v>
      </c>
    </row>
    <row r="74" spans="1:5" ht="15" x14ac:dyDescent="0.2">
      <c r="A74" s="22" t="s">
        <v>82</v>
      </c>
      <c r="B74" s="22" t="s">
        <v>83</v>
      </c>
      <c r="C74" s="22" t="s">
        <v>84</v>
      </c>
      <c r="D74" s="22" t="s">
        <v>85</v>
      </c>
      <c r="E74" s="22" t="s">
        <v>86</v>
      </c>
    </row>
    <row r="75" spans="1:5" x14ac:dyDescent="0.2">
      <c r="A75" s="19" t="s">
        <v>443</v>
      </c>
      <c r="B75" s="4" t="s">
        <v>92</v>
      </c>
      <c r="C75" s="4" t="s">
        <v>88</v>
      </c>
      <c r="D75" s="4" t="s">
        <v>24</v>
      </c>
      <c r="E75" s="23" t="s">
        <v>618</v>
      </c>
    </row>
    <row r="76" spans="1:5" x14ac:dyDescent="0.2">
      <c r="A76" s="19" t="s">
        <v>449</v>
      </c>
      <c r="B76" s="4" t="s">
        <v>92</v>
      </c>
      <c r="C76" s="4" t="s">
        <v>88</v>
      </c>
      <c r="D76" s="4" t="s">
        <v>454</v>
      </c>
      <c r="E76" s="23" t="s">
        <v>619</v>
      </c>
    </row>
    <row r="78" spans="1:5" ht="14.25" x14ac:dyDescent="0.2">
      <c r="A78" s="20"/>
      <c r="B78" s="21" t="s">
        <v>81</v>
      </c>
    </row>
    <row r="79" spans="1:5" ht="15" x14ac:dyDescent="0.2">
      <c r="A79" s="22" t="s">
        <v>82</v>
      </c>
      <c r="B79" s="22" t="s">
        <v>83</v>
      </c>
      <c r="C79" s="22" t="s">
        <v>84</v>
      </c>
      <c r="D79" s="22" t="s">
        <v>85</v>
      </c>
      <c r="E79" s="22" t="s">
        <v>86</v>
      </c>
    </row>
    <row r="80" spans="1:5" x14ac:dyDescent="0.2">
      <c r="A80" s="19" t="s">
        <v>456</v>
      </c>
      <c r="B80" s="4" t="s">
        <v>620</v>
      </c>
      <c r="C80" s="4" t="s">
        <v>318</v>
      </c>
      <c r="D80" s="4" t="s">
        <v>447</v>
      </c>
      <c r="E80" s="23" t="s">
        <v>621</v>
      </c>
    </row>
    <row r="83" spans="1:5" ht="15" x14ac:dyDescent="0.2">
      <c r="A83" s="18" t="s">
        <v>91</v>
      </c>
      <c r="B83" s="18"/>
    </row>
    <row r="84" spans="1:5" ht="14.25" x14ac:dyDescent="0.2">
      <c r="A84" s="20"/>
      <c r="B84" s="21" t="s">
        <v>422</v>
      </c>
    </row>
    <row r="85" spans="1:5" ht="15" x14ac:dyDescent="0.2">
      <c r="A85" s="22" t="s">
        <v>82</v>
      </c>
      <c r="B85" s="22" t="s">
        <v>83</v>
      </c>
      <c r="C85" s="22" t="s">
        <v>84</v>
      </c>
      <c r="D85" s="22" t="s">
        <v>85</v>
      </c>
      <c r="E85" s="22" t="s">
        <v>86</v>
      </c>
    </row>
    <row r="86" spans="1:5" x14ac:dyDescent="0.2">
      <c r="A86" s="19" t="s">
        <v>468</v>
      </c>
      <c r="B86" s="4" t="s">
        <v>423</v>
      </c>
      <c r="C86" s="4" t="s">
        <v>318</v>
      </c>
      <c r="D86" s="4" t="s">
        <v>347</v>
      </c>
      <c r="E86" s="23" t="s">
        <v>622</v>
      </c>
    </row>
    <row r="87" spans="1:5" x14ac:dyDescent="0.2">
      <c r="A87" s="19" t="s">
        <v>461</v>
      </c>
      <c r="B87" s="4" t="s">
        <v>423</v>
      </c>
      <c r="C87" s="4" t="s">
        <v>313</v>
      </c>
      <c r="D87" s="4" t="s">
        <v>255</v>
      </c>
      <c r="E87" s="23" t="s">
        <v>623</v>
      </c>
    </row>
    <row r="89" spans="1:5" ht="14.25" x14ac:dyDescent="0.2">
      <c r="A89" s="20"/>
      <c r="B89" s="21" t="s">
        <v>168</v>
      </c>
    </row>
    <row r="90" spans="1:5" ht="15" x14ac:dyDescent="0.2">
      <c r="A90" s="22" t="s">
        <v>82</v>
      </c>
      <c r="B90" s="22" t="s">
        <v>83</v>
      </c>
      <c r="C90" s="22" t="s">
        <v>84</v>
      </c>
      <c r="D90" s="22" t="s">
        <v>85</v>
      </c>
      <c r="E90" s="22" t="s">
        <v>86</v>
      </c>
    </row>
    <row r="91" spans="1:5" x14ac:dyDescent="0.2">
      <c r="A91" s="19" t="s">
        <v>544</v>
      </c>
      <c r="B91" s="4" t="s">
        <v>169</v>
      </c>
      <c r="C91" s="4" t="s">
        <v>170</v>
      </c>
      <c r="D91" s="4" t="s">
        <v>70</v>
      </c>
      <c r="E91" s="23" t="s">
        <v>624</v>
      </c>
    </row>
    <row r="93" spans="1:5" ht="14.25" x14ac:dyDescent="0.2">
      <c r="A93" s="20"/>
      <c r="B93" s="21" t="s">
        <v>92</v>
      </c>
    </row>
    <row r="94" spans="1:5" ht="15" x14ac:dyDescent="0.2">
      <c r="A94" s="22" t="s">
        <v>82</v>
      </c>
      <c r="B94" s="22" t="s">
        <v>83</v>
      </c>
      <c r="C94" s="22" t="s">
        <v>84</v>
      </c>
      <c r="D94" s="22" t="s">
        <v>85</v>
      </c>
      <c r="E94" s="22" t="s">
        <v>86</v>
      </c>
    </row>
    <row r="95" spans="1:5" x14ac:dyDescent="0.2">
      <c r="A95" s="19" t="s">
        <v>544</v>
      </c>
      <c r="B95" s="4" t="s">
        <v>92</v>
      </c>
      <c r="C95" s="4" t="s">
        <v>170</v>
      </c>
      <c r="D95" s="4" t="s">
        <v>70</v>
      </c>
      <c r="E95" s="23" t="s">
        <v>624</v>
      </c>
    </row>
    <row r="96" spans="1:5" x14ac:dyDescent="0.2">
      <c r="A96" s="19" t="s">
        <v>550</v>
      </c>
      <c r="B96" s="4" t="s">
        <v>92</v>
      </c>
      <c r="C96" s="4" t="s">
        <v>170</v>
      </c>
      <c r="D96" s="4" t="s">
        <v>372</v>
      </c>
      <c r="E96" s="23" t="s">
        <v>625</v>
      </c>
    </row>
    <row r="97" spans="1:5" x14ac:dyDescent="0.2">
      <c r="A97" s="19" t="s">
        <v>601</v>
      </c>
      <c r="B97" s="4" t="s">
        <v>92</v>
      </c>
      <c r="C97" s="4" t="s">
        <v>181</v>
      </c>
      <c r="D97" s="4" t="s">
        <v>606</v>
      </c>
      <c r="E97" s="23" t="s">
        <v>626</v>
      </c>
    </row>
    <row r="98" spans="1:5" x14ac:dyDescent="0.2">
      <c r="A98" s="19" t="s">
        <v>512</v>
      </c>
      <c r="B98" s="4" t="s">
        <v>92</v>
      </c>
      <c r="C98" s="4" t="s">
        <v>93</v>
      </c>
      <c r="D98" s="4" t="s">
        <v>127</v>
      </c>
      <c r="E98" s="23" t="s">
        <v>627</v>
      </c>
    </row>
    <row r="99" spans="1:5" x14ac:dyDescent="0.2">
      <c r="A99" s="19" t="s">
        <v>573</v>
      </c>
      <c r="B99" s="4" t="s">
        <v>92</v>
      </c>
      <c r="C99" s="4" t="s">
        <v>96</v>
      </c>
      <c r="D99" s="4" t="s">
        <v>43</v>
      </c>
      <c r="E99" s="23" t="s">
        <v>628</v>
      </c>
    </row>
    <row r="100" spans="1:5" x14ac:dyDescent="0.2">
      <c r="A100" s="19" t="s">
        <v>517</v>
      </c>
      <c r="B100" s="4" t="s">
        <v>92</v>
      </c>
      <c r="C100" s="4" t="s">
        <v>93</v>
      </c>
      <c r="D100" s="4" t="s">
        <v>41</v>
      </c>
      <c r="E100" s="23" t="s">
        <v>629</v>
      </c>
    </row>
    <row r="101" spans="1:5" x14ac:dyDescent="0.2">
      <c r="A101" s="19" t="s">
        <v>556</v>
      </c>
      <c r="B101" s="4" t="s">
        <v>92</v>
      </c>
      <c r="C101" s="4" t="s">
        <v>170</v>
      </c>
      <c r="D101" s="4" t="s">
        <v>127</v>
      </c>
      <c r="E101" s="23" t="s">
        <v>630</v>
      </c>
    </row>
    <row r="102" spans="1:5" x14ac:dyDescent="0.2">
      <c r="A102" s="19" t="s">
        <v>521</v>
      </c>
      <c r="B102" s="4" t="s">
        <v>92</v>
      </c>
      <c r="C102" s="4" t="s">
        <v>93</v>
      </c>
      <c r="D102" s="4" t="s">
        <v>360</v>
      </c>
      <c r="E102" s="23" t="s">
        <v>631</v>
      </c>
    </row>
    <row r="103" spans="1:5" x14ac:dyDescent="0.2">
      <c r="A103" s="19" t="s">
        <v>614</v>
      </c>
      <c r="B103" s="4" t="s">
        <v>92</v>
      </c>
      <c r="C103" s="4" t="s">
        <v>632</v>
      </c>
      <c r="D103" s="4" t="s">
        <v>152</v>
      </c>
      <c r="E103" s="23" t="s">
        <v>633</v>
      </c>
    </row>
    <row r="104" spans="1:5" x14ac:dyDescent="0.2">
      <c r="A104" s="19" t="s">
        <v>580</v>
      </c>
      <c r="B104" s="4" t="s">
        <v>92</v>
      </c>
      <c r="C104" s="4" t="s">
        <v>96</v>
      </c>
      <c r="D104" s="4" t="s">
        <v>127</v>
      </c>
      <c r="E104" s="23" t="s">
        <v>634</v>
      </c>
    </row>
    <row r="105" spans="1:5" x14ac:dyDescent="0.2">
      <c r="A105" s="19" t="s">
        <v>560</v>
      </c>
      <c r="B105" s="4" t="s">
        <v>92</v>
      </c>
      <c r="C105" s="4" t="s">
        <v>170</v>
      </c>
      <c r="D105" s="4" t="s">
        <v>383</v>
      </c>
      <c r="E105" s="23" t="s">
        <v>635</v>
      </c>
    </row>
    <row r="106" spans="1:5" x14ac:dyDescent="0.2">
      <c r="A106" s="19" t="s">
        <v>563</v>
      </c>
      <c r="B106" s="4" t="s">
        <v>92</v>
      </c>
      <c r="C106" s="4" t="s">
        <v>170</v>
      </c>
      <c r="D106" s="4" t="s">
        <v>539</v>
      </c>
      <c r="E106" s="23" t="s">
        <v>636</v>
      </c>
    </row>
    <row r="107" spans="1:5" x14ac:dyDescent="0.2">
      <c r="A107" s="19" t="s">
        <v>526</v>
      </c>
      <c r="B107" s="4" t="s">
        <v>92</v>
      </c>
      <c r="C107" s="4" t="s">
        <v>93</v>
      </c>
      <c r="D107" s="4" t="s">
        <v>71</v>
      </c>
      <c r="E107" s="23" t="s">
        <v>637</v>
      </c>
    </row>
    <row r="108" spans="1:5" x14ac:dyDescent="0.2">
      <c r="A108" s="19" t="s">
        <v>500</v>
      </c>
      <c r="B108" s="4" t="s">
        <v>92</v>
      </c>
      <c r="C108" s="4" t="s">
        <v>99</v>
      </c>
      <c r="D108" s="4" t="s">
        <v>54</v>
      </c>
      <c r="E108" s="23" t="s">
        <v>638</v>
      </c>
    </row>
    <row r="109" spans="1:5" x14ac:dyDescent="0.2">
      <c r="A109" s="19" t="s">
        <v>473</v>
      </c>
      <c r="B109" s="4" t="s">
        <v>92</v>
      </c>
      <c r="C109" s="4" t="s">
        <v>414</v>
      </c>
      <c r="D109" s="4" t="s">
        <v>477</v>
      </c>
      <c r="E109" s="23" t="s">
        <v>639</v>
      </c>
    </row>
    <row r="110" spans="1:5" x14ac:dyDescent="0.2">
      <c r="A110" s="19" t="s">
        <v>479</v>
      </c>
      <c r="B110" s="4" t="s">
        <v>92</v>
      </c>
      <c r="C110" s="4" t="s">
        <v>414</v>
      </c>
      <c r="D110" s="4" t="s">
        <v>483</v>
      </c>
      <c r="E110" s="23" t="s">
        <v>640</v>
      </c>
    </row>
    <row r="112" spans="1:5" ht="14.25" x14ac:dyDescent="0.2">
      <c r="A112" s="20"/>
      <c r="B112" s="21" t="s">
        <v>81</v>
      </c>
    </row>
    <row r="113" spans="1:5" ht="15" x14ac:dyDescent="0.2">
      <c r="A113" s="22" t="s">
        <v>82</v>
      </c>
      <c r="B113" s="22" t="s">
        <v>83</v>
      </c>
      <c r="C113" s="22" t="s">
        <v>84</v>
      </c>
      <c r="D113" s="22" t="s">
        <v>85</v>
      </c>
      <c r="E113" s="22" t="s">
        <v>86</v>
      </c>
    </row>
    <row r="114" spans="1:5" x14ac:dyDescent="0.2">
      <c r="A114" s="19" t="s">
        <v>535</v>
      </c>
      <c r="B114" s="4" t="s">
        <v>420</v>
      </c>
      <c r="C114" s="4" t="s">
        <v>93</v>
      </c>
      <c r="D114" s="4" t="s">
        <v>539</v>
      </c>
      <c r="E114" s="23" t="s">
        <v>641</v>
      </c>
    </row>
    <row r="115" spans="1:5" x14ac:dyDescent="0.2">
      <c r="A115" s="19" t="s">
        <v>507</v>
      </c>
      <c r="B115" s="4" t="s">
        <v>642</v>
      </c>
      <c r="C115" s="4" t="s">
        <v>99</v>
      </c>
      <c r="D115" s="4" t="s">
        <v>265</v>
      </c>
      <c r="E115" s="23" t="s">
        <v>643</v>
      </c>
    </row>
    <row r="116" spans="1:5" x14ac:dyDescent="0.2">
      <c r="A116" s="19" t="s">
        <v>585</v>
      </c>
      <c r="B116" s="4" t="s">
        <v>644</v>
      </c>
      <c r="C116" s="4" t="s">
        <v>96</v>
      </c>
      <c r="D116" s="4" t="s">
        <v>116</v>
      </c>
      <c r="E116" s="23" t="s">
        <v>645</v>
      </c>
    </row>
    <row r="117" spans="1:5" x14ac:dyDescent="0.2">
      <c r="A117" s="19" t="s">
        <v>595</v>
      </c>
      <c r="B117" s="4" t="s">
        <v>620</v>
      </c>
      <c r="C117" s="4" t="s">
        <v>96</v>
      </c>
      <c r="D117" s="4" t="s">
        <v>136</v>
      </c>
      <c r="E117" s="23" t="s">
        <v>646</v>
      </c>
    </row>
    <row r="118" spans="1:5" x14ac:dyDescent="0.2">
      <c r="A118" s="19" t="s">
        <v>540</v>
      </c>
      <c r="B118" s="4" t="s">
        <v>647</v>
      </c>
      <c r="C118" s="4" t="s">
        <v>93</v>
      </c>
      <c r="D118" s="4" t="s">
        <v>274</v>
      </c>
      <c r="E118" s="23" t="s">
        <v>648</v>
      </c>
    </row>
    <row r="119" spans="1:5" x14ac:dyDescent="0.2">
      <c r="A119" s="19" t="s">
        <v>490</v>
      </c>
      <c r="B119" s="4" t="s">
        <v>647</v>
      </c>
      <c r="C119" s="4" t="s">
        <v>414</v>
      </c>
      <c r="D119" s="4" t="s">
        <v>254</v>
      </c>
      <c r="E119" s="23" t="s">
        <v>649</v>
      </c>
    </row>
    <row r="120" spans="1:5" x14ac:dyDescent="0.2">
      <c r="A120" s="19" t="s">
        <v>495</v>
      </c>
      <c r="B120" s="4" t="s">
        <v>642</v>
      </c>
      <c r="C120" s="4" t="s">
        <v>414</v>
      </c>
      <c r="D120" s="4" t="s">
        <v>447</v>
      </c>
      <c r="E120" s="23" t="s">
        <v>650</v>
      </c>
    </row>
    <row r="121" spans="1:5" x14ac:dyDescent="0.2">
      <c r="A121" s="19" t="s">
        <v>484</v>
      </c>
      <c r="B121" s="4" t="s">
        <v>644</v>
      </c>
      <c r="C121" s="4" t="s">
        <v>414</v>
      </c>
      <c r="D121" s="4" t="s">
        <v>26</v>
      </c>
      <c r="E121" s="23" t="s">
        <v>651</v>
      </c>
    </row>
    <row r="122" spans="1:5" x14ac:dyDescent="0.2">
      <c r="A122" s="19" t="s">
        <v>532</v>
      </c>
      <c r="B122" s="4" t="s">
        <v>644</v>
      </c>
      <c r="C122" s="4" t="s">
        <v>93</v>
      </c>
      <c r="D122" s="4" t="s">
        <v>27</v>
      </c>
      <c r="E122" s="23" t="s">
        <v>652</v>
      </c>
    </row>
    <row r="123" spans="1:5" x14ac:dyDescent="0.2">
      <c r="A123" s="19" t="s">
        <v>590</v>
      </c>
      <c r="B123" s="4" t="s">
        <v>644</v>
      </c>
      <c r="C123" s="4" t="s">
        <v>96</v>
      </c>
      <c r="D123" s="4" t="s">
        <v>243</v>
      </c>
      <c r="E123" s="23" t="s">
        <v>653</v>
      </c>
    </row>
    <row r="124" spans="1:5" x14ac:dyDescent="0.2">
      <c r="A124" s="19" t="s">
        <v>608</v>
      </c>
      <c r="B124" s="4" t="s">
        <v>87</v>
      </c>
      <c r="C124" s="4" t="s">
        <v>181</v>
      </c>
      <c r="D124" s="4" t="s">
        <v>37</v>
      </c>
      <c r="E124" s="23" t="s">
        <v>654</v>
      </c>
    </row>
    <row r="125" spans="1:5" x14ac:dyDescent="0.2">
      <c r="A125" s="19" t="s">
        <v>568</v>
      </c>
      <c r="B125" s="4" t="s">
        <v>644</v>
      </c>
      <c r="C125" s="4" t="s">
        <v>170</v>
      </c>
      <c r="D125" s="4" t="s">
        <v>27</v>
      </c>
      <c r="E125" s="23" t="s">
        <v>655</v>
      </c>
    </row>
    <row r="126" spans="1:5" x14ac:dyDescent="0.2">
      <c r="A126" s="19" t="s">
        <v>479</v>
      </c>
      <c r="B126" s="4" t="s">
        <v>656</v>
      </c>
      <c r="C126" s="4" t="s">
        <v>414</v>
      </c>
      <c r="D126" s="4" t="s">
        <v>483</v>
      </c>
      <c r="E126" s="23" t="s">
        <v>657</v>
      </c>
    </row>
    <row r="127" spans="1:5" x14ac:dyDescent="0.2">
      <c r="A127" s="19" t="s">
        <v>504</v>
      </c>
      <c r="B127" s="4" t="s">
        <v>87</v>
      </c>
      <c r="C127" s="4" t="s">
        <v>99</v>
      </c>
      <c r="D127" s="4" t="s">
        <v>274</v>
      </c>
      <c r="E127" s="23" t="s">
        <v>658</v>
      </c>
    </row>
  </sheetData>
  <mergeCells count="22">
    <mergeCell ref="A56:L56"/>
    <mergeCell ref="A60:L60"/>
    <mergeCell ref="A15:L15"/>
    <mergeCell ref="A18:L18"/>
    <mergeCell ref="A26:L26"/>
    <mergeCell ref="A31:L31"/>
    <mergeCell ref="A40:L40"/>
    <mergeCell ref="A49:L49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425781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5.85546875" style="4" bestFit="1" customWidth="1"/>
    <col min="22" max="16384" width="9.140625" style="3"/>
  </cols>
  <sheetData>
    <row r="1" spans="1:21" s="2" customFormat="1" ht="29.1" customHeight="1" x14ac:dyDescent="0.2">
      <c r="A1" s="51" t="s">
        <v>1353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1" s="2" customFormat="1" ht="62.1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 x14ac:dyDescent="0.2">
      <c r="A3" s="57" t="s">
        <v>0</v>
      </c>
      <c r="B3" s="59" t="s">
        <v>6</v>
      </c>
      <c r="C3" s="59" t="s">
        <v>7</v>
      </c>
      <c r="D3" s="61" t="s">
        <v>9</v>
      </c>
      <c r="E3" s="61" t="s">
        <v>4</v>
      </c>
      <c r="F3" s="61" t="s">
        <v>8</v>
      </c>
      <c r="G3" s="61" t="s">
        <v>10</v>
      </c>
      <c r="H3" s="61"/>
      <c r="I3" s="61"/>
      <c r="J3" s="61"/>
      <c r="K3" s="61" t="s">
        <v>11</v>
      </c>
      <c r="L3" s="61"/>
      <c r="M3" s="61"/>
      <c r="N3" s="61"/>
      <c r="O3" s="61" t="s">
        <v>12</v>
      </c>
      <c r="P3" s="61"/>
      <c r="Q3" s="61"/>
      <c r="R3" s="61"/>
      <c r="S3" s="61" t="s">
        <v>1</v>
      </c>
      <c r="T3" s="61" t="s">
        <v>3</v>
      </c>
      <c r="U3" s="62" t="s">
        <v>2</v>
      </c>
    </row>
    <row r="4" spans="1:21" s="1" customFormat="1" ht="21" customHeight="1" thickBot="1" x14ac:dyDescent="0.25">
      <c r="A4" s="58"/>
      <c r="B4" s="60"/>
      <c r="C4" s="60"/>
      <c r="D4" s="60"/>
      <c r="E4" s="60"/>
      <c r="F4" s="60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60"/>
      <c r="T4" s="60"/>
      <c r="U4" s="63"/>
    </row>
    <row r="5" spans="1:21" ht="15" x14ac:dyDescent="0.2">
      <c r="A5" s="64" t="s">
        <v>13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1" x14ac:dyDescent="0.2">
      <c r="A6" s="7" t="s">
        <v>329</v>
      </c>
      <c r="B6" s="7" t="s">
        <v>330</v>
      </c>
      <c r="C6" s="7" t="s">
        <v>331</v>
      </c>
      <c r="D6" s="7" t="str">
        <f>"1,1325"</f>
        <v>1,1325</v>
      </c>
      <c r="E6" s="7" t="s">
        <v>34</v>
      </c>
      <c r="F6" s="7" t="s">
        <v>332</v>
      </c>
      <c r="G6" s="8" t="s">
        <v>24</v>
      </c>
      <c r="H6" s="8" t="s">
        <v>252</v>
      </c>
      <c r="I6" s="8" t="s">
        <v>257</v>
      </c>
      <c r="J6" s="9"/>
      <c r="K6" s="8" t="s">
        <v>275</v>
      </c>
      <c r="L6" s="8" t="s">
        <v>266</v>
      </c>
      <c r="M6" s="9" t="s">
        <v>333</v>
      </c>
      <c r="N6" s="9"/>
      <c r="O6" s="8" t="s">
        <v>289</v>
      </c>
      <c r="P6" s="8" t="s">
        <v>26</v>
      </c>
      <c r="Q6" s="9" t="s">
        <v>54</v>
      </c>
      <c r="R6" s="9"/>
      <c r="S6" s="7" t="str">
        <f>"285,0"</f>
        <v>285,0</v>
      </c>
      <c r="T6" s="8" t="str">
        <f>"322,7625"</f>
        <v>322,7625</v>
      </c>
      <c r="U6" s="7" t="s">
        <v>334</v>
      </c>
    </row>
    <row r="8" spans="1:21" ht="15" x14ac:dyDescent="0.2">
      <c r="A8" s="50" t="s">
        <v>278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1" x14ac:dyDescent="0.2">
      <c r="A9" s="7" t="s">
        <v>336</v>
      </c>
      <c r="B9" s="7" t="s">
        <v>337</v>
      </c>
      <c r="C9" s="7" t="s">
        <v>338</v>
      </c>
      <c r="D9" s="7" t="str">
        <f>"1,0272"</f>
        <v>1,0272</v>
      </c>
      <c r="E9" s="7" t="s">
        <v>34</v>
      </c>
      <c r="F9" s="7" t="s">
        <v>35</v>
      </c>
      <c r="G9" s="9" t="s">
        <v>283</v>
      </c>
      <c r="H9" s="9" t="s">
        <v>245</v>
      </c>
      <c r="I9" s="8" t="s">
        <v>245</v>
      </c>
      <c r="J9" s="9"/>
      <c r="K9" s="8" t="s">
        <v>339</v>
      </c>
      <c r="L9" s="9" t="s">
        <v>256</v>
      </c>
      <c r="M9" s="9" t="s">
        <v>256</v>
      </c>
      <c r="N9" s="9"/>
      <c r="O9" s="8" t="s">
        <v>340</v>
      </c>
      <c r="P9" s="8" t="s">
        <v>289</v>
      </c>
      <c r="Q9" s="9"/>
      <c r="R9" s="9"/>
      <c r="S9" s="7" t="str">
        <f>"250,0"</f>
        <v>250,0</v>
      </c>
      <c r="T9" s="8" t="str">
        <f>"337,6920"</f>
        <v>337,6920</v>
      </c>
      <c r="U9" s="7" t="s">
        <v>341</v>
      </c>
    </row>
    <row r="11" spans="1:21" ht="15" x14ac:dyDescent="0.2">
      <c r="A11" s="50" t="s">
        <v>342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1" x14ac:dyDescent="0.2">
      <c r="A12" s="10" t="s">
        <v>344</v>
      </c>
      <c r="B12" s="10" t="s">
        <v>345</v>
      </c>
      <c r="C12" s="10" t="s">
        <v>346</v>
      </c>
      <c r="D12" s="10" t="str">
        <f>"0,9843"</f>
        <v>0,9843</v>
      </c>
      <c r="E12" s="10" t="s">
        <v>34</v>
      </c>
      <c r="F12" s="10" t="s">
        <v>263</v>
      </c>
      <c r="G12" s="11" t="s">
        <v>25</v>
      </c>
      <c r="H12" s="11" t="s">
        <v>26</v>
      </c>
      <c r="I12" s="12" t="s">
        <v>145</v>
      </c>
      <c r="J12" s="12"/>
      <c r="K12" s="11" t="s">
        <v>257</v>
      </c>
      <c r="L12" s="11" t="s">
        <v>258</v>
      </c>
      <c r="M12" s="11" t="s">
        <v>347</v>
      </c>
      <c r="N12" s="12"/>
      <c r="O12" s="11" t="s">
        <v>54</v>
      </c>
      <c r="P12" s="11" t="s">
        <v>71</v>
      </c>
      <c r="Q12" s="11" t="s">
        <v>108</v>
      </c>
      <c r="R12" s="12"/>
      <c r="S12" s="10" t="str">
        <f>"417,5"</f>
        <v>417,5</v>
      </c>
      <c r="T12" s="11" t="str">
        <f>"410,9453"</f>
        <v>410,9453</v>
      </c>
      <c r="U12" s="10" t="s">
        <v>348</v>
      </c>
    </row>
    <row r="13" spans="1:21" x14ac:dyDescent="0.2">
      <c r="A13" s="13" t="s">
        <v>350</v>
      </c>
      <c r="B13" s="13" t="s">
        <v>351</v>
      </c>
      <c r="C13" s="13" t="s">
        <v>352</v>
      </c>
      <c r="D13" s="13" t="str">
        <f>"1,0110"</f>
        <v>1,0110</v>
      </c>
      <c r="E13" s="13" t="s">
        <v>34</v>
      </c>
      <c r="F13" s="13" t="s">
        <v>353</v>
      </c>
      <c r="G13" s="16" t="s">
        <v>354</v>
      </c>
      <c r="H13" s="16" t="s">
        <v>39</v>
      </c>
      <c r="I13" s="14" t="s">
        <v>40</v>
      </c>
      <c r="J13" s="14"/>
      <c r="K13" s="16" t="s">
        <v>267</v>
      </c>
      <c r="L13" s="14" t="s">
        <v>268</v>
      </c>
      <c r="M13" s="14"/>
      <c r="N13" s="14"/>
      <c r="O13" s="16" t="s">
        <v>20</v>
      </c>
      <c r="P13" s="16" t="s">
        <v>21</v>
      </c>
      <c r="Q13" s="16" t="s">
        <v>25</v>
      </c>
      <c r="R13" s="14"/>
      <c r="S13" s="13" t="str">
        <f>"302,5"</f>
        <v>302,5</v>
      </c>
      <c r="T13" s="16" t="str">
        <f>"305,8275"</f>
        <v>305,8275</v>
      </c>
      <c r="U13" s="13" t="s">
        <v>355</v>
      </c>
    </row>
    <row r="15" spans="1:21" ht="15" x14ac:dyDescent="0.2">
      <c r="A15" s="50" t="s">
        <v>278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spans="1:21" x14ac:dyDescent="0.2">
      <c r="A16" s="7" t="s">
        <v>357</v>
      </c>
      <c r="B16" s="7" t="s">
        <v>358</v>
      </c>
      <c r="C16" s="7" t="s">
        <v>359</v>
      </c>
      <c r="D16" s="7" t="str">
        <f>"0,7785"</f>
        <v>0,7785</v>
      </c>
      <c r="E16" s="7" t="s">
        <v>106</v>
      </c>
      <c r="F16" s="7" t="s">
        <v>107</v>
      </c>
      <c r="G16" s="8" t="s">
        <v>71</v>
      </c>
      <c r="H16" s="9" t="s">
        <v>108</v>
      </c>
      <c r="I16" s="9" t="s">
        <v>108</v>
      </c>
      <c r="J16" s="9"/>
      <c r="K16" s="8" t="s">
        <v>254</v>
      </c>
      <c r="L16" s="8" t="s">
        <v>38</v>
      </c>
      <c r="M16" s="9" t="s">
        <v>354</v>
      </c>
      <c r="N16" s="9"/>
      <c r="O16" s="8" t="s">
        <v>360</v>
      </c>
      <c r="P16" s="9" t="s">
        <v>130</v>
      </c>
      <c r="Q16" s="9" t="s">
        <v>130</v>
      </c>
      <c r="R16" s="9"/>
      <c r="S16" s="7" t="str">
        <f>"455,0"</f>
        <v>455,0</v>
      </c>
      <c r="T16" s="8" t="str">
        <f>"354,2175"</f>
        <v>354,2175</v>
      </c>
      <c r="U16" s="7" t="s">
        <v>361</v>
      </c>
    </row>
    <row r="18" spans="1:21" ht="15" x14ac:dyDescent="0.2">
      <c r="A18" s="50" t="s">
        <v>342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1" x14ac:dyDescent="0.2">
      <c r="A19" s="10" t="s">
        <v>363</v>
      </c>
      <c r="B19" s="10" t="s">
        <v>364</v>
      </c>
      <c r="C19" s="10" t="s">
        <v>365</v>
      </c>
      <c r="D19" s="10" t="str">
        <f>"0,7510"</f>
        <v>0,7510</v>
      </c>
      <c r="E19" s="10" t="s">
        <v>34</v>
      </c>
      <c r="F19" s="10" t="s">
        <v>366</v>
      </c>
      <c r="G19" s="11" t="s">
        <v>274</v>
      </c>
      <c r="H19" s="11" t="s">
        <v>21</v>
      </c>
      <c r="I19" s="12" t="s">
        <v>25</v>
      </c>
      <c r="J19" s="12"/>
      <c r="K19" s="12" t="s">
        <v>367</v>
      </c>
      <c r="L19" s="11" t="s">
        <v>367</v>
      </c>
      <c r="M19" s="11" t="s">
        <v>265</v>
      </c>
      <c r="N19" s="12"/>
      <c r="O19" s="11" t="s">
        <v>274</v>
      </c>
      <c r="P19" s="11" t="s">
        <v>22</v>
      </c>
      <c r="Q19" s="11" t="s">
        <v>26</v>
      </c>
      <c r="R19" s="12"/>
      <c r="S19" s="10" t="str">
        <f>"355,0"</f>
        <v>355,0</v>
      </c>
      <c r="T19" s="11" t="str">
        <f>"266,6050"</f>
        <v>266,6050</v>
      </c>
      <c r="U19" s="10" t="s">
        <v>73</v>
      </c>
    </row>
    <row r="20" spans="1:21" x14ac:dyDescent="0.2">
      <c r="A20" s="13" t="s">
        <v>369</v>
      </c>
      <c r="B20" s="13" t="s">
        <v>370</v>
      </c>
      <c r="C20" s="13" t="s">
        <v>371</v>
      </c>
      <c r="D20" s="13" t="str">
        <f>"0,7139"</f>
        <v>0,7139</v>
      </c>
      <c r="E20" s="13" t="s">
        <v>34</v>
      </c>
      <c r="F20" s="13" t="s">
        <v>35</v>
      </c>
      <c r="G20" s="16" t="s">
        <v>41</v>
      </c>
      <c r="H20" s="16" t="s">
        <v>129</v>
      </c>
      <c r="I20" s="16" t="s">
        <v>372</v>
      </c>
      <c r="J20" s="14"/>
      <c r="K20" s="16" t="s">
        <v>128</v>
      </c>
      <c r="L20" s="16" t="s">
        <v>27</v>
      </c>
      <c r="M20" s="16" t="s">
        <v>54</v>
      </c>
      <c r="N20" s="14"/>
      <c r="O20" s="16" t="s">
        <v>72</v>
      </c>
      <c r="P20" s="16" t="s">
        <v>307</v>
      </c>
      <c r="Q20" s="14" t="s">
        <v>373</v>
      </c>
      <c r="R20" s="14"/>
      <c r="S20" s="13" t="str">
        <f>"625,0"</f>
        <v>625,0</v>
      </c>
      <c r="T20" s="16" t="str">
        <f>"446,1875"</f>
        <v>446,1875</v>
      </c>
      <c r="U20" s="13" t="s">
        <v>190</v>
      </c>
    </row>
    <row r="22" spans="1:21" ht="15" x14ac:dyDescent="0.2">
      <c r="A22" s="50" t="s">
        <v>29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1:21" x14ac:dyDescent="0.2">
      <c r="A23" s="10" t="s">
        <v>375</v>
      </c>
      <c r="B23" s="10" t="s">
        <v>376</v>
      </c>
      <c r="C23" s="10" t="s">
        <v>377</v>
      </c>
      <c r="D23" s="10" t="str">
        <f>"0,6709"</f>
        <v>0,6709</v>
      </c>
      <c r="E23" s="10" t="s">
        <v>34</v>
      </c>
      <c r="F23" s="10" t="s">
        <v>35</v>
      </c>
      <c r="G23" s="11" t="s">
        <v>54</v>
      </c>
      <c r="H23" s="11" t="s">
        <v>71</v>
      </c>
      <c r="I23" s="12" t="s">
        <v>37</v>
      </c>
      <c r="J23" s="12"/>
      <c r="K23" s="11" t="s">
        <v>20</v>
      </c>
      <c r="L23" s="12" t="s">
        <v>21</v>
      </c>
      <c r="M23" s="11" t="s">
        <v>378</v>
      </c>
      <c r="N23" s="12"/>
      <c r="O23" s="11" t="s">
        <v>129</v>
      </c>
      <c r="P23" s="11" t="s">
        <v>152</v>
      </c>
      <c r="Q23" s="12" t="s">
        <v>116</v>
      </c>
      <c r="R23" s="12"/>
      <c r="S23" s="10" t="str">
        <f>"507,5"</f>
        <v>507,5</v>
      </c>
      <c r="T23" s="11" t="str">
        <f>"340,4817"</f>
        <v>340,4817</v>
      </c>
      <c r="U23" s="10" t="s">
        <v>341</v>
      </c>
    </row>
    <row r="24" spans="1:21" x14ac:dyDescent="0.2">
      <c r="A24" s="13" t="s">
        <v>379</v>
      </c>
      <c r="B24" s="13" t="s">
        <v>380</v>
      </c>
      <c r="C24" s="13" t="s">
        <v>381</v>
      </c>
      <c r="D24" s="13" t="str">
        <f>"0,6759"</f>
        <v>0,6759</v>
      </c>
      <c r="E24" s="13" t="s">
        <v>34</v>
      </c>
      <c r="F24" s="13" t="s">
        <v>382</v>
      </c>
      <c r="G24" s="16" t="s">
        <v>27</v>
      </c>
      <c r="H24" s="14" t="s">
        <v>243</v>
      </c>
      <c r="I24" s="16" t="s">
        <v>243</v>
      </c>
      <c r="J24" s="14"/>
      <c r="K24" s="16" t="s">
        <v>274</v>
      </c>
      <c r="L24" s="16" t="s">
        <v>21</v>
      </c>
      <c r="M24" s="14" t="s">
        <v>25</v>
      </c>
      <c r="N24" s="14"/>
      <c r="O24" s="14" t="s">
        <v>136</v>
      </c>
      <c r="P24" s="14" t="s">
        <v>383</v>
      </c>
      <c r="Q24" s="14" t="s">
        <v>383</v>
      </c>
      <c r="R24" s="14"/>
      <c r="S24" s="13" t="str">
        <f>"0.00"</f>
        <v>0.00</v>
      </c>
      <c r="T24" s="16" t="str">
        <f>"0,0000"</f>
        <v>0,0000</v>
      </c>
      <c r="U24" s="13" t="s">
        <v>291</v>
      </c>
    </row>
    <row r="26" spans="1:21" ht="15" x14ac:dyDescent="0.2">
      <c r="A26" s="50" t="s">
        <v>45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spans="1:21" x14ac:dyDescent="0.2">
      <c r="A27" s="7" t="s">
        <v>385</v>
      </c>
      <c r="B27" s="7" t="s">
        <v>386</v>
      </c>
      <c r="C27" s="7" t="s">
        <v>387</v>
      </c>
      <c r="D27" s="7" t="str">
        <f>"0,6413"</f>
        <v>0,6413</v>
      </c>
      <c r="E27" s="7" t="s">
        <v>34</v>
      </c>
      <c r="F27" s="7" t="s">
        <v>388</v>
      </c>
      <c r="G27" s="8" t="s">
        <v>152</v>
      </c>
      <c r="H27" s="8" t="s">
        <v>72</v>
      </c>
      <c r="I27" s="9" t="s">
        <v>119</v>
      </c>
      <c r="J27" s="9"/>
      <c r="K27" s="8" t="s">
        <v>118</v>
      </c>
      <c r="L27" s="8" t="s">
        <v>54</v>
      </c>
      <c r="M27" s="8" t="s">
        <v>243</v>
      </c>
      <c r="N27" s="9"/>
      <c r="O27" s="8" t="s">
        <v>55</v>
      </c>
      <c r="P27" s="8" t="s">
        <v>51</v>
      </c>
      <c r="Q27" s="8" t="s">
        <v>158</v>
      </c>
      <c r="R27" s="9"/>
      <c r="S27" s="7" t="str">
        <f>"662,5"</f>
        <v>662,5</v>
      </c>
      <c r="T27" s="8" t="str">
        <f>"424,8613"</f>
        <v>424,8613</v>
      </c>
      <c r="U27" s="7" t="s">
        <v>389</v>
      </c>
    </row>
    <row r="29" spans="1:21" ht="15" x14ac:dyDescent="0.2">
      <c r="A29" s="50" t="s">
        <v>121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</row>
    <row r="30" spans="1:21" x14ac:dyDescent="0.2">
      <c r="A30" s="10" t="s">
        <v>391</v>
      </c>
      <c r="B30" s="10" t="s">
        <v>392</v>
      </c>
      <c r="C30" s="10" t="s">
        <v>393</v>
      </c>
      <c r="D30" s="10" t="str">
        <f>"0,6093"</f>
        <v>0,6093</v>
      </c>
      <c r="E30" s="10" t="s">
        <v>34</v>
      </c>
      <c r="F30" s="10" t="s">
        <v>35</v>
      </c>
      <c r="G30" s="12" t="s">
        <v>136</v>
      </c>
      <c r="H30" s="11" t="s">
        <v>360</v>
      </c>
      <c r="I30" s="12" t="s">
        <v>394</v>
      </c>
      <c r="J30" s="12"/>
      <c r="K30" s="11" t="s">
        <v>265</v>
      </c>
      <c r="L30" s="11" t="s">
        <v>254</v>
      </c>
      <c r="M30" s="11" t="s">
        <v>38</v>
      </c>
      <c r="N30" s="12"/>
      <c r="O30" s="11" t="s">
        <v>41</v>
      </c>
      <c r="P30" s="11" t="s">
        <v>127</v>
      </c>
      <c r="Q30" s="12" t="s">
        <v>129</v>
      </c>
      <c r="R30" s="12"/>
      <c r="S30" s="10" t="str">
        <f>"490,0"</f>
        <v>490,0</v>
      </c>
      <c r="T30" s="11" t="str">
        <f>"298,5570"</f>
        <v>298,5570</v>
      </c>
      <c r="U30" s="10" t="s">
        <v>395</v>
      </c>
    </row>
    <row r="31" spans="1:21" x14ac:dyDescent="0.2">
      <c r="A31" s="24" t="s">
        <v>397</v>
      </c>
      <c r="B31" s="24" t="s">
        <v>398</v>
      </c>
      <c r="C31" s="24" t="s">
        <v>399</v>
      </c>
      <c r="D31" s="24" t="str">
        <f>"0,6121"</f>
        <v>0,6121</v>
      </c>
      <c r="E31" s="24" t="s">
        <v>106</v>
      </c>
      <c r="F31" s="24" t="s">
        <v>35</v>
      </c>
      <c r="G31" s="26" t="s">
        <v>127</v>
      </c>
      <c r="H31" s="26" t="s">
        <v>129</v>
      </c>
      <c r="I31" s="26" t="s">
        <v>115</v>
      </c>
      <c r="J31" s="25"/>
      <c r="K31" s="26" t="s">
        <v>37</v>
      </c>
      <c r="L31" s="26" t="s">
        <v>309</v>
      </c>
      <c r="M31" s="26" t="s">
        <v>108</v>
      </c>
      <c r="N31" s="25"/>
      <c r="O31" s="26" t="s">
        <v>72</v>
      </c>
      <c r="P31" s="26" t="s">
        <v>70</v>
      </c>
      <c r="Q31" s="26" t="s">
        <v>55</v>
      </c>
      <c r="R31" s="25"/>
      <c r="S31" s="24" t="str">
        <f>"640,0"</f>
        <v>640,0</v>
      </c>
      <c r="T31" s="26" t="str">
        <f>"391,7440"</f>
        <v>391,7440</v>
      </c>
      <c r="U31" s="24" t="s">
        <v>190</v>
      </c>
    </row>
    <row r="32" spans="1:21" x14ac:dyDescent="0.2">
      <c r="A32" s="24" t="s">
        <v>401</v>
      </c>
      <c r="B32" s="24" t="s">
        <v>402</v>
      </c>
      <c r="C32" s="24" t="s">
        <v>403</v>
      </c>
      <c r="D32" s="24" t="str">
        <f>"0,6203"</f>
        <v>0,6203</v>
      </c>
      <c r="E32" s="24" t="s">
        <v>34</v>
      </c>
      <c r="F32" s="24" t="s">
        <v>404</v>
      </c>
      <c r="G32" s="25" t="s">
        <v>129</v>
      </c>
      <c r="H32" s="26" t="s">
        <v>129</v>
      </c>
      <c r="I32" s="25" t="s">
        <v>116</v>
      </c>
      <c r="J32" s="25"/>
      <c r="K32" s="25" t="s">
        <v>118</v>
      </c>
      <c r="L32" s="26" t="s">
        <v>27</v>
      </c>
      <c r="M32" s="25" t="s">
        <v>54</v>
      </c>
      <c r="N32" s="25"/>
      <c r="O32" s="26" t="s">
        <v>127</v>
      </c>
      <c r="P32" s="26" t="s">
        <v>129</v>
      </c>
      <c r="Q32" s="26" t="s">
        <v>116</v>
      </c>
      <c r="R32" s="25"/>
      <c r="S32" s="24" t="str">
        <f>"585,0"</f>
        <v>585,0</v>
      </c>
      <c r="T32" s="26" t="str">
        <f>"362,8755"</f>
        <v>362,8755</v>
      </c>
      <c r="U32" s="24" t="s">
        <v>73</v>
      </c>
    </row>
    <row r="33" spans="1:21" x14ac:dyDescent="0.2">
      <c r="A33" s="13" t="s">
        <v>406</v>
      </c>
      <c r="B33" s="13" t="s">
        <v>407</v>
      </c>
      <c r="C33" s="13" t="s">
        <v>408</v>
      </c>
      <c r="D33" s="13" t="str">
        <f>"0,6131"</f>
        <v>0,6131</v>
      </c>
      <c r="E33" s="13" t="s">
        <v>106</v>
      </c>
      <c r="F33" s="13" t="s">
        <v>35</v>
      </c>
      <c r="G33" s="16" t="s">
        <v>37</v>
      </c>
      <c r="H33" s="16" t="s">
        <v>136</v>
      </c>
      <c r="I33" s="16" t="s">
        <v>41</v>
      </c>
      <c r="J33" s="14"/>
      <c r="K33" s="16" t="s">
        <v>25</v>
      </c>
      <c r="L33" s="16" t="s">
        <v>26</v>
      </c>
      <c r="M33" s="14" t="s">
        <v>118</v>
      </c>
      <c r="N33" s="14"/>
      <c r="O33" s="16" t="s">
        <v>136</v>
      </c>
      <c r="P33" s="16" t="s">
        <v>41</v>
      </c>
      <c r="Q33" s="16" t="s">
        <v>42</v>
      </c>
      <c r="R33" s="14"/>
      <c r="S33" s="13" t="str">
        <f>"535,0"</f>
        <v>535,0</v>
      </c>
      <c r="T33" s="16" t="str">
        <f>"328,0085"</f>
        <v>328,0085</v>
      </c>
      <c r="U33" s="13" t="s">
        <v>190</v>
      </c>
    </row>
    <row r="35" spans="1:21" ht="15" x14ac:dyDescent="0.2">
      <c r="A35" s="50" t="s">
        <v>64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</row>
    <row r="36" spans="1:21" x14ac:dyDescent="0.2">
      <c r="A36" s="7" t="s">
        <v>410</v>
      </c>
      <c r="B36" s="7" t="s">
        <v>411</v>
      </c>
      <c r="C36" s="7" t="s">
        <v>412</v>
      </c>
      <c r="D36" s="7" t="str">
        <f>"0,5919"</f>
        <v>0,5919</v>
      </c>
      <c r="E36" s="7" t="s">
        <v>106</v>
      </c>
      <c r="F36" s="7" t="s">
        <v>413</v>
      </c>
      <c r="G36" s="9" t="s">
        <v>36</v>
      </c>
      <c r="H36" s="9" t="s">
        <v>36</v>
      </c>
      <c r="I36" s="8" t="s">
        <v>36</v>
      </c>
      <c r="J36" s="9"/>
      <c r="K36" s="8" t="s">
        <v>118</v>
      </c>
      <c r="L36" s="9" t="s">
        <v>27</v>
      </c>
      <c r="M36" s="9" t="s">
        <v>27</v>
      </c>
      <c r="N36" s="9"/>
      <c r="O36" s="8" t="s">
        <v>71</v>
      </c>
      <c r="P36" s="8" t="s">
        <v>309</v>
      </c>
      <c r="Q36" s="8" t="s">
        <v>136</v>
      </c>
      <c r="R36" s="9"/>
      <c r="S36" s="7" t="str">
        <f>"485,0"</f>
        <v>485,0</v>
      </c>
      <c r="T36" s="8" t="str">
        <f>"287,0715"</f>
        <v>287,0715</v>
      </c>
      <c r="U36" s="7" t="s">
        <v>73</v>
      </c>
    </row>
    <row r="38" spans="1:21" ht="15" x14ac:dyDescent="0.2">
      <c r="E38" s="15" t="s">
        <v>74</v>
      </c>
    </row>
    <row r="39" spans="1:21" ht="15" x14ac:dyDescent="0.2">
      <c r="E39" s="15" t="s">
        <v>75</v>
      </c>
    </row>
    <row r="40" spans="1:21" ht="15" x14ac:dyDescent="0.2">
      <c r="E40" s="15" t="s">
        <v>76</v>
      </c>
    </row>
    <row r="41" spans="1:21" ht="15" x14ac:dyDescent="0.2">
      <c r="E41" s="15" t="s">
        <v>77</v>
      </c>
    </row>
    <row r="42" spans="1:21" ht="15" x14ac:dyDescent="0.2">
      <c r="E42" s="15" t="s">
        <v>77</v>
      </c>
    </row>
    <row r="43" spans="1:21" ht="15" x14ac:dyDescent="0.2">
      <c r="E43" s="15" t="s">
        <v>78</v>
      </c>
    </row>
    <row r="44" spans="1:21" ht="15" x14ac:dyDescent="0.2">
      <c r="E44" s="15"/>
    </row>
    <row r="46" spans="1:21" ht="18" x14ac:dyDescent="0.25">
      <c r="A46" s="17" t="s">
        <v>79</v>
      </c>
      <c r="B46" s="17"/>
    </row>
    <row r="47" spans="1:21" ht="15" x14ac:dyDescent="0.2">
      <c r="A47" s="18" t="s">
        <v>80</v>
      </c>
      <c r="B47" s="18"/>
    </row>
    <row r="48" spans="1:21" ht="14.25" x14ac:dyDescent="0.2">
      <c r="A48" s="20"/>
      <c r="B48" s="21" t="s">
        <v>92</v>
      </c>
    </row>
    <row r="49" spans="1:5" ht="15" x14ac:dyDescent="0.2">
      <c r="A49" s="22" t="s">
        <v>82</v>
      </c>
      <c r="B49" s="22" t="s">
        <v>83</v>
      </c>
      <c r="C49" s="22" t="s">
        <v>84</v>
      </c>
      <c r="D49" s="22" t="s">
        <v>85</v>
      </c>
      <c r="E49" s="22" t="s">
        <v>86</v>
      </c>
    </row>
    <row r="50" spans="1:5" x14ac:dyDescent="0.2">
      <c r="A50" s="19" t="s">
        <v>343</v>
      </c>
      <c r="B50" s="4" t="s">
        <v>92</v>
      </c>
      <c r="C50" s="4" t="s">
        <v>414</v>
      </c>
      <c r="D50" s="4" t="s">
        <v>415</v>
      </c>
      <c r="E50" s="23" t="s">
        <v>416</v>
      </c>
    </row>
    <row r="51" spans="1:5" x14ac:dyDescent="0.2">
      <c r="A51" s="19" t="s">
        <v>328</v>
      </c>
      <c r="B51" s="4" t="s">
        <v>92</v>
      </c>
      <c r="C51" s="4" t="s">
        <v>88</v>
      </c>
      <c r="D51" s="4" t="s">
        <v>57</v>
      </c>
      <c r="E51" s="23" t="s">
        <v>417</v>
      </c>
    </row>
    <row r="52" spans="1:5" x14ac:dyDescent="0.2">
      <c r="A52" s="19" t="s">
        <v>349</v>
      </c>
      <c r="B52" s="4" t="s">
        <v>92</v>
      </c>
      <c r="C52" s="4" t="s">
        <v>414</v>
      </c>
      <c r="D52" s="4" t="s">
        <v>418</v>
      </c>
      <c r="E52" s="23" t="s">
        <v>419</v>
      </c>
    </row>
    <row r="54" spans="1:5" ht="14.25" x14ac:dyDescent="0.2">
      <c r="A54" s="20"/>
      <c r="B54" s="21" t="s">
        <v>81</v>
      </c>
    </row>
    <row r="55" spans="1:5" ht="15" x14ac:dyDescent="0.2">
      <c r="A55" s="22" t="s">
        <v>82</v>
      </c>
      <c r="B55" s="22" t="s">
        <v>83</v>
      </c>
      <c r="C55" s="22" t="s">
        <v>84</v>
      </c>
      <c r="D55" s="22" t="s">
        <v>85</v>
      </c>
      <c r="E55" s="22" t="s">
        <v>86</v>
      </c>
    </row>
    <row r="56" spans="1:5" x14ac:dyDescent="0.2">
      <c r="A56" s="19" t="s">
        <v>335</v>
      </c>
      <c r="B56" s="4" t="s">
        <v>420</v>
      </c>
      <c r="C56" s="4" t="s">
        <v>318</v>
      </c>
      <c r="D56" s="4" t="s">
        <v>55</v>
      </c>
      <c r="E56" s="23" t="s">
        <v>421</v>
      </c>
    </row>
    <row r="59" spans="1:5" ht="15" x14ac:dyDescent="0.2">
      <c r="A59" s="18" t="s">
        <v>91</v>
      </c>
      <c r="B59" s="18"/>
    </row>
    <row r="60" spans="1:5" ht="14.25" x14ac:dyDescent="0.2">
      <c r="A60" s="20"/>
      <c r="B60" s="21" t="s">
        <v>422</v>
      </c>
    </row>
    <row r="61" spans="1:5" ht="15" x14ac:dyDescent="0.2">
      <c r="A61" s="22" t="s">
        <v>82</v>
      </c>
      <c r="B61" s="22" t="s">
        <v>83</v>
      </c>
      <c r="C61" s="22" t="s">
        <v>84</v>
      </c>
      <c r="D61" s="22" t="s">
        <v>85</v>
      </c>
      <c r="E61" s="22" t="s">
        <v>86</v>
      </c>
    </row>
    <row r="62" spans="1:5" x14ac:dyDescent="0.2">
      <c r="A62" s="19" t="s">
        <v>356</v>
      </c>
      <c r="B62" s="4" t="s">
        <v>423</v>
      </c>
      <c r="C62" s="4" t="s">
        <v>318</v>
      </c>
      <c r="D62" s="4" t="s">
        <v>424</v>
      </c>
      <c r="E62" s="23" t="s">
        <v>425</v>
      </c>
    </row>
    <row r="63" spans="1:5" x14ac:dyDescent="0.2">
      <c r="A63" s="19" t="s">
        <v>362</v>
      </c>
      <c r="B63" s="4" t="s">
        <v>423</v>
      </c>
      <c r="C63" s="4" t="s">
        <v>414</v>
      </c>
      <c r="D63" s="4" t="s">
        <v>196</v>
      </c>
      <c r="E63" s="23" t="s">
        <v>426</v>
      </c>
    </row>
    <row r="65" spans="1:5" ht="14.25" x14ac:dyDescent="0.2">
      <c r="A65" s="20"/>
      <c r="B65" s="21" t="s">
        <v>168</v>
      </c>
    </row>
    <row r="66" spans="1:5" ht="15" x14ac:dyDescent="0.2">
      <c r="A66" s="22" t="s">
        <v>82</v>
      </c>
      <c r="B66" s="22" t="s">
        <v>83</v>
      </c>
      <c r="C66" s="22" t="s">
        <v>84</v>
      </c>
      <c r="D66" s="22" t="s">
        <v>85</v>
      </c>
      <c r="E66" s="22" t="s">
        <v>86</v>
      </c>
    </row>
    <row r="67" spans="1:5" x14ac:dyDescent="0.2">
      <c r="A67" s="19" t="s">
        <v>390</v>
      </c>
      <c r="B67" s="4" t="s">
        <v>169</v>
      </c>
      <c r="C67" s="4" t="s">
        <v>170</v>
      </c>
      <c r="D67" s="4" t="s">
        <v>427</v>
      </c>
      <c r="E67" s="23" t="s">
        <v>428</v>
      </c>
    </row>
    <row r="69" spans="1:5" ht="14.25" x14ac:dyDescent="0.2">
      <c r="A69" s="20"/>
      <c r="B69" s="21" t="s">
        <v>92</v>
      </c>
    </row>
    <row r="70" spans="1:5" ht="15" x14ac:dyDescent="0.2">
      <c r="A70" s="22" t="s">
        <v>82</v>
      </c>
      <c r="B70" s="22" t="s">
        <v>83</v>
      </c>
      <c r="C70" s="22" t="s">
        <v>84</v>
      </c>
      <c r="D70" s="22" t="s">
        <v>85</v>
      </c>
      <c r="E70" s="22" t="s">
        <v>86</v>
      </c>
    </row>
    <row r="71" spans="1:5" x14ac:dyDescent="0.2">
      <c r="A71" s="19" t="s">
        <v>368</v>
      </c>
      <c r="B71" s="4" t="s">
        <v>92</v>
      </c>
      <c r="C71" s="4" t="s">
        <v>414</v>
      </c>
      <c r="D71" s="4" t="s">
        <v>429</v>
      </c>
      <c r="E71" s="23" t="s">
        <v>430</v>
      </c>
    </row>
    <row r="72" spans="1:5" x14ac:dyDescent="0.2">
      <c r="A72" s="19" t="s">
        <v>384</v>
      </c>
      <c r="B72" s="4" t="s">
        <v>92</v>
      </c>
      <c r="C72" s="4" t="s">
        <v>93</v>
      </c>
      <c r="D72" s="4" t="s">
        <v>431</v>
      </c>
      <c r="E72" s="23" t="s">
        <v>432</v>
      </c>
    </row>
    <row r="73" spans="1:5" x14ac:dyDescent="0.2">
      <c r="A73" s="19" t="s">
        <v>396</v>
      </c>
      <c r="B73" s="4" t="s">
        <v>92</v>
      </c>
      <c r="C73" s="4" t="s">
        <v>170</v>
      </c>
      <c r="D73" s="4" t="s">
        <v>231</v>
      </c>
      <c r="E73" s="23" t="s">
        <v>433</v>
      </c>
    </row>
    <row r="74" spans="1:5" x14ac:dyDescent="0.2">
      <c r="A74" s="19" t="s">
        <v>400</v>
      </c>
      <c r="B74" s="4" t="s">
        <v>92</v>
      </c>
      <c r="C74" s="4" t="s">
        <v>170</v>
      </c>
      <c r="D74" s="4" t="s">
        <v>434</v>
      </c>
      <c r="E74" s="23" t="s">
        <v>435</v>
      </c>
    </row>
    <row r="75" spans="1:5" x14ac:dyDescent="0.2">
      <c r="A75" s="19" t="s">
        <v>374</v>
      </c>
      <c r="B75" s="4" t="s">
        <v>92</v>
      </c>
      <c r="C75" s="4" t="s">
        <v>99</v>
      </c>
      <c r="D75" s="4" t="s">
        <v>436</v>
      </c>
      <c r="E75" s="23" t="s">
        <v>437</v>
      </c>
    </row>
    <row r="76" spans="1:5" x14ac:dyDescent="0.2">
      <c r="A76" s="19" t="s">
        <v>405</v>
      </c>
      <c r="B76" s="4" t="s">
        <v>92</v>
      </c>
      <c r="C76" s="4" t="s">
        <v>170</v>
      </c>
      <c r="D76" s="4" t="s">
        <v>438</v>
      </c>
      <c r="E76" s="23" t="s">
        <v>439</v>
      </c>
    </row>
    <row r="77" spans="1:5" x14ac:dyDescent="0.2">
      <c r="A77" s="19" t="s">
        <v>409</v>
      </c>
      <c r="B77" s="4" t="s">
        <v>92</v>
      </c>
      <c r="C77" s="4" t="s">
        <v>96</v>
      </c>
      <c r="D77" s="4" t="s">
        <v>440</v>
      </c>
      <c r="E77" s="23" t="s">
        <v>441</v>
      </c>
    </row>
  </sheetData>
  <mergeCells count="22">
    <mergeCell ref="A35:T35"/>
    <mergeCell ref="S3:S4"/>
    <mergeCell ref="T3:T4"/>
    <mergeCell ref="U3:U4"/>
    <mergeCell ref="A5:T5"/>
    <mergeCell ref="A8:T8"/>
    <mergeCell ref="A11:T11"/>
    <mergeCell ref="A15:T15"/>
    <mergeCell ref="A18:T18"/>
    <mergeCell ref="A22:T22"/>
    <mergeCell ref="A26:T26"/>
    <mergeCell ref="A29:T29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WPF AM Тяга безэк.</vt:lpstr>
      <vt:lpstr>WPF PRO Тяга в мн сл. эк.</vt:lpstr>
      <vt:lpstr>WPF PRO Тяга безэк.</vt:lpstr>
      <vt:lpstr>WPF AM Жим в 1-сл. эк.</vt:lpstr>
      <vt:lpstr>WPF AM Жим безэк.</vt:lpstr>
      <vt:lpstr>WPF PRO Жим в мн сл. эк.</vt:lpstr>
      <vt:lpstr>WPF PRO Жим в 1-сл. эк.</vt:lpstr>
      <vt:lpstr>WPF PRO Жим безэк.</vt:lpstr>
      <vt:lpstr>WPF AM ПЛ безэк.</vt:lpstr>
      <vt:lpstr>WPF AM ПЛ классик.</vt:lpstr>
      <vt:lpstr>WPF PRO ПЛ в мн сл. эк.</vt:lpstr>
      <vt:lpstr>WPF PRO ПЛ в 1-сл. эк.</vt:lpstr>
      <vt:lpstr>WPF PRO ПЛ безэк.</vt:lpstr>
      <vt:lpstr>WPF PRO ПЛ классик.</vt:lpstr>
      <vt:lpstr>WPU НЖ 1_2 вес с д.к.</vt:lpstr>
      <vt:lpstr>WPU НЖ 1 вес с д.к.</vt:lpstr>
      <vt:lpstr>WPU НЖ 1_2 вес</vt:lpstr>
      <vt:lpstr>WPU НЖ 1 вес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Игорь</cp:lastModifiedBy>
  <cp:lastPrinted>2015-07-16T19:10:53Z</cp:lastPrinted>
  <dcterms:created xsi:type="dcterms:W3CDTF">2002-06-16T13:36:44Z</dcterms:created>
  <dcterms:modified xsi:type="dcterms:W3CDTF">2019-09-19T17:31:52Z</dcterms:modified>
</cp:coreProperties>
</file>