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горь\Google Диск\PowerLifting\WPF\Protocols\"/>
    </mc:Choice>
  </mc:AlternateContent>
  <bookViews>
    <workbookView xWindow="0" yWindow="0" windowWidth="16800" windowHeight="11760" tabRatio="924" activeTab="11"/>
  </bookViews>
  <sheets>
    <sheet name="WPF PRO PL CL" sheetId="5" r:id="rId1"/>
    <sheet name="WPF PRO PL RAW" sheetId="6" r:id="rId2"/>
    <sheet name="WPF PRO BP MP" sheetId="15" r:id="rId3"/>
    <sheet name="WPF PRO BP SP" sheetId="14" r:id="rId4"/>
    <sheet name="WPF PRO BP RAW" sheetId="13" r:id="rId5"/>
    <sheet name="WPF PRO DL RAW" sheetId="19" r:id="rId6"/>
    <sheet name="WPF AM PL SP" sheetId="12" r:id="rId7"/>
    <sheet name="WPF AM PL CL" sheetId="10" r:id="rId8"/>
    <sheet name="WPF AM PL RAW" sheetId="11" r:id="rId9"/>
    <sheet name="WPF AM BP MP" sheetId="16" r:id="rId10"/>
    <sheet name="WPF AM BP SP" sheetId="18" r:id="rId11"/>
    <sheet name="WPF AM BP RAW" sheetId="17" r:id="rId12"/>
    <sheet name="WPF AM DL SP" sheetId="24" r:id="rId13"/>
    <sheet name="WPF AM DL RAW" sheetId="23" r:id="rId14"/>
    <sheet name="WPF PRO НЖ 1 вес" sheetId="30" r:id="rId15"/>
    <sheet name="WPF PRO НЖ 1_2 вес" sheetId="29" r:id="rId16"/>
    <sheet name="WPF AM НЖ 1_2 вес " sheetId="27" r:id="rId17"/>
    <sheet name="WPF AM НЖ 1 вес" sheetId="28" r:id="rId18"/>
  </sheets>
  <definedNames>
    <definedName name="_FilterDatabase" localSheetId="0" hidden="1">'WPF PRO PL CL'!$A$1:$S$3</definedName>
    <definedName name="_FilterDatabase" localSheetId="14" hidden="1">'WPF PRO НЖ 1 вес'!$A$1:$I$3</definedName>
  </definedNames>
  <calcPr calcId="152511" refMode="R1C1"/>
</workbook>
</file>

<file path=xl/calcChain.xml><?xml version="1.0" encoding="utf-8"?>
<calcChain xmlns="http://schemas.openxmlformats.org/spreadsheetml/2006/main">
  <c r="D6" i="30" l="1"/>
  <c r="I6" i="30"/>
  <c r="J6" i="30"/>
  <c r="D7" i="30"/>
  <c r="I7" i="30"/>
  <c r="J7" i="30"/>
  <c r="D8" i="30"/>
  <c r="I8" i="30"/>
  <c r="J8" i="30"/>
  <c r="D9" i="30"/>
  <c r="I9" i="30"/>
  <c r="J9" i="30"/>
  <c r="D10" i="30"/>
  <c r="I10" i="30"/>
  <c r="J10" i="30"/>
  <c r="D13" i="30"/>
  <c r="I13" i="30"/>
  <c r="J13" i="30"/>
  <c r="D14" i="30"/>
  <c r="I14" i="30"/>
  <c r="J14" i="30"/>
  <c r="D15" i="30"/>
  <c r="I15" i="30"/>
  <c r="J15" i="30"/>
  <c r="D18" i="30"/>
  <c r="I18" i="30"/>
  <c r="J18" i="30"/>
  <c r="D19" i="30"/>
  <c r="I19" i="30"/>
  <c r="J19" i="30"/>
  <c r="D20" i="30"/>
  <c r="I20" i="30"/>
  <c r="J20" i="30"/>
  <c r="D21" i="30"/>
  <c r="I21" i="30"/>
  <c r="J21" i="30"/>
  <c r="D24" i="30"/>
  <c r="I24" i="30"/>
  <c r="J24" i="30"/>
  <c r="D27" i="30"/>
  <c r="I27" i="30"/>
  <c r="J27" i="30"/>
  <c r="D6" i="29"/>
  <c r="I6" i="29"/>
  <c r="J6" i="29"/>
  <c r="D6" i="28"/>
  <c r="I6" i="28"/>
  <c r="J6" i="28"/>
  <c r="D7" i="28"/>
  <c r="I7" i="28"/>
  <c r="J7" i="28"/>
  <c r="D8" i="28"/>
  <c r="I8" i="28"/>
  <c r="J8" i="28"/>
  <c r="D9" i="28"/>
  <c r="I9" i="28"/>
  <c r="J9" i="28"/>
  <c r="D12" i="28"/>
  <c r="I12" i="28"/>
  <c r="J12" i="28"/>
  <c r="D13" i="28"/>
  <c r="I13" i="28"/>
  <c r="J13" i="28"/>
  <c r="D16" i="28"/>
  <c r="I16" i="28"/>
  <c r="J16" i="28"/>
  <c r="D17" i="28"/>
  <c r="I17" i="28"/>
  <c r="J17" i="28"/>
  <c r="D18" i="28"/>
  <c r="I18" i="28"/>
  <c r="J18" i="28"/>
  <c r="D19" i="28"/>
  <c r="I19" i="28"/>
  <c r="J19" i="28"/>
  <c r="D22" i="28"/>
  <c r="I22" i="28"/>
  <c r="J22" i="28"/>
  <c r="D23" i="28"/>
  <c r="I23" i="28"/>
  <c r="J23" i="28"/>
  <c r="D26" i="28"/>
  <c r="I26" i="28"/>
  <c r="J26" i="28"/>
  <c r="D29" i="28"/>
  <c r="I29" i="28"/>
  <c r="J29" i="28"/>
  <c r="D6" i="27"/>
  <c r="I6" i="27"/>
  <c r="J6" i="27"/>
  <c r="D7" i="27"/>
  <c r="I7" i="27"/>
  <c r="J7" i="27"/>
  <c r="D10" i="27"/>
  <c r="I10" i="27"/>
  <c r="J10" i="27"/>
  <c r="L6" i="24"/>
  <c r="K6" i="24"/>
  <c r="D6" i="24"/>
  <c r="L91" i="23"/>
  <c r="K91" i="23"/>
  <c r="D91" i="23"/>
  <c r="L90" i="23"/>
  <c r="K90" i="23"/>
  <c r="D90" i="23"/>
  <c r="L89" i="23"/>
  <c r="K89" i="23"/>
  <c r="D89" i="23"/>
  <c r="L88" i="23"/>
  <c r="K88" i="23"/>
  <c r="D88" i="23"/>
  <c r="L85" i="23"/>
  <c r="K85" i="23"/>
  <c r="D85" i="23"/>
  <c r="L84" i="23"/>
  <c r="K84" i="23"/>
  <c r="D84" i="23"/>
  <c r="L83" i="23"/>
  <c r="K83" i="23"/>
  <c r="D83" i="23"/>
  <c r="L80" i="23"/>
  <c r="K80" i="23"/>
  <c r="D80" i="23"/>
  <c r="L79" i="23"/>
  <c r="K79" i="23"/>
  <c r="D79" i="23"/>
  <c r="L78" i="23"/>
  <c r="K78" i="23"/>
  <c r="D78" i="23"/>
  <c r="L77" i="23"/>
  <c r="K77" i="23"/>
  <c r="D77" i="23"/>
  <c r="L76" i="23"/>
  <c r="K76" i="23"/>
  <c r="D76" i="23"/>
  <c r="L75" i="23"/>
  <c r="K75" i="23"/>
  <c r="D75" i="23"/>
  <c r="L74" i="23"/>
  <c r="K74" i="23"/>
  <c r="D74" i="23"/>
  <c r="L73" i="23"/>
  <c r="K73" i="23"/>
  <c r="D73" i="23"/>
  <c r="L70" i="23"/>
  <c r="K70" i="23"/>
  <c r="D70" i="23"/>
  <c r="L69" i="23"/>
  <c r="K69" i="23"/>
  <c r="D69" i="23"/>
  <c r="L68" i="23"/>
  <c r="K68" i="23"/>
  <c r="D68" i="23"/>
  <c r="L67" i="23"/>
  <c r="K67" i="23"/>
  <c r="D67" i="23"/>
  <c r="L66" i="23"/>
  <c r="K66" i="23"/>
  <c r="D66" i="23"/>
  <c r="L65" i="23"/>
  <c r="K65" i="23"/>
  <c r="D65" i="23"/>
  <c r="L64" i="23"/>
  <c r="K64" i="23"/>
  <c r="D64" i="23"/>
  <c r="L63" i="23"/>
  <c r="K63" i="23"/>
  <c r="D63" i="23"/>
  <c r="L62" i="23"/>
  <c r="K62" i="23"/>
  <c r="D62" i="23"/>
  <c r="L59" i="23"/>
  <c r="K59" i="23"/>
  <c r="D59" i="23"/>
  <c r="L58" i="23"/>
  <c r="K58" i="23"/>
  <c r="D58" i="23"/>
  <c r="L57" i="23"/>
  <c r="K57" i="23"/>
  <c r="D57" i="23"/>
  <c r="L56" i="23"/>
  <c r="K56" i="23"/>
  <c r="D56" i="23"/>
  <c r="L55" i="23"/>
  <c r="K55" i="23"/>
  <c r="D55" i="23"/>
  <c r="L54" i="23"/>
  <c r="K54" i="23"/>
  <c r="D54" i="23"/>
  <c r="L51" i="23"/>
  <c r="K51" i="23"/>
  <c r="D51" i="23"/>
  <c r="L50" i="23"/>
  <c r="K50" i="23"/>
  <c r="D50" i="23"/>
  <c r="L49" i="23"/>
  <c r="K49" i="23"/>
  <c r="D49" i="23"/>
  <c r="L48" i="23"/>
  <c r="K48" i="23"/>
  <c r="D48" i="23"/>
  <c r="L47" i="23"/>
  <c r="K47" i="23"/>
  <c r="D47" i="23"/>
  <c r="L44" i="23"/>
  <c r="K44" i="23"/>
  <c r="D44" i="23"/>
  <c r="L43" i="23"/>
  <c r="K43" i="23"/>
  <c r="D43" i="23"/>
  <c r="L42" i="23"/>
  <c r="K42" i="23"/>
  <c r="D42" i="23"/>
  <c r="L39" i="23"/>
  <c r="K39" i="23"/>
  <c r="D39" i="23"/>
  <c r="L36" i="23"/>
  <c r="K36" i="23"/>
  <c r="D36" i="23"/>
  <c r="L33" i="23"/>
  <c r="K33" i="23"/>
  <c r="D33" i="23"/>
  <c r="L30" i="23"/>
  <c r="K30" i="23"/>
  <c r="D30" i="23"/>
  <c r="L29" i="23"/>
  <c r="K29" i="23"/>
  <c r="D29" i="23"/>
  <c r="L28" i="23"/>
  <c r="K28" i="23"/>
  <c r="D28" i="23"/>
  <c r="L27" i="23"/>
  <c r="K27" i="23"/>
  <c r="D27" i="23"/>
  <c r="L26" i="23"/>
  <c r="K26" i="23"/>
  <c r="D26" i="23"/>
  <c r="L25" i="23"/>
  <c r="K25" i="23"/>
  <c r="D25" i="23"/>
  <c r="L22" i="23"/>
  <c r="K22" i="23"/>
  <c r="D22" i="23"/>
  <c r="L21" i="23"/>
  <c r="K21" i="23"/>
  <c r="D21" i="23"/>
  <c r="L20" i="23"/>
  <c r="K20" i="23"/>
  <c r="D20" i="23"/>
  <c r="L19" i="23"/>
  <c r="K19" i="23"/>
  <c r="D19" i="23"/>
  <c r="L16" i="23"/>
  <c r="K16" i="23"/>
  <c r="D16" i="23"/>
  <c r="L15" i="23"/>
  <c r="K15" i="23"/>
  <c r="D15" i="23"/>
  <c r="L14" i="23"/>
  <c r="K14" i="23"/>
  <c r="D14" i="23"/>
  <c r="L11" i="23"/>
  <c r="K11" i="23"/>
  <c r="D11" i="23"/>
  <c r="L10" i="23"/>
  <c r="K10" i="23"/>
  <c r="D10" i="23"/>
  <c r="L7" i="23"/>
  <c r="K7" i="23"/>
  <c r="D7" i="23"/>
  <c r="L6" i="23"/>
  <c r="K6" i="23"/>
  <c r="D6" i="23"/>
  <c r="L37" i="19"/>
  <c r="K37" i="19"/>
  <c r="D37" i="19"/>
  <c r="L34" i="19"/>
  <c r="K34" i="19"/>
  <c r="D34" i="19"/>
  <c r="L33" i="19"/>
  <c r="K33" i="19"/>
  <c r="D33" i="19"/>
  <c r="L30" i="19"/>
  <c r="K30" i="19"/>
  <c r="D30" i="19"/>
  <c r="L29" i="19"/>
  <c r="K29" i="19"/>
  <c r="D29" i="19"/>
  <c r="L28" i="19"/>
  <c r="K28" i="19"/>
  <c r="D28" i="19"/>
  <c r="L27" i="19"/>
  <c r="K27" i="19"/>
  <c r="D27" i="19"/>
  <c r="L24" i="19"/>
  <c r="K24" i="19"/>
  <c r="D24" i="19"/>
  <c r="L23" i="19"/>
  <c r="K23" i="19"/>
  <c r="D23" i="19"/>
  <c r="L22" i="19"/>
  <c r="K22" i="19"/>
  <c r="D22" i="19"/>
  <c r="L19" i="19"/>
  <c r="K19" i="19"/>
  <c r="D19" i="19"/>
  <c r="L18" i="19"/>
  <c r="K18" i="19"/>
  <c r="D18" i="19"/>
  <c r="L17" i="19"/>
  <c r="K17" i="19"/>
  <c r="D17" i="19"/>
  <c r="L16" i="19"/>
  <c r="K16" i="19"/>
  <c r="D16" i="19"/>
  <c r="L15" i="19"/>
  <c r="K15" i="19"/>
  <c r="D15" i="19"/>
  <c r="L12" i="19"/>
  <c r="K12" i="19"/>
  <c r="D12" i="19"/>
  <c r="L11" i="19"/>
  <c r="K11" i="19"/>
  <c r="D11" i="19"/>
  <c r="L10" i="19"/>
  <c r="K10" i="19"/>
  <c r="D10" i="19"/>
  <c r="L7" i="19"/>
  <c r="K7" i="19"/>
  <c r="D7" i="19"/>
  <c r="L6" i="19"/>
  <c r="K6" i="19"/>
  <c r="D6" i="19"/>
  <c r="L21" i="18"/>
  <c r="K21" i="18"/>
  <c r="D21" i="18"/>
  <c r="L20" i="18"/>
  <c r="K20" i="18"/>
  <c r="D20" i="18"/>
  <c r="L17" i="18"/>
  <c r="K17" i="18"/>
  <c r="D17" i="18"/>
  <c r="L16" i="18"/>
  <c r="K16" i="18"/>
  <c r="D16" i="18"/>
  <c r="L15" i="18"/>
  <c r="K15" i="18"/>
  <c r="D15" i="18"/>
  <c r="L12" i="18"/>
  <c r="K12" i="18"/>
  <c r="D12" i="18"/>
  <c r="L9" i="18"/>
  <c r="K9" i="18"/>
  <c r="D9" i="18"/>
  <c r="L6" i="18"/>
  <c r="K6" i="18"/>
  <c r="D6" i="18"/>
  <c r="L141" i="17"/>
  <c r="K141" i="17"/>
  <c r="D141" i="17"/>
  <c r="L140" i="17"/>
  <c r="K140" i="17"/>
  <c r="D140" i="17"/>
  <c r="L139" i="17"/>
  <c r="K139" i="17"/>
  <c r="D139" i="17"/>
  <c r="L138" i="17"/>
  <c r="K138" i="17"/>
  <c r="D138" i="17"/>
  <c r="L137" i="17"/>
  <c r="K137" i="17"/>
  <c r="D137" i="17"/>
  <c r="L136" i="17"/>
  <c r="K136" i="17"/>
  <c r="D136" i="17"/>
  <c r="L135" i="17"/>
  <c r="K135" i="17"/>
  <c r="D135" i="17"/>
  <c r="L134" i="17"/>
  <c r="K134" i="17"/>
  <c r="D134" i="17"/>
  <c r="L133" i="17"/>
  <c r="K133" i="17"/>
  <c r="D133" i="17"/>
  <c r="L132" i="17"/>
  <c r="K132" i="17"/>
  <c r="D132" i="17"/>
  <c r="L131" i="17"/>
  <c r="K131" i="17"/>
  <c r="D131" i="17"/>
  <c r="L128" i="17"/>
  <c r="K128" i="17"/>
  <c r="D128" i="17"/>
  <c r="L127" i="17"/>
  <c r="K127" i="17"/>
  <c r="D127" i="17"/>
  <c r="L126" i="17"/>
  <c r="K126" i="17"/>
  <c r="D126" i="17"/>
  <c r="L125" i="17"/>
  <c r="K125" i="17"/>
  <c r="D125" i="17"/>
  <c r="L124" i="17"/>
  <c r="K124" i="17"/>
  <c r="D124" i="17"/>
  <c r="L123" i="17"/>
  <c r="K123" i="17"/>
  <c r="D123" i="17"/>
  <c r="L122" i="17"/>
  <c r="K122" i="17"/>
  <c r="D122" i="17"/>
  <c r="L121" i="17"/>
  <c r="K121" i="17"/>
  <c r="D121" i="17"/>
  <c r="L120" i="17"/>
  <c r="K120" i="17"/>
  <c r="D120" i="17"/>
  <c r="L119" i="17"/>
  <c r="K119" i="17"/>
  <c r="D119" i="17"/>
  <c r="L118" i="17"/>
  <c r="K118" i="17"/>
  <c r="D118" i="17"/>
  <c r="L117" i="17"/>
  <c r="K117" i="17"/>
  <c r="D117" i="17"/>
  <c r="L116" i="17"/>
  <c r="K116" i="17"/>
  <c r="D116" i="17"/>
  <c r="L115" i="17"/>
  <c r="K115" i="17"/>
  <c r="D115" i="17"/>
  <c r="L114" i="17"/>
  <c r="K114" i="17"/>
  <c r="D114" i="17"/>
  <c r="L113" i="17"/>
  <c r="K113" i="17"/>
  <c r="D113" i="17"/>
  <c r="L110" i="17"/>
  <c r="K110" i="17"/>
  <c r="D110" i="17"/>
  <c r="L109" i="17"/>
  <c r="K109" i="17"/>
  <c r="D109" i="17"/>
  <c r="L108" i="17"/>
  <c r="K108" i="17"/>
  <c r="D108" i="17"/>
  <c r="L107" i="17"/>
  <c r="K107" i="17"/>
  <c r="D107" i="17"/>
  <c r="L106" i="17"/>
  <c r="K106" i="17"/>
  <c r="D106" i="17"/>
  <c r="L105" i="17"/>
  <c r="K105" i="17"/>
  <c r="D105" i="17"/>
  <c r="L104" i="17"/>
  <c r="K104" i="17"/>
  <c r="D104" i="17"/>
  <c r="L103" i="17"/>
  <c r="K103" i="17"/>
  <c r="D103" i="17"/>
  <c r="L102" i="17"/>
  <c r="K102" i="17"/>
  <c r="D102" i="17"/>
  <c r="L101" i="17"/>
  <c r="K101" i="17"/>
  <c r="D101" i="17"/>
  <c r="L100" i="17"/>
  <c r="K100" i="17"/>
  <c r="D100" i="17"/>
  <c r="L99" i="17"/>
  <c r="K99" i="17"/>
  <c r="D99" i="17"/>
  <c r="L98" i="17"/>
  <c r="K98" i="17"/>
  <c r="D98" i="17"/>
  <c r="L95" i="17"/>
  <c r="K95" i="17"/>
  <c r="D95" i="17"/>
  <c r="L94" i="17"/>
  <c r="K94" i="17"/>
  <c r="D94" i="17"/>
  <c r="L93" i="17"/>
  <c r="K93" i="17"/>
  <c r="D93" i="17"/>
  <c r="L92" i="17"/>
  <c r="K92" i="17"/>
  <c r="D92" i="17"/>
  <c r="L91" i="17"/>
  <c r="K91" i="17"/>
  <c r="D91" i="17"/>
  <c r="L90" i="17"/>
  <c r="K90" i="17"/>
  <c r="D90" i="17"/>
  <c r="L89" i="17"/>
  <c r="K89" i="17"/>
  <c r="D89" i="17"/>
  <c r="L88" i="17"/>
  <c r="K88" i="17"/>
  <c r="D88" i="17"/>
  <c r="L87" i="17"/>
  <c r="K87" i="17"/>
  <c r="D87" i="17"/>
  <c r="L86" i="17"/>
  <c r="K86" i="17"/>
  <c r="D86" i="17"/>
  <c r="L85" i="17"/>
  <c r="K85" i="17"/>
  <c r="D85" i="17"/>
  <c r="L84" i="17"/>
  <c r="K84" i="17"/>
  <c r="D84" i="17"/>
  <c r="L83" i="17"/>
  <c r="K83" i="17"/>
  <c r="D83" i="17"/>
  <c r="L82" i="17"/>
  <c r="K82" i="17"/>
  <c r="D82" i="17"/>
  <c r="L81" i="17"/>
  <c r="K81" i="17"/>
  <c r="D81" i="17"/>
  <c r="L80" i="17"/>
  <c r="K80" i="17"/>
  <c r="D80" i="17"/>
  <c r="L79" i="17"/>
  <c r="K79" i="17"/>
  <c r="D79" i="17"/>
  <c r="L78" i="17"/>
  <c r="K78" i="17"/>
  <c r="D78" i="17"/>
  <c r="L77" i="17"/>
  <c r="K77" i="17"/>
  <c r="D77" i="17"/>
  <c r="L76" i="17"/>
  <c r="K76" i="17"/>
  <c r="D76" i="17"/>
  <c r="L73" i="17"/>
  <c r="K73" i="17"/>
  <c r="D73" i="17"/>
  <c r="L72" i="17"/>
  <c r="K72" i="17"/>
  <c r="D72" i="17"/>
  <c r="L71" i="17"/>
  <c r="K71" i="17"/>
  <c r="D71" i="17"/>
  <c r="L70" i="17"/>
  <c r="K70" i="17"/>
  <c r="D70" i="17"/>
  <c r="L69" i="17"/>
  <c r="K69" i="17"/>
  <c r="D69" i="17"/>
  <c r="L68" i="17"/>
  <c r="K68" i="17"/>
  <c r="D68" i="17"/>
  <c r="L67" i="17"/>
  <c r="K67" i="17"/>
  <c r="D67" i="17"/>
  <c r="L66" i="17"/>
  <c r="K66" i="17"/>
  <c r="D66" i="17"/>
  <c r="L65" i="17"/>
  <c r="K65" i="17"/>
  <c r="D65" i="17"/>
  <c r="L64" i="17"/>
  <c r="K64" i="17"/>
  <c r="D64" i="17"/>
  <c r="L61" i="17"/>
  <c r="K61" i="17"/>
  <c r="D61" i="17"/>
  <c r="L60" i="17"/>
  <c r="K60" i="17"/>
  <c r="D60" i="17"/>
  <c r="L59" i="17"/>
  <c r="K59" i="17"/>
  <c r="D59" i="17"/>
  <c r="L58" i="17"/>
  <c r="K58" i="17"/>
  <c r="D58" i="17"/>
  <c r="L57" i="17"/>
  <c r="K57" i="17"/>
  <c r="D57" i="17"/>
  <c r="L56" i="17"/>
  <c r="K56" i="17"/>
  <c r="D56" i="17"/>
  <c r="L55" i="17"/>
  <c r="K55" i="17"/>
  <c r="D55" i="17"/>
  <c r="L54" i="17"/>
  <c r="K54" i="17"/>
  <c r="D54" i="17"/>
  <c r="L53" i="17"/>
  <c r="K53" i="17"/>
  <c r="D53" i="17"/>
  <c r="L50" i="17"/>
  <c r="K50" i="17"/>
  <c r="D50" i="17"/>
  <c r="L49" i="17"/>
  <c r="K49" i="17"/>
  <c r="D49" i="17"/>
  <c r="L48" i="17"/>
  <c r="K48" i="17"/>
  <c r="D48" i="17"/>
  <c r="L47" i="17"/>
  <c r="K47" i="17"/>
  <c r="D47" i="17"/>
  <c r="L44" i="17"/>
  <c r="K44" i="17"/>
  <c r="D44" i="17"/>
  <c r="L43" i="17"/>
  <c r="K43" i="17"/>
  <c r="D43" i="17"/>
  <c r="L40" i="17"/>
  <c r="K40" i="17"/>
  <c r="D40" i="17"/>
  <c r="L39" i="17"/>
  <c r="K39" i="17"/>
  <c r="D39" i="17"/>
  <c r="L38" i="17"/>
  <c r="K38" i="17"/>
  <c r="D38" i="17"/>
  <c r="L35" i="17"/>
  <c r="K35" i="17"/>
  <c r="D35" i="17"/>
  <c r="L34" i="17"/>
  <c r="K34" i="17"/>
  <c r="D34" i="17"/>
  <c r="L33" i="17"/>
  <c r="K33" i="17"/>
  <c r="D33" i="17"/>
  <c r="L32" i="17"/>
  <c r="K32" i="17"/>
  <c r="D32" i="17"/>
  <c r="L31" i="17"/>
  <c r="K31" i="17"/>
  <c r="D31" i="17"/>
  <c r="L30" i="17"/>
  <c r="K30" i="17"/>
  <c r="D30" i="17"/>
  <c r="L29" i="17"/>
  <c r="K29" i="17"/>
  <c r="D29" i="17"/>
  <c r="L26" i="17"/>
  <c r="K26" i="17"/>
  <c r="D26" i="17"/>
  <c r="L25" i="17"/>
  <c r="K25" i="17"/>
  <c r="D25" i="17"/>
  <c r="L24" i="17"/>
  <c r="K24" i="17"/>
  <c r="D24" i="17"/>
  <c r="L21" i="17"/>
  <c r="K21" i="17"/>
  <c r="D21" i="17"/>
  <c r="L20" i="17"/>
  <c r="K20" i="17"/>
  <c r="D20" i="17"/>
  <c r="L19" i="17"/>
  <c r="K19" i="17"/>
  <c r="D19" i="17"/>
  <c r="L18" i="17"/>
  <c r="K18" i="17"/>
  <c r="D18" i="17"/>
  <c r="L17" i="17"/>
  <c r="K17" i="17"/>
  <c r="D17" i="17"/>
  <c r="L16" i="17"/>
  <c r="K16" i="17"/>
  <c r="D16" i="17"/>
  <c r="L13" i="17"/>
  <c r="K13" i="17"/>
  <c r="D13" i="17"/>
  <c r="L12" i="17"/>
  <c r="K12" i="17"/>
  <c r="D12" i="17"/>
  <c r="L11" i="17"/>
  <c r="K11" i="17"/>
  <c r="D11" i="17"/>
  <c r="L8" i="17"/>
  <c r="K8" i="17"/>
  <c r="D8" i="17"/>
  <c r="L7" i="17"/>
  <c r="K7" i="17"/>
  <c r="D7" i="17"/>
  <c r="L6" i="17"/>
  <c r="K6" i="17"/>
  <c r="D6" i="17"/>
  <c r="L6" i="16"/>
  <c r="K6" i="16"/>
  <c r="D6" i="16"/>
  <c r="L6" i="15"/>
  <c r="K6" i="15"/>
  <c r="D6" i="15"/>
  <c r="L25" i="14"/>
  <c r="K25" i="14"/>
  <c r="D25" i="14"/>
  <c r="L24" i="14"/>
  <c r="K24" i="14"/>
  <c r="D24" i="14"/>
  <c r="L21" i="14"/>
  <c r="K21" i="14"/>
  <c r="D21" i="14"/>
  <c r="L20" i="14"/>
  <c r="K20" i="14"/>
  <c r="D20" i="14"/>
  <c r="L17" i="14"/>
  <c r="K17" i="14"/>
  <c r="D17" i="14"/>
  <c r="L16" i="14"/>
  <c r="K16" i="14"/>
  <c r="D16" i="14"/>
  <c r="L15" i="14"/>
  <c r="K15" i="14"/>
  <c r="D15" i="14"/>
  <c r="L14" i="14"/>
  <c r="K14" i="14"/>
  <c r="D14" i="14"/>
  <c r="L11" i="14"/>
  <c r="K11" i="14"/>
  <c r="D11" i="14"/>
  <c r="L10" i="14"/>
  <c r="K10" i="14"/>
  <c r="D10" i="14"/>
  <c r="L9" i="14"/>
  <c r="K9" i="14"/>
  <c r="D9" i="14"/>
  <c r="L6" i="14"/>
  <c r="K6" i="14"/>
  <c r="D6" i="14"/>
  <c r="L62" i="13"/>
  <c r="K62" i="13"/>
  <c r="D62" i="13"/>
  <c r="L61" i="13"/>
  <c r="K61" i="13"/>
  <c r="D61" i="13"/>
  <c r="L60" i="13"/>
  <c r="K60" i="13"/>
  <c r="D60" i="13"/>
  <c r="L57" i="13"/>
  <c r="K57" i="13"/>
  <c r="D57" i="13"/>
  <c r="L56" i="13"/>
  <c r="K56" i="13"/>
  <c r="D56" i="13"/>
  <c r="L55" i="13"/>
  <c r="K55" i="13"/>
  <c r="D55" i="13"/>
  <c r="L54" i="13"/>
  <c r="K54" i="13"/>
  <c r="D54" i="13"/>
  <c r="L51" i="13"/>
  <c r="K51" i="13"/>
  <c r="D51" i="13"/>
  <c r="L50" i="13"/>
  <c r="K50" i="13"/>
  <c r="D50" i="13"/>
  <c r="L49" i="13"/>
  <c r="K49" i="13"/>
  <c r="D49" i="13"/>
  <c r="L48" i="13"/>
  <c r="K48" i="13"/>
  <c r="D48" i="13"/>
  <c r="L47" i="13"/>
  <c r="K47" i="13"/>
  <c r="D47" i="13"/>
  <c r="L46" i="13"/>
  <c r="K46" i="13"/>
  <c r="D46" i="13"/>
  <c r="L45" i="13"/>
  <c r="K45" i="13"/>
  <c r="D45" i="13"/>
  <c r="L42" i="13"/>
  <c r="K42" i="13"/>
  <c r="D42" i="13"/>
  <c r="L41" i="13"/>
  <c r="K41" i="13"/>
  <c r="D41" i="13"/>
  <c r="L40" i="13"/>
  <c r="K40" i="13"/>
  <c r="D40" i="13"/>
  <c r="L39" i="13"/>
  <c r="K39" i="13"/>
  <c r="D39" i="13"/>
  <c r="L38" i="13"/>
  <c r="K38" i="13"/>
  <c r="D38" i="13"/>
  <c r="L35" i="13"/>
  <c r="K35" i="13"/>
  <c r="D35" i="13"/>
  <c r="L34" i="13"/>
  <c r="K34" i="13"/>
  <c r="D34" i="13"/>
  <c r="L33" i="13"/>
  <c r="K33" i="13"/>
  <c r="D33" i="13"/>
  <c r="L32" i="13"/>
  <c r="K32" i="13"/>
  <c r="D32" i="13"/>
  <c r="L29" i="13"/>
  <c r="K29" i="13"/>
  <c r="D29" i="13"/>
  <c r="L28" i="13"/>
  <c r="K28" i="13"/>
  <c r="D28" i="13"/>
  <c r="L27" i="13"/>
  <c r="K27" i="13"/>
  <c r="D27" i="13"/>
  <c r="L26" i="13"/>
  <c r="K26" i="13"/>
  <c r="D26" i="13"/>
  <c r="L25" i="13"/>
  <c r="K25" i="13"/>
  <c r="D25" i="13"/>
  <c r="L22" i="13"/>
  <c r="K22" i="13"/>
  <c r="D22" i="13"/>
  <c r="L21" i="13"/>
  <c r="K21" i="13"/>
  <c r="D21" i="13"/>
  <c r="L20" i="13"/>
  <c r="K20" i="13"/>
  <c r="D20" i="13"/>
  <c r="L19" i="13"/>
  <c r="K19" i="13"/>
  <c r="D19" i="13"/>
  <c r="L16" i="13"/>
  <c r="K16" i="13"/>
  <c r="D16" i="13"/>
  <c r="L13" i="13"/>
  <c r="K13" i="13"/>
  <c r="D13" i="13"/>
  <c r="L12" i="13"/>
  <c r="K12" i="13"/>
  <c r="D12" i="13"/>
  <c r="L9" i="13"/>
  <c r="K9" i="13"/>
  <c r="D9" i="13"/>
  <c r="L6" i="13"/>
  <c r="K6" i="13"/>
  <c r="D6" i="13"/>
  <c r="T6" i="12"/>
  <c r="S6" i="12"/>
  <c r="D6" i="12"/>
  <c r="T66" i="11"/>
  <c r="S66" i="11"/>
  <c r="D66" i="11"/>
  <c r="T65" i="11"/>
  <c r="S65" i="11"/>
  <c r="D65" i="11"/>
  <c r="T62" i="11"/>
  <c r="S62" i="11"/>
  <c r="D62" i="11"/>
  <c r="T61" i="11"/>
  <c r="S61" i="11"/>
  <c r="D61" i="11"/>
  <c r="T60" i="11"/>
  <c r="S60" i="11"/>
  <c r="D60" i="11"/>
  <c r="T57" i="11"/>
  <c r="S57" i="11"/>
  <c r="D57" i="11"/>
  <c r="T56" i="11"/>
  <c r="S56" i="11"/>
  <c r="D56" i="11"/>
  <c r="T55" i="11"/>
  <c r="S55" i="11"/>
  <c r="D55" i="11"/>
  <c r="T54" i="11"/>
  <c r="S54" i="11"/>
  <c r="D54" i="11"/>
  <c r="T51" i="11"/>
  <c r="S51" i="11"/>
  <c r="D51" i="11"/>
  <c r="T50" i="11"/>
  <c r="S50" i="11"/>
  <c r="D50" i="11"/>
  <c r="T49" i="11"/>
  <c r="S49" i="11"/>
  <c r="D49" i="11"/>
  <c r="T46" i="11"/>
  <c r="S46" i="11"/>
  <c r="D46" i="11"/>
  <c r="T43" i="11"/>
  <c r="S43" i="11"/>
  <c r="D43" i="11"/>
  <c r="T42" i="11"/>
  <c r="S42" i="11"/>
  <c r="D42" i="11"/>
  <c r="T41" i="11"/>
  <c r="S41" i="11"/>
  <c r="D41" i="11"/>
  <c r="T40" i="11"/>
  <c r="S40" i="11"/>
  <c r="D40" i="11"/>
  <c r="T39" i="11"/>
  <c r="S39" i="11"/>
  <c r="D39" i="11"/>
  <c r="T36" i="11"/>
  <c r="S36" i="11"/>
  <c r="D36" i="11"/>
  <c r="T35" i="11"/>
  <c r="S35" i="11"/>
  <c r="D35" i="11"/>
  <c r="T32" i="11"/>
  <c r="S32" i="11"/>
  <c r="D32" i="11"/>
  <c r="T29" i="11"/>
  <c r="S29" i="11"/>
  <c r="D29" i="11"/>
  <c r="T28" i="11"/>
  <c r="S28" i="11"/>
  <c r="D28" i="11"/>
  <c r="T25" i="11"/>
  <c r="S25" i="11"/>
  <c r="D25" i="11"/>
  <c r="T24" i="11"/>
  <c r="S24" i="11"/>
  <c r="D24" i="11"/>
  <c r="T23" i="11"/>
  <c r="S23" i="11"/>
  <c r="D23" i="11"/>
  <c r="T20" i="11"/>
  <c r="S20" i="11"/>
  <c r="D20" i="11"/>
  <c r="T19" i="11"/>
  <c r="S19" i="11"/>
  <c r="D19" i="11"/>
  <c r="T18" i="11"/>
  <c r="S18" i="11"/>
  <c r="D18" i="11"/>
  <c r="T15" i="11"/>
  <c r="S15" i="11"/>
  <c r="D15" i="11"/>
  <c r="T12" i="11"/>
  <c r="S12" i="11"/>
  <c r="D12" i="11"/>
  <c r="T11" i="11"/>
  <c r="S11" i="11"/>
  <c r="D11" i="11"/>
  <c r="T10" i="11"/>
  <c r="S10" i="11"/>
  <c r="D10" i="11"/>
  <c r="T9" i="11"/>
  <c r="S9" i="11"/>
  <c r="D9" i="11"/>
  <c r="T6" i="11"/>
  <c r="S6" i="11"/>
  <c r="D6" i="11"/>
  <c r="T56" i="10"/>
  <c r="S56" i="10"/>
  <c r="D56" i="10"/>
  <c r="T53" i="10"/>
  <c r="S53" i="10"/>
  <c r="D53" i="10"/>
  <c r="T52" i="10"/>
  <c r="S52" i="10"/>
  <c r="D52" i="10"/>
  <c r="T49" i="10"/>
  <c r="S49" i="10"/>
  <c r="D49" i="10"/>
  <c r="T48" i="10"/>
  <c r="S48" i="10"/>
  <c r="D48" i="10"/>
  <c r="T45" i="10"/>
  <c r="S45" i="10"/>
  <c r="D45" i="10"/>
  <c r="T44" i="10"/>
  <c r="S44" i="10"/>
  <c r="D44" i="10"/>
  <c r="T43" i="10"/>
  <c r="S43" i="10"/>
  <c r="D43" i="10"/>
  <c r="T42" i="10"/>
  <c r="S42" i="10"/>
  <c r="D42" i="10"/>
  <c r="T41" i="10"/>
  <c r="S41" i="10"/>
  <c r="D41" i="10"/>
  <c r="T40" i="10"/>
  <c r="S40" i="10"/>
  <c r="D40" i="10"/>
  <c r="T37" i="10"/>
  <c r="S37" i="10"/>
  <c r="D37" i="10"/>
  <c r="T36" i="10"/>
  <c r="S36" i="10"/>
  <c r="D36" i="10"/>
  <c r="T33" i="10"/>
  <c r="S33" i="10"/>
  <c r="D33" i="10"/>
  <c r="T32" i="10"/>
  <c r="S32" i="10"/>
  <c r="D32" i="10"/>
  <c r="T29" i="10"/>
  <c r="S29" i="10"/>
  <c r="D29" i="10"/>
  <c r="T26" i="10"/>
  <c r="S26" i="10"/>
  <c r="D26" i="10"/>
  <c r="T23" i="10"/>
  <c r="S23" i="10"/>
  <c r="D23" i="10"/>
  <c r="T20" i="10"/>
  <c r="S20" i="10"/>
  <c r="D20" i="10"/>
  <c r="T17" i="10"/>
  <c r="S17" i="10"/>
  <c r="D17" i="10"/>
  <c r="T14" i="10"/>
  <c r="S14" i="10"/>
  <c r="D14" i="10"/>
  <c r="T11" i="10"/>
  <c r="S11" i="10"/>
  <c r="D11" i="10"/>
  <c r="T10" i="10"/>
  <c r="S10" i="10"/>
  <c r="D10" i="10"/>
  <c r="T9" i="10"/>
  <c r="S9" i="10"/>
  <c r="D9" i="10"/>
  <c r="T6" i="10"/>
  <c r="S6" i="10"/>
  <c r="D6" i="10"/>
  <c r="T30" i="6"/>
  <c r="S30" i="6"/>
  <c r="D30" i="6"/>
  <c r="T27" i="6"/>
  <c r="S27" i="6"/>
  <c r="D27" i="6"/>
  <c r="T26" i="6"/>
  <c r="S26" i="6"/>
  <c r="D26" i="6"/>
  <c r="T25" i="6"/>
  <c r="S25" i="6"/>
  <c r="D25" i="6"/>
  <c r="T22" i="6"/>
  <c r="S22" i="6"/>
  <c r="D22" i="6"/>
  <c r="T21" i="6"/>
  <c r="S21" i="6"/>
  <c r="D21" i="6"/>
  <c r="T20" i="6"/>
  <c r="S20" i="6"/>
  <c r="D20" i="6"/>
  <c r="T17" i="6"/>
  <c r="S17" i="6"/>
  <c r="D17" i="6"/>
  <c r="T16" i="6"/>
  <c r="S16" i="6"/>
  <c r="D16" i="6"/>
  <c r="T15" i="6"/>
  <c r="S15" i="6"/>
  <c r="D15" i="6"/>
  <c r="T14" i="6"/>
  <c r="S14" i="6"/>
  <c r="D14" i="6"/>
  <c r="T13" i="6"/>
  <c r="S13" i="6"/>
  <c r="D13" i="6"/>
  <c r="T10" i="6"/>
  <c r="S10" i="6"/>
  <c r="D10" i="6"/>
  <c r="T9" i="6"/>
  <c r="S9" i="6"/>
  <c r="D9" i="6"/>
  <c r="T6" i="6"/>
  <c r="S6" i="6"/>
  <c r="D6" i="6"/>
  <c r="T31" i="5"/>
  <c r="S31" i="5"/>
  <c r="D31" i="5"/>
  <c r="T28" i="5"/>
  <c r="S28" i="5"/>
  <c r="D28" i="5"/>
  <c r="T27" i="5"/>
  <c r="S27" i="5"/>
  <c r="D27" i="5"/>
  <c r="T26" i="5"/>
  <c r="S26" i="5"/>
  <c r="D26" i="5"/>
  <c r="T23" i="5"/>
  <c r="S23" i="5"/>
  <c r="D23" i="5"/>
  <c r="T22" i="5"/>
  <c r="S22" i="5"/>
  <c r="D22" i="5"/>
  <c r="T21" i="5"/>
  <c r="S21" i="5"/>
  <c r="D21" i="5"/>
  <c r="T20" i="5"/>
  <c r="S20" i="5"/>
  <c r="D20" i="5"/>
  <c r="T17" i="5"/>
  <c r="S17" i="5"/>
  <c r="D17" i="5"/>
  <c r="T16" i="5"/>
  <c r="S16" i="5"/>
  <c r="D16" i="5"/>
  <c r="T15" i="5"/>
  <c r="S15" i="5"/>
  <c r="D15" i="5"/>
  <c r="T14" i="5"/>
  <c r="S14" i="5"/>
  <c r="D14" i="5"/>
  <c r="T11" i="5"/>
  <c r="S11" i="5"/>
  <c r="D11" i="5"/>
  <c r="T10" i="5"/>
  <c r="S10" i="5"/>
  <c r="D10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<sst xmlns="http://schemas.openxmlformats.org/spreadsheetml/2006/main" count="6299" uniqueCount="2146">
  <si>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</si>
  <si>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</si>
  <si>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</si>
  <si>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</si>
  <si>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</si>
  <si>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</si>
  <si>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</si>
  <si>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</si>
  <si>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</si>
  <si>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</si>
  <si>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Приседание</t>
  </si>
  <si>
    <t>Жим лёжа</t>
  </si>
  <si>
    <t>Становая тяга</t>
  </si>
  <si>
    <t>ВЕСОВАЯ КАТЕГОРИЯ   75</t>
  </si>
  <si>
    <t>Голомазова Екатерина</t>
  </si>
  <si>
    <t>1. Голомазова Екатерина</t>
  </si>
  <si>
    <t>Ветераны 40 - 44 (24.05.1977)/42</t>
  </si>
  <si>
    <t>71,40</t>
  </si>
  <si>
    <t xml:space="preserve">Лично </t>
  </si>
  <si>
    <t xml:space="preserve">Москва/ </t>
  </si>
  <si>
    <t>150,0</t>
  </si>
  <si>
    <t>160,0</t>
  </si>
  <si>
    <t>65,0</t>
  </si>
  <si>
    <t>75,0</t>
  </si>
  <si>
    <t>170,0</t>
  </si>
  <si>
    <t xml:space="preserve">Шпынов Л.И. </t>
  </si>
  <si>
    <t>ВЕСОВАЯ КАТЕГОРИЯ   90</t>
  </si>
  <si>
    <t>Кислов Андрей</t>
  </si>
  <si>
    <t>1. Кислов Андрей</t>
  </si>
  <si>
    <t>Открытая (27.08.1987)/32</t>
  </si>
  <si>
    <t>88,10</t>
  </si>
  <si>
    <t>210,0</t>
  </si>
  <si>
    <t>220,0</t>
  </si>
  <si>
    <t>120,0</t>
  </si>
  <si>
    <t>130,0</t>
  </si>
  <si>
    <t>135,0</t>
  </si>
  <si>
    <t>230,0</t>
  </si>
  <si>
    <t>240,0</t>
  </si>
  <si>
    <t xml:space="preserve">Золотаренок Андрей </t>
  </si>
  <si>
    <t>-. Виноградов Сергей</t>
  </si>
  <si>
    <t>Ветераны 45 - 49 (27.06.1970)/49</t>
  </si>
  <si>
    <t>90,00</t>
  </si>
  <si>
    <t>190,0</t>
  </si>
  <si>
    <t>125,0</t>
  </si>
  <si>
    <t xml:space="preserve">Марченко В.В. </t>
  </si>
  <si>
    <t>Марков Анатолий</t>
  </si>
  <si>
    <t>1. Марков Анатолий</t>
  </si>
  <si>
    <t>Ветераны 65 - 69 (13.01.1951)/68</t>
  </si>
  <si>
    <t>89,50</t>
  </si>
  <si>
    <t>185,0</t>
  </si>
  <si>
    <t>205,0</t>
  </si>
  <si>
    <t>215,0</t>
  </si>
  <si>
    <t>145,0</t>
  </si>
  <si>
    <t>200,0</t>
  </si>
  <si>
    <t xml:space="preserve">. </t>
  </si>
  <si>
    <t>ВЕСОВАЯ КАТЕГОРИЯ   100</t>
  </si>
  <si>
    <t>Грузин Алексей</t>
  </si>
  <si>
    <t>1. Грузин Алексей</t>
  </si>
  <si>
    <t>Открытая (23.06.1983)/36</t>
  </si>
  <si>
    <t>99,00</t>
  </si>
  <si>
    <t>280,0</t>
  </si>
  <si>
    <t>302,5</t>
  </si>
  <si>
    <t>307,5</t>
  </si>
  <si>
    <t>182,5</t>
  </si>
  <si>
    <t>192,5</t>
  </si>
  <si>
    <t>275,0</t>
  </si>
  <si>
    <t>290,0</t>
  </si>
  <si>
    <t>Ершов Илья</t>
  </si>
  <si>
    <t>2. Ершов Илья</t>
  </si>
  <si>
    <t>Открытая (20.10.1988)/31</t>
  </si>
  <si>
    <t>99,70</t>
  </si>
  <si>
    <t>245,0</t>
  </si>
  <si>
    <t>255,0</t>
  </si>
  <si>
    <t>262,5</t>
  </si>
  <si>
    <t>140,0</t>
  </si>
  <si>
    <t>157,5</t>
  </si>
  <si>
    <t>165,0</t>
  </si>
  <si>
    <t>260,0</t>
  </si>
  <si>
    <t>265,0</t>
  </si>
  <si>
    <t xml:space="preserve">Панферова М.Ю. </t>
  </si>
  <si>
    <t>Варфоломеев Сергей</t>
  </si>
  <si>
    <t>3. Варфоломеев Сергей</t>
  </si>
  <si>
    <t>Открытая (17.02.1981)/38</t>
  </si>
  <si>
    <t>98,90</t>
  </si>
  <si>
    <t xml:space="preserve">Наро-Фоминск/Московская област </t>
  </si>
  <si>
    <t>152,5</t>
  </si>
  <si>
    <t>222,5</t>
  </si>
  <si>
    <t>237,5</t>
  </si>
  <si>
    <t xml:space="preserve">Варфоломеев С.О. </t>
  </si>
  <si>
    <t>Порядков Евгений</t>
  </si>
  <si>
    <t>4. Порядков Евгений</t>
  </si>
  <si>
    <t>Открытая (22.01.1994)/25</t>
  </si>
  <si>
    <t>97,80</t>
  </si>
  <si>
    <t xml:space="preserve">Озеры/Московская область </t>
  </si>
  <si>
    <t>105,0</t>
  </si>
  <si>
    <t>110,0</t>
  </si>
  <si>
    <t xml:space="preserve">Порядков Е.А </t>
  </si>
  <si>
    <t>ВЕСОВАЯ КАТЕГОРИЯ   110</t>
  </si>
  <si>
    <t>Шелеметьев Николай</t>
  </si>
  <si>
    <t>1. Шелеметьев Николай</t>
  </si>
  <si>
    <t>Открытая (14.01.1987)/32</t>
  </si>
  <si>
    <t>107,30</t>
  </si>
  <si>
    <t>250,0</t>
  </si>
  <si>
    <t>Малинский Антон</t>
  </si>
  <si>
    <t>2. Малинский Антон</t>
  </si>
  <si>
    <t>Открытая (19.03.1979)/40</t>
  </si>
  <si>
    <t>105,10</t>
  </si>
  <si>
    <t xml:space="preserve">Малинский А.А. </t>
  </si>
  <si>
    <t>Кротов Кирилл</t>
  </si>
  <si>
    <t>3. Кротов Кирилл</t>
  </si>
  <si>
    <t>Открытая (14.03.1991)/28</t>
  </si>
  <si>
    <t>104,40</t>
  </si>
  <si>
    <t>175,0</t>
  </si>
  <si>
    <t xml:space="preserve">Поздняков А. </t>
  </si>
  <si>
    <t>Лавров Дмитрий</t>
  </si>
  <si>
    <t>1. Лавров Дмитрий</t>
  </si>
  <si>
    <t>Ветераны 40 - 44 (08.01.1979)/40</t>
  </si>
  <si>
    <t>108,80</t>
  </si>
  <si>
    <t xml:space="preserve">Нижний Новгород/Нижегородская </t>
  </si>
  <si>
    <t>167,5</t>
  </si>
  <si>
    <t xml:space="preserve">Мельников В. </t>
  </si>
  <si>
    <t>ВЕСОВАЯ КАТЕГОРИЯ   125</t>
  </si>
  <si>
    <t>Бунин Олег</t>
  </si>
  <si>
    <t>1. Бунин Олег</t>
  </si>
  <si>
    <t>Открытая (20.05.1979)/40</t>
  </si>
  <si>
    <t>123,00</t>
  </si>
  <si>
    <t>295,0</t>
  </si>
  <si>
    <t>207,5</t>
  </si>
  <si>
    <t>300,0</t>
  </si>
  <si>
    <t>310,0</t>
  </si>
  <si>
    <t xml:space="preserve">Игамов Ш.Ш. </t>
  </si>
  <si>
    <t>Касаткин Дмитрий</t>
  </si>
  <si>
    <t>2. Касаткин Дмитрий</t>
  </si>
  <si>
    <t>Открытая (11.10.1981)/38</t>
  </si>
  <si>
    <t>120,40</t>
  </si>
  <si>
    <t>180,0</t>
  </si>
  <si>
    <t xml:space="preserve">Касаткин Д.Д </t>
  </si>
  <si>
    <t>Заплавский Дмитрий</t>
  </si>
  <si>
    <t>3. Заплавский Дмитрий</t>
  </si>
  <si>
    <t>Открытая (17.09.1984)/35</t>
  </si>
  <si>
    <t>116,60</t>
  </si>
  <si>
    <t>162,5</t>
  </si>
  <si>
    <t>172,5</t>
  </si>
  <si>
    <t>272,5</t>
  </si>
  <si>
    <t>277,5</t>
  </si>
  <si>
    <t xml:space="preserve">Жуков Николай </t>
  </si>
  <si>
    <t>ВЕСОВАЯ КАТЕГОРИЯ   140</t>
  </si>
  <si>
    <t>-. Зубков Артем</t>
  </si>
  <si>
    <t>Открытая (04.07.1991)/28</t>
  </si>
  <si>
    <t>129,20</t>
  </si>
  <si>
    <t xml:space="preserve">Вавилкина Г.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</si>
  <si>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</si>
  <si>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</si>
  <si>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</si>
  <si>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</si>
  <si>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</si>
  <si>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</si>
  <si>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</si>
  <si>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Ветераны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</si>
  <si>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</si>
  <si>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</si>
  <si>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</si>
  <si>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</si>
  <si>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</si>
  <si>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Ветераны 40 - 44 </t>
  </si>
  <si>
    <t>75</t>
  </si>
  <si>
    <t>385,0</t>
  </si>
  <si>
    <t>385,4351</t>
  </si>
  <si>
    <t xml:space="preserve">Мужчины </t>
  </si>
  <si>
    <t xml:space="preserve">Открытая </t>
  </si>
  <si>
    <t>100</t>
  </si>
  <si>
    <t>787,5</t>
  </si>
  <si>
    <t>481,2413</t>
  </si>
  <si>
    <t>125</t>
  </si>
  <si>
    <t>780,0</t>
  </si>
  <si>
    <t>446,0040</t>
  </si>
  <si>
    <t>740,0</t>
  </si>
  <si>
    <t>425,1300</t>
  </si>
  <si>
    <t>680,0</t>
  </si>
  <si>
    <t>414,3240</t>
  </si>
  <si>
    <t>700,0</t>
  </si>
  <si>
    <t>405,3000</t>
  </si>
  <si>
    <t>110</t>
  </si>
  <si>
    <t>650,0</t>
  </si>
  <si>
    <t>385,5800</t>
  </si>
  <si>
    <t>627,5</t>
  </si>
  <si>
    <t>383,5907</t>
  </si>
  <si>
    <t>90</t>
  </si>
  <si>
    <t>560,0</t>
  </si>
  <si>
    <t>361,4800</t>
  </si>
  <si>
    <t>565,0</t>
  </si>
  <si>
    <t>337,5310</t>
  </si>
  <si>
    <t>335,3280</t>
  </si>
  <si>
    <t>475,0</t>
  </si>
  <si>
    <t>291,7450</t>
  </si>
  <si>
    <t xml:space="preserve">Ветераны 65 - 69 </t>
  </si>
  <si>
    <t>565,0149</t>
  </si>
  <si>
    <t>695,0</t>
  </si>
  <si>
    <t>410,3975</t>
  </si>
  <si>
    <t>ВЕСОВАЯ КАТЕГОРИЯ   56</t>
  </si>
  <si>
    <t>Пароваткина Елена</t>
  </si>
  <si>
    <t>1. Пароваткина Елена</t>
  </si>
  <si>
    <t>Открытая (10.09.1991)/28</t>
  </si>
  <si>
    <t>55,40</t>
  </si>
  <si>
    <t>67,5</t>
  </si>
  <si>
    <t>Максимов Сергей</t>
  </si>
  <si>
    <t>1. Максимов Сергей</t>
  </si>
  <si>
    <t>Открытая (26.07.1989)/30</t>
  </si>
  <si>
    <t>317,5</t>
  </si>
  <si>
    <t xml:space="preserve">Максимов С.А. </t>
  </si>
  <si>
    <t>Таштамиров Руслан</t>
  </si>
  <si>
    <t>2. Таштамиров Руслан</t>
  </si>
  <si>
    <t>Открытая (15.07.1988)/31</t>
  </si>
  <si>
    <t>89,30</t>
  </si>
  <si>
    <t>270,0</t>
  </si>
  <si>
    <t xml:space="preserve">Таштамиров Руслан Имранович </t>
  </si>
  <si>
    <t>Бурдаков Николай</t>
  </si>
  <si>
    <t>1. Бурдаков Николай</t>
  </si>
  <si>
    <t>Открытая (24.07.1988)/31</t>
  </si>
  <si>
    <t>100,00</t>
  </si>
  <si>
    <t>315,0</t>
  </si>
  <si>
    <t xml:space="preserve"> </t>
  </si>
  <si>
    <t>Сазонов Павел</t>
  </si>
  <si>
    <t>2. Сазонов Павел</t>
  </si>
  <si>
    <t>Открытая (08.06.1986)/33</t>
  </si>
  <si>
    <t>98,70</t>
  </si>
  <si>
    <t>305,0</t>
  </si>
  <si>
    <t>Сапунков Константин</t>
  </si>
  <si>
    <t>3. Сапунков Константин</t>
  </si>
  <si>
    <t>Открытая (02.09.1981)/38</t>
  </si>
  <si>
    <t>99,40</t>
  </si>
  <si>
    <t xml:space="preserve">Ивантеевка/Московская область </t>
  </si>
  <si>
    <t>267,5</t>
  </si>
  <si>
    <t xml:space="preserve">Брехов Р.О. </t>
  </si>
  <si>
    <t>Замп Николай</t>
  </si>
  <si>
    <t>4. Замп Николай</t>
  </si>
  <si>
    <t>Открытая (02.03.1990)/29</t>
  </si>
  <si>
    <t>97,20</t>
  </si>
  <si>
    <t>142,5</t>
  </si>
  <si>
    <t>155,0</t>
  </si>
  <si>
    <t>Богатов Виталий</t>
  </si>
  <si>
    <t>1. Богатов Виталий</t>
  </si>
  <si>
    <t>Ветераны 45 - 49 (16.01.1971)/48</t>
  </si>
  <si>
    <t>99,80</t>
  </si>
  <si>
    <t xml:space="preserve">Сургут/Ханты-Мансийский АО </t>
  </si>
  <si>
    <t>Самсонов Юрий</t>
  </si>
  <si>
    <t>1. Самсонов Юрий</t>
  </si>
  <si>
    <t>Открытая (24.08.1982)/37</t>
  </si>
  <si>
    <t>110,00</t>
  </si>
  <si>
    <t>282,5</t>
  </si>
  <si>
    <t xml:space="preserve">Кочетков А </t>
  </si>
  <si>
    <t>Дворцов Александр</t>
  </si>
  <si>
    <t>2. Дворцов Александр</t>
  </si>
  <si>
    <t>Открытая (09.07.1981)/38</t>
  </si>
  <si>
    <t>108,90</t>
  </si>
  <si>
    <t>285,0</t>
  </si>
  <si>
    <t xml:space="preserve">Дворцов А.В. </t>
  </si>
  <si>
    <t>Якушев Олег</t>
  </si>
  <si>
    <t>3. Якушев Олег</t>
  </si>
  <si>
    <t>Открытая (28.07.1989)/30</t>
  </si>
  <si>
    <t>103,70</t>
  </si>
  <si>
    <t>Чижов Кирилл</t>
  </si>
  <si>
    <t>1. Чижов Кирилл</t>
  </si>
  <si>
    <t>Юноши 15-19 (15.05.2001)/18</t>
  </si>
  <si>
    <t>118,40</t>
  </si>
  <si>
    <t xml:space="preserve">Орехово-Зуево/Московская облас </t>
  </si>
  <si>
    <t>112,5</t>
  </si>
  <si>
    <t xml:space="preserve">Ушков И. Д </t>
  </si>
  <si>
    <t>Маркин Николай</t>
  </si>
  <si>
    <t>1. Маркин Николай</t>
  </si>
  <si>
    <t>Открытая (14.03.1981)/38</t>
  </si>
  <si>
    <t>114,00</t>
  </si>
  <si>
    <t xml:space="preserve">Суровецкий А.Е. </t>
  </si>
  <si>
    <t>Хаяркин Евгений</t>
  </si>
  <si>
    <t>1. Хаяркин Евгений</t>
  </si>
  <si>
    <t>Ветераны 45 - 49 (10.02.1972)/47</t>
  </si>
  <si>
    <t xml:space="preserve">Мытищи/Московская область </t>
  </si>
  <si>
    <t>Климов Вячеслав</t>
  </si>
  <si>
    <t>1. Климов Вячеслав</t>
  </si>
  <si>
    <t>Юноши 15-19 (30.09.2002)/17</t>
  </si>
  <si>
    <t>136,60</t>
  </si>
  <si>
    <t>122,5</t>
  </si>
  <si>
    <t>132,5</t>
  </si>
  <si>
    <t>97,5</t>
  </si>
  <si>
    <t>102,5</t>
  </si>
  <si>
    <t>107,5</t>
  </si>
  <si>
    <t xml:space="preserve">Кондаков Алексей </t>
  </si>
  <si>
    <t>56</t>
  </si>
  <si>
    <t>377,5</t>
  </si>
  <si>
    <t>447,9415</t>
  </si>
  <si>
    <t xml:space="preserve">Юноши </t>
  </si>
  <si>
    <t xml:space="preserve">Юноши 15-19 </t>
  </si>
  <si>
    <t>450,0</t>
  </si>
  <si>
    <t>259,5600</t>
  </si>
  <si>
    <t>140</t>
  </si>
  <si>
    <t>397,5</t>
  </si>
  <si>
    <t>222,9577</t>
  </si>
  <si>
    <t>790,0</t>
  </si>
  <si>
    <t>505,7580</t>
  </si>
  <si>
    <t>770,0</t>
  </si>
  <si>
    <t>468,6220</t>
  </si>
  <si>
    <t>459,0300</t>
  </si>
  <si>
    <t>712,5</t>
  </si>
  <si>
    <t>456,7125</t>
  </si>
  <si>
    <t>725,0</t>
  </si>
  <si>
    <t>443,5550</t>
  </si>
  <si>
    <t>434,6962</t>
  </si>
  <si>
    <t>732,5</t>
  </si>
  <si>
    <t>432,3948</t>
  </si>
  <si>
    <t>665,0</t>
  </si>
  <si>
    <t>409,5070</t>
  </si>
  <si>
    <t>660,0</t>
  </si>
  <si>
    <t>384,3840</t>
  </si>
  <si>
    <t>605,0</t>
  </si>
  <si>
    <t>363,1210</t>
  </si>
  <si>
    <t xml:space="preserve">Ветераны 45 - 49 </t>
  </si>
  <si>
    <t>640,0</t>
  </si>
  <si>
    <t>427,6369</t>
  </si>
  <si>
    <t>595,0</t>
  </si>
  <si>
    <t>374,9433</t>
  </si>
  <si>
    <t>ВЕСОВАЯ КАТЕГОРИЯ   48</t>
  </si>
  <si>
    <t>Смирнова Елизавета</t>
  </si>
  <si>
    <t>1. Смирнова Елизавета</t>
  </si>
  <si>
    <t>Открытая (19.01.1995)/24</t>
  </si>
  <si>
    <t>48,00</t>
  </si>
  <si>
    <t>90,0</t>
  </si>
  <si>
    <t>100,0</t>
  </si>
  <si>
    <t>50,0</t>
  </si>
  <si>
    <t>55,0</t>
  </si>
  <si>
    <t xml:space="preserve">Елизавета Смирнова </t>
  </si>
  <si>
    <t>Никифорова Кристина</t>
  </si>
  <si>
    <t>1. Никифорова Кристина</t>
  </si>
  <si>
    <t>Девушки 15-19 (24.12.2002)/16</t>
  </si>
  <si>
    <t>56,00</t>
  </si>
  <si>
    <t>47,5</t>
  </si>
  <si>
    <t>80,0</t>
  </si>
  <si>
    <t>87,5</t>
  </si>
  <si>
    <t>95,0</t>
  </si>
  <si>
    <t xml:space="preserve">Золотарёнок А. В </t>
  </si>
  <si>
    <t>Ткаченко Ирина</t>
  </si>
  <si>
    <t>1. Ткаченко Ирина</t>
  </si>
  <si>
    <t>Открытая (23.07.1990)/29</t>
  </si>
  <si>
    <t>55,70</t>
  </si>
  <si>
    <t>57,5</t>
  </si>
  <si>
    <t xml:space="preserve">Ткаченко И.В. </t>
  </si>
  <si>
    <t>-. Горшкова Анастасия</t>
  </si>
  <si>
    <t>Открытая (29.01.1988)/31</t>
  </si>
  <si>
    <t xml:space="preserve">Russia </t>
  </si>
  <si>
    <t xml:space="preserve">Красногорск/Московская область </t>
  </si>
  <si>
    <t>137,5</t>
  </si>
  <si>
    <t xml:space="preserve">Горшкова А.В. </t>
  </si>
  <si>
    <t>ВЕСОВАЯ КАТЕГОРИЯ   60</t>
  </si>
  <si>
    <t>Сидорова Ольга</t>
  </si>
  <si>
    <t>1. Сидорова Ольга</t>
  </si>
  <si>
    <t>Ветераны 50 - 54 (29.04.1966)/53</t>
  </si>
  <si>
    <t>59,40</t>
  </si>
  <si>
    <t>115,0</t>
  </si>
  <si>
    <t>60,0</t>
  </si>
  <si>
    <t>ВЕСОВАЯ КАТЕГОРИЯ   67.5</t>
  </si>
  <si>
    <t>Рыжова Алина</t>
  </si>
  <si>
    <t>1. Рыжова Алина</t>
  </si>
  <si>
    <t>Юниорки 20 - 23 (27.03.1996)/23</t>
  </si>
  <si>
    <t>62,70</t>
  </si>
  <si>
    <t xml:space="preserve">Балашиха/Московская область </t>
  </si>
  <si>
    <t>52,5</t>
  </si>
  <si>
    <t>Ширяева Анастасия</t>
  </si>
  <si>
    <t>1. Ширяева Анастасия</t>
  </si>
  <si>
    <t>Юниорки 20 - 23 (30.08.1998)/21</t>
  </si>
  <si>
    <t>70,90</t>
  </si>
  <si>
    <t>40,0</t>
  </si>
  <si>
    <t>45,0</t>
  </si>
  <si>
    <t xml:space="preserve">Журавлев А. </t>
  </si>
  <si>
    <t>Логинова Анастасия</t>
  </si>
  <si>
    <t>1. Логинова Анастасия</t>
  </si>
  <si>
    <t>Открытая (04.04.1995)/24</t>
  </si>
  <si>
    <t>84,40</t>
  </si>
  <si>
    <t>62,5</t>
  </si>
  <si>
    <t>Рек Александр</t>
  </si>
  <si>
    <t>1. Рек Александр</t>
  </si>
  <si>
    <t>Открытая (13.07.1987)/32</t>
  </si>
  <si>
    <t>65,20</t>
  </si>
  <si>
    <t>227,5</t>
  </si>
  <si>
    <t>232,5</t>
  </si>
  <si>
    <t>Борисов Константин</t>
  </si>
  <si>
    <t>1. Борисов Константин</t>
  </si>
  <si>
    <t>Ветераны 40 - 44 (07.09.1977)/42</t>
  </si>
  <si>
    <t>71,70</t>
  </si>
  <si>
    <t xml:space="preserve">ЗАТО Звездный городок/Московск </t>
  </si>
  <si>
    <t>117,5</t>
  </si>
  <si>
    <t xml:space="preserve">Борисов К. С. </t>
  </si>
  <si>
    <t>ВЕСОВАЯ КАТЕГОРИЯ   82.5</t>
  </si>
  <si>
    <t>Евсеев Роман</t>
  </si>
  <si>
    <t>1. Евсеев Роман</t>
  </si>
  <si>
    <t>Открытая (12.08.1993)/26</t>
  </si>
  <si>
    <t>81,20</t>
  </si>
  <si>
    <t xml:space="preserve">Дубна/Московская область </t>
  </si>
  <si>
    <t>127,5</t>
  </si>
  <si>
    <t>225,0</t>
  </si>
  <si>
    <t xml:space="preserve">Шабров А.Г. </t>
  </si>
  <si>
    <t>Анциферов Сергей</t>
  </si>
  <si>
    <t>2. Анциферов Сергей</t>
  </si>
  <si>
    <t>Открытая (12.02.1990)/29</t>
  </si>
  <si>
    <t>78,50</t>
  </si>
  <si>
    <t>177,5</t>
  </si>
  <si>
    <t xml:space="preserve">Самост </t>
  </si>
  <si>
    <t>Щёкотов Игорь</t>
  </si>
  <si>
    <t>1. Щёкотов Игорь</t>
  </si>
  <si>
    <t>Открытая (12.03.1987)/32</t>
  </si>
  <si>
    <t>89,90</t>
  </si>
  <si>
    <t xml:space="preserve">Щёкотов И.В </t>
  </si>
  <si>
    <t>-. Тушин Алексей</t>
  </si>
  <si>
    <t>Ветераны 55 - 59 (03.05.1964)/55</t>
  </si>
  <si>
    <t>Сысоев Алексей</t>
  </si>
  <si>
    <t>1. Сысоев Алексей</t>
  </si>
  <si>
    <t>Открытая (24.05.1988)/31</t>
  </si>
  <si>
    <t xml:space="preserve">Краснозаводск/Московская облас </t>
  </si>
  <si>
    <t xml:space="preserve">Пауесов Анатолий Иванович, Рат </t>
  </si>
  <si>
    <t>Пономарев Владимир</t>
  </si>
  <si>
    <t>2. Пономарев Владимир</t>
  </si>
  <si>
    <t>Открытая (03.08.1981)/38</t>
  </si>
  <si>
    <t>93,60</t>
  </si>
  <si>
    <t>235,0</t>
  </si>
  <si>
    <t>Михайлов Андрей</t>
  </si>
  <si>
    <t>3. Михайлов Андрей</t>
  </si>
  <si>
    <t>Открытая (18.07.1983)/36</t>
  </si>
  <si>
    <t>95,20</t>
  </si>
  <si>
    <t xml:space="preserve">пос. Новый городок </t>
  </si>
  <si>
    <t>195,0</t>
  </si>
  <si>
    <t>Евстигнеев Александр</t>
  </si>
  <si>
    <t>4. Евстигнеев Александр</t>
  </si>
  <si>
    <t>Открытая (05.12.1994)/25</t>
  </si>
  <si>
    <t>Смирнов Николай</t>
  </si>
  <si>
    <t>5. Смирнов Николай</t>
  </si>
  <si>
    <t>Открытая (02.05.1992)/27</t>
  </si>
  <si>
    <t>98,20</t>
  </si>
  <si>
    <t>202,5</t>
  </si>
  <si>
    <t xml:space="preserve">Смирнов Н.В. </t>
  </si>
  <si>
    <t>Бежданский Павел</t>
  </si>
  <si>
    <t>1. Бежданский Павел</t>
  </si>
  <si>
    <t>Ветераны 40 - 44 (18.12.1976)/42</t>
  </si>
  <si>
    <t>93,70</t>
  </si>
  <si>
    <t xml:space="preserve">Бежданский П.А. </t>
  </si>
  <si>
    <t>Комарчук Виталий</t>
  </si>
  <si>
    <t>1. Комарчук Виталий</t>
  </si>
  <si>
    <t>Открытая (07.10.1977)/42</t>
  </si>
  <si>
    <t>106,80</t>
  </si>
  <si>
    <t xml:space="preserve">Феодосия/Крым </t>
  </si>
  <si>
    <t xml:space="preserve">Ушаков Андрей </t>
  </si>
  <si>
    <t>Коновалов Алексей</t>
  </si>
  <si>
    <t>2. Коновалов Алексей</t>
  </si>
  <si>
    <t>Открытая (15.02.1988)/31</t>
  </si>
  <si>
    <t xml:space="preserve">Коновалов А.В. </t>
  </si>
  <si>
    <t>Дрожжин Андрей</t>
  </si>
  <si>
    <t>1. Дрожжин Андрей</t>
  </si>
  <si>
    <t>Открытая (21.11.1977)/42</t>
  </si>
  <si>
    <t>122,10</t>
  </si>
  <si>
    <t xml:space="preserve">Хотьково/Московская область </t>
  </si>
  <si>
    <t xml:space="preserve">Мамичева Е. </t>
  </si>
  <si>
    <t>Лещенко Александр</t>
  </si>
  <si>
    <t>1. Лещенко Александр</t>
  </si>
  <si>
    <t>Ветераны 40 - 44 (30.10.1975)/44</t>
  </si>
  <si>
    <t>111,40</t>
  </si>
  <si>
    <t xml:space="preserve">Книщук Р. </t>
  </si>
  <si>
    <t>Петрив Вадим</t>
  </si>
  <si>
    <t>1. Петрив Вадим</t>
  </si>
  <si>
    <t>Открытая (29.12.1981)/37</t>
  </si>
  <si>
    <t>126,20</t>
  </si>
  <si>
    <t xml:space="preserve">Дедовск/Московская область </t>
  </si>
  <si>
    <t xml:space="preserve">Девушки </t>
  </si>
  <si>
    <t>273,5595</t>
  </si>
  <si>
    <t xml:space="preserve">Юниорки </t>
  </si>
  <si>
    <t xml:space="preserve">Юниоры 20 - 23 </t>
  </si>
  <si>
    <t>67.5</t>
  </si>
  <si>
    <t>293,7278</t>
  </si>
  <si>
    <t>261,3430</t>
  </si>
  <si>
    <t>48</t>
  </si>
  <si>
    <t>344,3440</t>
  </si>
  <si>
    <t>330,8480</t>
  </si>
  <si>
    <t>292,5</t>
  </si>
  <si>
    <t>260,2080</t>
  </si>
  <si>
    <t xml:space="preserve">Ветераны 50 - 54 </t>
  </si>
  <si>
    <t>60</t>
  </si>
  <si>
    <t>287,5</t>
  </si>
  <si>
    <t>382,4734</t>
  </si>
  <si>
    <t>785,0</t>
  </si>
  <si>
    <t>449,5695</t>
  </si>
  <si>
    <t>562,5</t>
  </si>
  <si>
    <t>446,1750</t>
  </si>
  <si>
    <t>715,0</t>
  </si>
  <si>
    <t>435,1490</t>
  </si>
  <si>
    <t>745,0</t>
  </si>
  <si>
    <t>423,7560</t>
  </si>
  <si>
    <t>403,9880</t>
  </si>
  <si>
    <t>622,5</t>
  </si>
  <si>
    <t>389,8717</t>
  </si>
  <si>
    <t>630,0</t>
  </si>
  <si>
    <t>377,2440</t>
  </si>
  <si>
    <t>82.5</t>
  </si>
  <si>
    <t>540,0</t>
  </si>
  <si>
    <t>365,2560</t>
  </si>
  <si>
    <t>550,0</t>
  </si>
  <si>
    <t>351,3400</t>
  </si>
  <si>
    <t>347,9840</t>
  </si>
  <si>
    <t>490,0</t>
  </si>
  <si>
    <t>338,5900</t>
  </si>
  <si>
    <t>535,0</t>
  </si>
  <si>
    <t>329,4530</t>
  </si>
  <si>
    <t>510,0</t>
  </si>
  <si>
    <t>312,6810</t>
  </si>
  <si>
    <t>610,0</t>
  </si>
  <si>
    <t>373,0217</t>
  </si>
  <si>
    <t>390,0</t>
  </si>
  <si>
    <t>292,7808</t>
  </si>
  <si>
    <t>432,5</t>
  </si>
  <si>
    <t>276,1599</t>
  </si>
  <si>
    <t>ВЕСОВАЯ КАТЕГОРИЯ   44</t>
  </si>
  <si>
    <t>Сучкова Екатерина</t>
  </si>
  <si>
    <t>1. Сучкова Екатерина</t>
  </si>
  <si>
    <t>Юниорки 20 - 23 (15.05.1997)/22</t>
  </si>
  <si>
    <t>42,90</t>
  </si>
  <si>
    <t>32,5</t>
  </si>
  <si>
    <t>37,5</t>
  </si>
  <si>
    <t>Каргина Екатерина</t>
  </si>
  <si>
    <t>1. Каргина Екатерина</t>
  </si>
  <si>
    <t>Открытая (16.10.1993)/26</t>
  </si>
  <si>
    <t xml:space="preserve">Пармут Виталий Вячеславович </t>
  </si>
  <si>
    <t>-. Романенкова Евгения</t>
  </si>
  <si>
    <t>Открытая (27.11.1987)/32</t>
  </si>
  <si>
    <t>46,70</t>
  </si>
  <si>
    <t>70,0</t>
  </si>
  <si>
    <t>Лукасевич Мария</t>
  </si>
  <si>
    <t>-. Лукасевич Мария</t>
  </si>
  <si>
    <t>Открытая (28.04.1989)/30</t>
  </si>
  <si>
    <t>85,0</t>
  </si>
  <si>
    <t xml:space="preserve">Афанасьев Н. </t>
  </si>
  <si>
    <t>-. Смирнова Елизавета</t>
  </si>
  <si>
    <t>92,5</t>
  </si>
  <si>
    <t>ВЕСОВАЯ КАТЕГОРИЯ   52</t>
  </si>
  <si>
    <t>Смирнова Анна</t>
  </si>
  <si>
    <t>1. Смирнова Анна</t>
  </si>
  <si>
    <t>Открытая (09.03.1983)/36</t>
  </si>
  <si>
    <t>51,80</t>
  </si>
  <si>
    <t xml:space="preserve">Лыткарино/Московская область </t>
  </si>
  <si>
    <t xml:space="preserve">Лилеев А. </t>
  </si>
  <si>
    <t>Демина Лариса</t>
  </si>
  <si>
    <t>1. Демина Лариса</t>
  </si>
  <si>
    <t>Девушки 15-19 (27.07.2001)/18</t>
  </si>
  <si>
    <t>54,40</t>
  </si>
  <si>
    <t xml:space="preserve">Афанасьев Н.Н. </t>
  </si>
  <si>
    <t>Баранник Полина</t>
  </si>
  <si>
    <t>1. Баранник Полина</t>
  </si>
  <si>
    <t>Открытая (10.01.1994)/25</t>
  </si>
  <si>
    <t>55,50</t>
  </si>
  <si>
    <t xml:space="preserve">Шимановск/Амурская область </t>
  </si>
  <si>
    <t xml:space="preserve">Хитров С.С. </t>
  </si>
  <si>
    <t>Панина Ирина</t>
  </si>
  <si>
    <t>2. Панина Ирина</t>
  </si>
  <si>
    <t>Открытая (04.03.1985)/34</t>
  </si>
  <si>
    <t xml:space="preserve">Панина И.И. </t>
  </si>
  <si>
    <t>Семерозуменко Алена</t>
  </si>
  <si>
    <t>1. Семерозуменко Алена</t>
  </si>
  <si>
    <t>Девушки 15-19 (11.09.2000)/19</t>
  </si>
  <si>
    <t>59,50</t>
  </si>
  <si>
    <t xml:space="preserve">Подольск/Московская область </t>
  </si>
  <si>
    <t>72,5</t>
  </si>
  <si>
    <t>Попова Мария</t>
  </si>
  <si>
    <t>1. Попова Мария</t>
  </si>
  <si>
    <t>Открытая (28.01.1984)/35</t>
  </si>
  <si>
    <t xml:space="preserve">Попова М.С. </t>
  </si>
  <si>
    <t>Чаплыгина Екатерина</t>
  </si>
  <si>
    <t>2. Чаплыгина Екатерина</t>
  </si>
  <si>
    <t>Открытая (17.09.1991)/28</t>
  </si>
  <si>
    <t>59,70</t>
  </si>
  <si>
    <t>Никитина Анна</t>
  </si>
  <si>
    <t>1. Никитина Анна</t>
  </si>
  <si>
    <t>Открытая (09.06.1990)/29</t>
  </si>
  <si>
    <t>67,20</t>
  </si>
  <si>
    <t xml:space="preserve">Якушев Олег </t>
  </si>
  <si>
    <t>Кафтайлова Наталья</t>
  </si>
  <si>
    <t>-. Кафтайлова Наталья</t>
  </si>
  <si>
    <t>Ветераны 55 - 59 (24.08.1960)/59</t>
  </si>
  <si>
    <t>66,90</t>
  </si>
  <si>
    <t>Волкова Анастасия</t>
  </si>
  <si>
    <t>1. Волкова Анастасия</t>
  </si>
  <si>
    <t>Открытая (11.04.1995)/24</t>
  </si>
  <si>
    <t>85,80</t>
  </si>
  <si>
    <t>Пономарев Егор</t>
  </si>
  <si>
    <t>1. Пономарев Егор</t>
  </si>
  <si>
    <t>Юноши 15-19 (16.04.2004)/15</t>
  </si>
  <si>
    <t>63,90</t>
  </si>
  <si>
    <t>Лахири Валерий</t>
  </si>
  <si>
    <t>1. Лахири Валерий</t>
  </si>
  <si>
    <t>Ветераны 45 - 49 (31.12.1973)/45</t>
  </si>
  <si>
    <t>66,80</t>
  </si>
  <si>
    <t>147,5</t>
  </si>
  <si>
    <t>Ходкин Дмитрий</t>
  </si>
  <si>
    <t>1. Ходкин Дмитрий</t>
  </si>
  <si>
    <t>Юноши 15-19 (20.12.2002)/16</t>
  </si>
  <si>
    <t>74,80</t>
  </si>
  <si>
    <t>77,5</t>
  </si>
  <si>
    <t xml:space="preserve">Лазарев В. Маркин Н.И. </t>
  </si>
  <si>
    <t>Дурнов Роман</t>
  </si>
  <si>
    <t>1. Дурнов Роман</t>
  </si>
  <si>
    <t>Открытая (23.09.1986)/33</t>
  </si>
  <si>
    <t>74,90</t>
  </si>
  <si>
    <t>217,5</t>
  </si>
  <si>
    <t xml:space="preserve">Олейников С. </t>
  </si>
  <si>
    <t>Талагаев Максим</t>
  </si>
  <si>
    <t>2. Талагаев Максим</t>
  </si>
  <si>
    <t>Открытая (06.05.1997)/22</t>
  </si>
  <si>
    <t xml:space="preserve">Домодедово/Московская область </t>
  </si>
  <si>
    <t xml:space="preserve">Рыжих В.О. </t>
  </si>
  <si>
    <t>Батура Александр</t>
  </si>
  <si>
    <t>3. Батура Александр</t>
  </si>
  <si>
    <t>Открытая (16.09.1983)/36</t>
  </si>
  <si>
    <t>74,30</t>
  </si>
  <si>
    <t xml:space="preserve">Волгоград/Волгоградская област </t>
  </si>
  <si>
    <t>Киселев Александр</t>
  </si>
  <si>
    <t>1. Киселев Александр</t>
  </si>
  <si>
    <t>Ветераны 45 - 49 (01.01.1974)/45</t>
  </si>
  <si>
    <t xml:space="preserve">Фрязино/Московская область </t>
  </si>
  <si>
    <t>Ершов Константин</t>
  </si>
  <si>
    <t>1. Ершов Константин</t>
  </si>
  <si>
    <t>Открытая (14.10.1989)/30</t>
  </si>
  <si>
    <t>76,70</t>
  </si>
  <si>
    <t xml:space="preserve">Москва </t>
  </si>
  <si>
    <t>Тюменев Никита</t>
  </si>
  <si>
    <t>1. Тюменев Никита</t>
  </si>
  <si>
    <t>Юноши 15-19 (08.08.2000)/19</t>
  </si>
  <si>
    <t>88,50</t>
  </si>
  <si>
    <t xml:space="preserve">Михеев П. </t>
  </si>
  <si>
    <t>Долгирев Никита</t>
  </si>
  <si>
    <t>1. Долгирев Никита</t>
  </si>
  <si>
    <t>Открытая (09.03.1997)/22</t>
  </si>
  <si>
    <t>87,90</t>
  </si>
  <si>
    <t xml:space="preserve">Пушкино/Московская область </t>
  </si>
  <si>
    <t>252,5</t>
  </si>
  <si>
    <t xml:space="preserve">Иванов В.В. </t>
  </si>
  <si>
    <t>Трунов Олег</t>
  </si>
  <si>
    <t>1. Трунов Олег</t>
  </si>
  <si>
    <t>Открытая (08.08.1988)/31</t>
  </si>
  <si>
    <t>97,60</t>
  </si>
  <si>
    <t xml:space="preserve">Довбыш О. </t>
  </si>
  <si>
    <t>Тарасов Антон</t>
  </si>
  <si>
    <t>2. Тарасов Антон</t>
  </si>
  <si>
    <t>Открытая (09.11.1986)/33</t>
  </si>
  <si>
    <t>99,30</t>
  </si>
  <si>
    <t>257,5</t>
  </si>
  <si>
    <t>Тодорчук Дмитрий</t>
  </si>
  <si>
    <t>3. Тодорчук Дмитрий</t>
  </si>
  <si>
    <t>Открытая (29.11.1989)/30</t>
  </si>
  <si>
    <t>95,60</t>
  </si>
  <si>
    <t>Кривоконь Виктор</t>
  </si>
  <si>
    <t>1. Кривоконь Виктор</t>
  </si>
  <si>
    <t>Ветераны 45 - 49 (25.07.1972)/47</t>
  </si>
  <si>
    <t xml:space="preserve">Кривоконь В.А. </t>
  </si>
  <si>
    <t>Сперанский Вадим</t>
  </si>
  <si>
    <t>1. Сперанский Вадим</t>
  </si>
  <si>
    <t>Открытая (03.09.1992)/27</t>
  </si>
  <si>
    <t>107,00</t>
  </si>
  <si>
    <t>0,0</t>
  </si>
  <si>
    <t xml:space="preserve">Сперанский В.Е. </t>
  </si>
  <si>
    <t>Конюхов Сергей</t>
  </si>
  <si>
    <t>2. Конюхов Сергей</t>
  </si>
  <si>
    <t>Открытая (17.01.1987)/32</t>
  </si>
  <si>
    <t>106,30</t>
  </si>
  <si>
    <t xml:space="preserve">Побережный А. </t>
  </si>
  <si>
    <t>Павчинский Дмитрий</t>
  </si>
  <si>
    <t>3. Павчинский Дмитрий</t>
  </si>
  <si>
    <t>Открытая (30.10.1988)/31</t>
  </si>
  <si>
    <t>107,60</t>
  </si>
  <si>
    <t xml:space="preserve">Старшов-Клементьев А.Ю. </t>
  </si>
  <si>
    <t>Кафтайлов Антон</t>
  </si>
  <si>
    <t>1. Кафтайлов Антон</t>
  </si>
  <si>
    <t>Открытая (16.03.1992)/27</t>
  </si>
  <si>
    <t>121,50</t>
  </si>
  <si>
    <t>Фролов Александр</t>
  </si>
  <si>
    <t>2. Фролов Александр</t>
  </si>
  <si>
    <t>Открытая (17.01.1988)/31</t>
  </si>
  <si>
    <t>124,50</t>
  </si>
  <si>
    <t>327,9810</t>
  </si>
  <si>
    <t>244,0567</t>
  </si>
  <si>
    <t>44</t>
  </si>
  <si>
    <t>293,4780</t>
  </si>
  <si>
    <t>349,5455</t>
  </si>
  <si>
    <t>338,2725</t>
  </si>
  <si>
    <t>52</t>
  </si>
  <si>
    <t>328,2300</t>
  </si>
  <si>
    <t>320,2260</t>
  </si>
  <si>
    <t>313,3760</t>
  </si>
  <si>
    <t>297,9900</t>
  </si>
  <si>
    <t>330,0</t>
  </si>
  <si>
    <t>291,2580</t>
  </si>
  <si>
    <t>181,7423</t>
  </si>
  <si>
    <t>415,0</t>
  </si>
  <si>
    <t>267,2600</t>
  </si>
  <si>
    <t>325,0</t>
  </si>
  <si>
    <t>262,1775</t>
  </si>
  <si>
    <t>350,0</t>
  </si>
  <si>
    <t>249,8650</t>
  </si>
  <si>
    <t>412,6215</t>
  </si>
  <si>
    <t>408,7755</t>
  </si>
  <si>
    <t>402,9580</t>
  </si>
  <si>
    <t>657,5</t>
  </si>
  <si>
    <t>401,2723</t>
  </si>
  <si>
    <t>394,2430</t>
  </si>
  <si>
    <t>392,7000</t>
  </si>
  <si>
    <t>652,5</t>
  </si>
  <si>
    <t>386,6715</t>
  </si>
  <si>
    <t>495,0</t>
  </si>
  <si>
    <t>353,0340</t>
  </si>
  <si>
    <t>349,7130</t>
  </si>
  <si>
    <t>520,0</t>
  </si>
  <si>
    <t>322,5560</t>
  </si>
  <si>
    <t>530,0</t>
  </si>
  <si>
    <t>302,2590</t>
  </si>
  <si>
    <t>297,6795</t>
  </si>
  <si>
    <t>291,2055</t>
  </si>
  <si>
    <t>512,5</t>
  </si>
  <si>
    <t>385,9968</t>
  </si>
  <si>
    <t>555,0</t>
  </si>
  <si>
    <t>368,8332</t>
  </si>
  <si>
    <t>410,0</t>
  </si>
  <si>
    <t>336,3076</t>
  </si>
  <si>
    <t>Открытый ЧЕМПИОНАТ РОССИИ 2019
WPF AM Пауэрлифтинг в Однослойной экипировке
Москва/ 14 - 15 декабря 2019 г.</t>
  </si>
  <si>
    <t>Яшин Виктор</t>
  </si>
  <si>
    <t>1. Яшин Виктор</t>
  </si>
  <si>
    <t>Открытая (29.10.1989)/30</t>
  </si>
  <si>
    <t>87,00</t>
  </si>
  <si>
    <t>242,5</t>
  </si>
  <si>
    <t>247,5</t>
  </si>
  <si>
    <t xml:space="preserve">Ушков И.Д. </t>
  </si>
  <si>
    <t>612,5</t>
  </si>
  <si>
    <t>398,0638</t>
  </si>
  <si>
    <t>Давыденко Дарья</t>
  </si>
  <si>
    <t>1. Давыденко Дарья</t>
  </si>
  <si>
    <t>Открытая (29.04.1984)/35</t>
  </si>
  <si>
    <t>55,30</t>
  </si>
  <si>
    <t>35,0</t>
  </si>
  <si>
    <t>Шумаева Ника</t>
  </si>
  <si>
    <t>1. Шумаева Ника</t>
  </si>
  <si>
    <t>Открытая (17.01.1993)/26</t>
  </si>
  <si>
    <t>59,10</t>
  </si>
  <si>
    <t>82,5</t>
  </si>
  <si>
    <t xml:space="preserve">Аблаева В.А. </t>
  </si>
  <si>
    <t>Нетребина Галина</t>
  </si>
  <si>
    <t>1. Нетребина Галина</t>
  </si>
  <si>
    <t>Открытая (07.07.1978)/41</t>
  </si>
  <si>
    <t>67,10</t>
  </si>
  <si>
    <t>Макунина Маргарита</t>
  </si>
  <si>
    <t>1. Макунина Маргарита</t>
  </si>
  <si>
    <t>Ветераны 50 - 54 (07.03.1969)/50</t>
  </si>
  <si>
    <t>66,30</t>
  </si>
  <si>
    <t xml:space="preserve">Озёры/Московская область </t>
  </si>
  <si>
    <t>Соковцев Михаил</t>
  </si>
  <si>
    <t>1. Соковцев Михаил</t>
  </si>
  <si>
    <t>Юноши 15-19 (25.09.2001)/18</t>
  </si>
  <si>
    <t>67,30</t>
  </si>
  <si>
    <t xml:space="preserve">Михаил М.В. </t>
  </si>
  <si>
    <t>Румянцев Александр</t>
  </si>
  <si>
    <t>1. Румянцев Александр</t>
  </si>
  <si>
    <t>Открытая (26.06.1991)/28</t>
  </si>
  <si>
    <t>73,50</t>
  </si>
  <si>
    <t xml:space="preserve">Селятино/Московская область </t>
  </si>
  <si>
    <t xml:space="preserve">Тимченко С.С. </t>
  </si>
  <si>
    <t>Кулаков Владимир</t>
  </si>
  <si>
    <t>1. Кулаков Владимир</t>
  </si>
  <si>
    <t>Ветераны 65 - 69 (24.12.1955)/63</t>
  </si>
  <si>
    <t>73,10</t>
  </si>
  <si>
    <t>Ионов Николай</t>
  </si>
  <si>
    <t>1. Ионов Николай</t>
  </si>
  <si>
    <t>Ветераны 70 - 74 (20.05.1949)/70</t>
  </si>
  <si>
    <t>71,60</t>
  </si>
  <si>
    <t xml:space="preserve">Хуснетдинова Т.И. </t>
  </si>
  <si>
    <t>Санников Владислав</t>
  </si>
  <si>
    <t>1. Санников Владислав</t>
  </si>
  <si>
    <t>Ветераны 75 - 79 (29.10.1938)/81</t>
  </si>
  <si>
    <t>74,00</t>
  </si>
  <si>
    <t xml:space="preserve">Королёв/Московская область </t>
  </si>
  <si>
    <t>Панкратов Илья</t>
  </si>
  <si>
    <t>1. Панкратов Илья</t>
  </si>
  <si>
    <t>Открытая (09.12.1986)/33</t>
  </si>
  <si>
    <t>82,50</t>
  </si>
  <si>
    <t>Добудько Дмитрий</t>
  </si>
  <si>
    <t>2. Добудько Дмитрий</t>
  </si>
  <si>
    <t>Открытая (07.10.1982)/37</t>
  </si>
  <si>
    <t>81,00</t>
  </si>
  <si>
    <t>Руль Андрей</t>
  </si>
  <si>
    <t>3. Руль Андрей</t>
  </si>
  <si>
    <t>Открытая (24.07.1982)/37</t>
  </si>
  <si>
    <t>81,10</t>
  </si>
  <si>
    <t>Акишев Михаил</t>
  </si>
  <si>
    <t>4. Акишев Михаил</t>
  </si>
  <si>
    <t>Открытая (23.02.1983)/36</t>
  </si>
  <si>
    <t>81,60</t>
  </si>
  <si>
    <t xml:space="preserve">Рябухин В. В. </t>
  </si>
  <si>
    <t>-. Кокоев Богдан</t>
  </si>
  <si>
    <t>Открытая (15.11.1993)/26</t>
  </si>
  <si>
    <t>81,70</t>
  </si>
  <si>
    <t xml:space="preserve">Кокоев Б.А. </t>
  </si>
  <si>
    <t>Мурзабеков Беймурад</t>
  </si>
  <si>
    <t>1. Мурзабеков Беймурад</t>
  </si>
  <si>
    <t>Открытая (06.09.1988)/31</t>
  </si>
  <si>
    <t xml:space="preserve">Мурзабеков Б.А. </t>
  </si>
  <si>
    <t>Фауштино Жоао</t>
  </si>
  <si>
    <t>2. Фауштино Жоао</t>
  </si>
  <si>
    <t>Открытая (30.12.1990)/28</t>
  </si>
  <si>
    <t>87,20</t>
  </si>
  <si>
    <t xml:space="preserve">Белокопытов Владимир </t>
  </si>
  <si>
    <t>Базанов Сергей</t>
  </si>
  <si>
    <t>1. Базанов Сергей</t>
  </si>
  <si>
    <t>Ветераны 55 - 59 (22.06.1962)/57</t>
  </si>
  <si>
    <t>87,50</t>
  </si>
  <si>
    <t xml:space="preserve">Ржев/Тверская область </t>
  </si>
  <si>
    <t>Хуснетдинов Амир</t>
  </si>
  <si>
    <t>1. Хуснетдинов Амир</t>
  </si>
  <si>
    <t>Ветераны 70 - 74 (01.03.1948)/71</t>
  </si>
  <si>
    <t>88,30</t>
  </si>
  <si>
    <t>Гаврилюк Сергей</t>
  </si>
  <si>
    <t>1. Гаврилюк Сергей</t>
  </si>
  <si>
    <t>Открытая (02.09.1988)/31</t>
  </si>
  <si>
    <t>Виноградов Алексей</t>
  </si>
  <si>
    <t>2. Виноградов Алексей</t>
  </si>
  <si>
    <t>Открытая (22.12.1983)/35</t>
  </si>
  <si>
    <t xml:space="preserve">Наумова Наталья </t>
  </si>
  <si>
    <t>Кондаков Алексей</t>
  </si>
  <si>
    <t>1. Кондаков Алексей</t>
  </si>
  <si>
    <t>Ветераны 45 - 49 (22.07.1970)/49</t>
  </si>
  <si>
    <t>93,90</t>
  </si>
  <si>
    <t>Варваровский Максим</t>
  </si>
  <si>
    <t>2. Варваровский Максим</t>
  </si>
  <si>
    <t>Ветераны 45 - 49 (06.06.1972)/47</t>
  </si>
  <si>
    <t>93,80</t>
  </si>
  <si>
    <t xml:space="preserve">Саратов/Саратовская область </t>
  </si>
  <si>
    <t xml:space="preserve">Варваровский М .В. </t>
  </si>
  <si>
    <t>Уткин Вадим</t>
  </si>
  <si>
    <t>3. Уткин Вадим</t>
  </si>
  <si>
    <t>Ветераны 45 - 49 (10.07.1972)/47</t>
  </si>
  <si>
    <t>98,30</t>
  </si>
  <si>
    <t>Полянин Вадим</t>
  </si>
  <si>
    <t>1. Полянин Вадим</t>
  </si>
  <si>
    <t>Открытая (15.12.1983)/36</t>
  </si>
  <si>
    <t>101,70</t>
  </si>
  <si>
    <t xml:space="preserve">Воскресенск/Московская область </t>
  </si>
  <si>
    <t xml:space="preserve">Хламков А.Е. </t>
  </si>
  <si>
    <t>Быковников Вячеслав</t>
  </si>
  <si>
    <t>2. Быковников Вячеслав</t>
  </si>
  <si>
    <t>Открытая (10.09.1979)/40</t>
  </si>
  <si>
    <t>106,20</t>
  </si>
  <si>
    <t xml:space="preserve">Якутск/Якутия </t>
  </si>
  <si>
    <t>197,5</t>
  </si>
  <si>
    <t xml:space="preserve">Устинов П.С </t>
  </si>
  <si>
    <t>Жуков Павел</t>
  </si>
  <si>
    <t>3. Жуков Павел</t>
  </si>
  <si>
    <t>Открытая (17.03.1982)/37</t>
  </si>
  <si>
    <t>102,80</t>
  </si>
  <si>
    <t xml:space="preserve">Жуков П.Ю. </t>
  </si>
  <si>
    <t>Фролов Алексей</t>
  </si>
  <si>
    <t>4. Фролов Алексей</t>
  </si>
  <si>
    <t>Открытая (10.05.1994)/25</t>
  </si>
  <si>
    <t>107,50</t>
  </si>
  <si>
    <t xml:space="preserve">Фролов А.Н. </t>
  </si>
  <si>
    <t>Цымбаленко Владимир</t>
  </si>
  <si>
    <t>5. Цымбаленко Владимир</t>
  </si>
  <si>
    <t>Открытая (13.07.1985)/34</t>
  </si>
  <si>
    <t>107,90</t>
  </si>
  <si>
    <t>Цуцкиридзе Нодар</t>
  </si>
  <si>
    <t>1. Цуцкиридзе Нодар</t>
  </si>
  <si>
    <t>Ветераны 40 - 44 (14.09.1976)/43</t>
  </si>
  <si>
    <t>100,40</t>
  </si>
  <si>
    <t xml:space="preserve">Тверь/Тверская область </t>
  </si>
  <si>
    <t>Милованов Николай</t>
  </si>
  <si>
    <t>1. Милованов Николай</t>
  </si>
  <si>
    <t>Ветераны 60 - 64 (11.12.1957)/62</t>
  </si>
  <si>
    <t>102,60</t>
  </si>
  <si>
    <t xml:space="preserve">Рязанская </t>
  </si>
  <si>
    <t xml:space="preserve">Рязань/Рязанская область </t>
  </si>
  <si>
    <t>Трунов Иван</t>
  </si>
  <si>
    <t>1. Трунов Иван</t>
  </si>
  <si>
    <t>Открытая (10.10.1980)/39</t>
  </si>
  <si>
    <t>113,40</t>
  </si>
  <si>
    <t xml:space="preserve">Богородск/Нижегородская область </t>
  </si>
  <si>
    <t>Чулин Сергей</t>
  </si>
  <si>
    <t>2. Чулин Сергей</t>
  </si>
  <si>
    <t>Открытая (18.04.1987)/32</t>
  </si>
  <si>
    <t>121,80</t>
  </si>
  <si>
    <t xml:space="preserve">Тула/Тульская область </t>
  </si>
  <si>
    <t>Салпагаров Джандар</t>
  </si>
  <si>
    <t>3. Салпагаров Джандар</t>
  </si>
  <si>
    <t>Открытая (07.11.1989)/30</t>
  </si>
  <si>
    <t>115,10</t>
  </si>
  <si>
    <t xml:space="preserve">Козырев Р. Ю. </t>
  </si>
  <si>
    <t>Мишта Юрий</t>
  </si>
  <si>
    <t>1. Мишта Юрий</t>
  </si>
  <si>
    <t>Ветераны 60 - 64 (24.11.1958)/61</t>
  </si>
  <si>
    <t>120,00</t>
  </si>
  <si>
    <t xml:space="preserve">Полицковая Е.В. </t>
  </si>
  <si>
    <t>Усынин Константин</t>
  </si>
  <si>
    <t>1. Усынин Константин</t>
  </si>
  <si>
    <t>Открытая (13.05.1988)/31</t>
  </si>
  <si>
    <t>131,70</t>
  </si>
  <si>
    <t xml:space="preserve">Краснов Н.Н. </t>
  </si>
  <si>
    <t>Чернышев Андрей</t>
  </si>
  <si>
    <t>2. Чернышев Андрей</t>
  </si>
  <si>
    <t>Открытая (24.08.1981)/38</t>
  </si>
  <si>
    <t>127,30</t>
  </si>
  <si>
    <t xml:space="preserve">Московская </t>
  </si>
  <si>
    <t>Аладышев Сергей</t>
  </si>
  <si>
    <t>1. Аладышев Сергей</t>
  </si>
  <si>
    <t>Ветераны 45 - 49 (08.05.1971)/48</t>
  </si>
  <si>
    <t>139,00</t>
  </si>
  <si>
    <t>102,5000</t>
  </si>
  <si>
    <t>93,0683</t>
  </si>
  <si>
    <t>41,5905</t>
  </si>
  <si>
    <t>102,2269</t>
  </si>
  <si>
    <t>77,2900</t>
  </si>
  <si>
    <t>144,0285</t>
  </si>
  <si>
    <t>139,9920</t>
  </si>
  <si>
    <t>135,4320</t>
  </si>
  <si>
    <t>126,9660</t>
  </si>
  <si>
    <t>124,9920</t>
  </si>
  <si>
    <t>123,2415</t>
  </si>
  <si>
    <t>118,9695</t>
  </si>
  <si>
    <t>118,8975</t>
  </si>
  <si>
    <t>117,4095</t>
  </si>
  <si>
    <t>111,7200</t>
  </si>
  <si>
    <t>109,6680</t>
  </si>
  <si>
    <t>109,5385</t>
  </si>
  <si>
    <t>107,4665</t>
  </si>
  <si>
    <t>107,1015</t>
  </si>
  <si>
    <t>104,9970</t>
  </si>
  <si>
    <t>102,2040</t>
  </si>
  <si>
    <t>101,5350</t>
  </si>
  <si>
    <t>87,6720</t>
  </si>
  <si>
    <t>72,2800</t>
  </si>
  <si>
    <t xml:space="preserve">Ветераны 70 - 74 </t>
  </si>
  <si>
    <t>149,0143</t>
  </si>
  <si>
    <t xml:space="preserve">Ветераны 55 - 59 </t>
  </si>
  <si>
    <t>145,8228</t>
  </si>
  <si>
    <t xml:space="preserve">Ветераны 60 - 64 </t>
  </si>
  <si>
    <t>129,5767</t>
  </si>
  <si>
    <t>127,0328</t>
  </si>
  <si>
    <t xml:space="preserve">Ветераны 75 - 79 </t>
  </si>
  <si>
    <t>124,3814</t>
  </si>
  <si>
    <t>121,1871</t>
  </si>
  <si>
    <t>119,6641</t>
  </si>
  <si>
    <t>109,6262</t>
  </si>
  <si>
    <t>108,3212</t>
  </si>
  <si>
    <t>102,7895</t>
  </si>
  <si>
    <t>100,7306</t>
  </si>
  <si>
    <t>92,7970</t>
  </si>
  <si>
    <t>Результат</t>
  </si>
  <si>
    <t>Шалимова Татьяна</t>
  </si>
  <si>
    <t>1. Шалимова Татьяна</t>
  </si>
  <si>
    <t>Ветераны 40 - 44 (10.01.1976)/43</t>
  </si>
  <si>
    <t>72,30</t>
  </si>
  <si>
    <t xml:space="preserve">Мишенин С.В. </t>
  </si>
  <si>
    <t>Открытая (24.12.1955)/63</t>
  </si>
  <si>
    <t>Шабров Александр</t>
  </si>
  <si>
    <t>1. Шабров Александр</t>
  </si>
  <si>
    <t>Открытая (07.02.1991)/28</t>
  </si>
  <si>
    <t>97,00</t>
  </si>
  <si>
    <t>Карпов Денис</t>
  </si>
  <si>
    <t>2. Карпов Денис</t>
  </si>
  <si>
    <t>Открытая (20.04.1981)/38</t>
  </si>
  <si>
    <t>97,90</t>
  </si>
  <si>
    <t xml:space="preserve">Соколов Н.Д. </t>
  </si>
  <si>
    <t>Лазарев Владимир</t>
  </si>
  <si>
    <t>3. Лазарев Владимир</t>
  </si>
  <si>
    <t>Открытая (06.11.1979)/40</t>
  </si>
  <si>
    <t xml:space="preserve">Истра/Московская область </t>
  </si>
  <si>
    <t xml:space="preserve">Маркин Н.И. </t>
  </si>
  <si>
    <t>1. Лазарев Владимир</t>
  </si>
  <si>
    <t>Ветераны 40 - 44 (06.11.1979)/40</t>
  </si>
  <si>
    <t>Брехов Роман</t>
  </si>
  <si>
    <t>1. Брехов Роман</t>
  </si>
  <si>
    <t>Открытая (24.02.1990)/29</t>
  </si>
  <si>
    <t xml:space="preserve">Соловьёв В. </t>
  </si>
  <si>
    <t>Рахманов Вячеслав</t>
  </si>
  <si>
    <t>1. Рахманов Вячеслав</t>
  </si>
  <si>
    <t>Ветераны 50 - 54 (10.09.1968)/51</t>
  </si>
  <si>
    <t>109,00</t>
  </si>
  <si>
    <t>-. Пешко Владимир</t>
  </si>
  <si>
    <t>Открытая (12.02.1970)/49</t>
  </si>
  <si>
    <t>115,30</t>
  </si>
  <si>
    <t xml:space="preserve">Абдулин М. </t>
  </si>
  <si>
    <t>Ветераны 45 - 49 (12.02.1970)/49</t>
  </si>
  <si>
    <t>40,1430</t>
  </si>
  <si>
    <t>157,4238</t>
  </si>
  <si>
    <t>154,0750</t>
  </si>
  <si>
    <t>142,7318</t>
  </si>
  <si>
    <t>116,1090</t>
  </si>
  <si>
    <t>67,1180</t>
  </si>
  <si>
    <t>169,2399</t>
  </si>
  <si>
    <t>128,1505</t>
  </si>
  <si>
    <t>95,3747</t>
  </si>
  <si>
    <t>Филатов Егор</t>
  </si>
  <si>
    <t>1. Филатов Егор</t>
  </si>
  <si>
    <t>Открытая (22.04.1993)/26</t>
  </si>
  <si>
    <t>79,70</t>
  </si>
  <si>
    <t xml:space="preserve">Ушков Илья </t>
  </si>
  <si>
    <t>116,3310</t>
  </si>
  <si>
    <t>Сироткин Игорь</t>
  </si>
  <si>
    <t>1. Сироткин Игорь</t>
  </si>
  <si>
    <t>Ветераны 45 - 49 (29.07.1970)/49</t>
  </si>
  <si>
    <t>94,50</t>
  </si>
  <si>
    <t xml:space="preserve">Соловьев Ю.В. </t>
  </si>
  <si>
    <t>145,7307</t>
  </si>
  <si>
    <t>Балясина Евгения</t>
  </si>
  <si>
    <t>1. Балясина Евгения</t>
  </si>
  <si>
    <t>Открытая (21.05.1989)/30</t>
  </si>
  <si>
    <t>47,00</t>
  </si>
  <si>
    <t xml:space="preserve">Зайцев С. </t>
  </si>
  <si>
    <t>Балябина Татьяна</t>
  </si>
  <si>
    <t>2. Балябина Татьяна</t>
  </si>
  <si>
    <t>Открытая (23.05.1995)/24</t>
  </si>
  <si>
    <t>46,40</t>
  </si>
  <si>
    <t xml:space="preserve">Базанов С.Ю. </t>
  </si>
  <si>
    <t>Аверина Мария</t>
  </si>
  <si>
    <t>1. Аверина Мария</t>
  </si>
  <si>
    <t>Ветераны 40 - 44 (23.12.1977)/41</t>
  </si>
  <si>
    <t>47,60</t>
  </si>
  <si>
    <t xml:space="preserve">Боев В.Ф. </t>
  </si>
  <si>
    <t>Чакир Валентина</t>
  </si>
  <si>
    <t>1. Чакир Валентина</t>
  </si>
  <si>
    <t>Открытая (18.03.1988)/31</t>
  </si>
  <si>
    <t>50,00</t>
  </si>
  <si>
    <t xml:space="preserve">Кемерово/Кемеровская область </t>
  </si>
  <si>
    <t xml:space="preserve">Ермолаев Даниил Сергеевич </t>
  </si>
  <si>
    <t>Сидорова Виктория</t>
  </si>
  <si>
    <t>2. Сидорова Виктория</t>
  </si>
  <si>
    <t>Открытая (26.08.1993)/26</t>
  </si>
  <si>
    <t>51,30</t>
  </si>
  <si>
    <t>-. Кравцова Галина</t>
  </si>
  <si>
    <t>Открытая (29.11.1986)/33</t>
  </si>
  <si>
    <t>50,90</t>
  </si>
  <si>
    <t xml:space="preserve">Клостер Э. В. </t>
  </si>
  <si>
    <t>Староверова Виктория</t>
  </si>
  <si>
    <t>1. Староверова Виктория</t>
  </si>
  <si>
    <t>Юниорки 20 - 23 (02.08.1996)/23</t>
  </si>
  <si>
    <t xml:space="preserve">Егорьевск/Московская область </t>
  </si>
  <si>
    <t xml:space="preserve">Илья Ушков </t>
  </si>
  <si>
    <t>Балдина Юлия</t>
  </si>
  <si>
    <t>1. Балдина Юлия</t>
  </si>
  <si>
    <t>Открытая (30.12.1979)/39</t>
  </si>
  <si>
    <t>55,20</t>
  </si>
  <si>
    <t xml:space="preserve">Электросталь/Московская област </t>
  </si>
  <si>
    <t xml:space="preserve">Балдина Юлия </t>
  </si>
  <si>
    <t>Сенькина Лина</t>
  </si>
  <si>
    <t>2. Сенькина Лина</t>
  </si>
  <si>
    <t>Открытая (28.04.1995)/24</t>
  </si>
  <si>
    <t xml:space="preserve">Балугин Н.В. </t>
  </si>
  <si>
    <t>Шувалова Надежда</t>
  </si>
  <si>
    <t>3. Шувалова Надежда</t>
  </si>
  <si>
    <t>Открытая (08.09.1984)/35</t>
  </si>
  <si>
    <t>52,90</t>
  </si>
  <si>
    <t>Фатькина Оксана</t>
  </si>
  <si>
    <t>1. Фатькина Оксана</t>
  </si>
  <si>
    <t>Ветераны 45 - 49 (25.04.1973)/46</t>
  </si>
  <si>
    <t>53,60</t>
  </si>
  <si>
    <t>Феоктистова Наталья</t>
  </si>
  <si>
    <t>1. Феоктистова Наталья</t>
  </si>
  <si>
    <t>Ветераны 50 - 54 (08.11.1969)/50</t>
  </si>
  <si>
    <t xml:space="preserve">Кузнецов Е С </t>
  </si>
  <si>
    <t>Дубровская Анна</t>
  </si>
  <si>
    <t>1. Дубровская Анна</t>
  </si>
  <si>
    <t>Юниорки 20 - 23 (10.01.1996)/23</t>
  </si>
  <si>
    <t xml:space="preserve">Романов Ю.Н. </t>
  </si>
  <si>
    <t>-. Ишбулатова Екатерина</t>
  </si>
  <si>
    <t>Открытая (17.04.1986)/33</t>
  </si>
  <si>
    <t>59,60</t>
  </si>
  <si>
    <t>Самсонова Ольга</t>
  </si>
  <si>
    <t>1. Самсонова Ольга</t>
  </si>
  <si>
    <t>Ветераны 40 - 44 (06.08.1975)/44</t>
  </si>
  <si>
    <t>59,30</t>
  </si>
  <si>
    <t xml:space="preserve">Мичуринск/Тамбовская область </t>
  </si>
  <si>
    <t>Данилова Мария</t>
  </si>
  <si>
    <t>1. Данилова Мария</t>
  </si>
  <si>
    <t>Девушки 15-19 (27.06.2000)/19</t>
  </si>
  <si>
    <t>66,40</t>
  </si>
  <si>
    <t>Баталова Татьяна</t>
  </si>
  <si>
    <t>1. Баталова Татьяна</t>
  </si>
  <si>
    <t>Юниорки 20 - 23 (20.05.1997)/22</t>
  </si>
  <si>
    <t>64,30</t>
  </si>
  <si>
    <t>Волкова Мария</t>
  </si>
  <si>
    <t>1. Волкова Мария</t>
  </si>
  <si>
    <t>Открытая (03.01.1995)/24</t>
  </si>
  <si>
    <t>66,60</t>
  </si>
  <si>
    <t>Горбунова Инна</t>
  </si>
  <si>
    <t>2. Горбунова Инна</t>
  </si>
  <si>
    <t>Открытая (26.05.1983)/36</t>
  </si>
  <si>
    <t xml:space="preserve">Горбунова И. М. </t>
  </si>
  <si>
    <t>Яцменко Анна</t>
  </si>
  <si>
    <t>3. Яцменко Анна</t>
  </si>
  <si>
    <t>Открытая (03.04.1990)/29</t>
  </si>
  <si>
    <t>65,90</t>
  </si>
  <si>
    <t>42,5</t>
  </si>
  <si>
    <t>Образцова Татьяна</t>
  </si>
  <si>
    <t>1. Образцова Татьяна</t>
  </si>
  <si>
    <t>Ветераны 40 - 44 (02.07.1978)/41</t>
  </si>
  <si>
    <t>65,00</t>
  </si>
  <si>
    <t>Макарова Юлия</t>
  </si>
  <si>
    <t>1. Макарова Юлия</t>
  </si>
  <si>
    <t>Ветераны 50 - 54 (30.06.1969)/50</t>
  </si>
  <si>
    <t xml:space="preserve">Солнечногорск/Московская область </t>
  </si>
  <si>
    <t xml:space="preserve">Зайцев В. </t>
  </si>
  <si>
    <t>Мирясева Полина</t>
  </si>
  <si>
    <t>1. Мирясева Полина</t>
  </si>
  <si>
    <t>Девушки 15-19 (22.05.2001)/18</t>
  </si>
  <si>
    <t>71,30</t>
  </si>
  <si>
    <t xml:space="preserve">Мирясева. П.С. </t>
  </si>
  <si>
    <t>Степанова Екатерина</t>
  </si>
  <si>
    <t>1. Степанова Екатерина</t>
  </si>
  <si>
    <t>Открытая (18.04.1988)/31</t>
  </si>
  <si>
    <t xml:space="preserve">Грузин А. В. </t>
  </si>
  <si>
    <t>Викторова Наталья</t>
  </si>
  <si>
    <t>2. Викторова Наталья</t>
  </si>
  <si>
    <t>Открытая (29.12.1985)/33</t>
  </si>
  <si>
    <t>73,80</t>
  </si>
  <si>
    <t xml:space="preserve">Краснозаводск/Московская область </t>
  </si>
  <si>
    <t xml:space="preserve">Пауесов А.И. </t>
  </si>
  <si>
    <t>Мурзин Максим</t>
  </si>
  <si>
    <t>1. Мурзин Максим</t>
  </si>
  <si>
    <t>Юноши 15-19 (03.04.2005)/14</t>
  </si>
  <si>
    <t>60,00</t>
  </si>
  <si>
    <t xml:space="preserve">Бурлаков.Д.Б </t>
  </si>
  <si>
    <t>Максимов Алексей</t>
  </si>
  <si>
    <t>2. Максимов Алексей</t>
  </si>
  <si>
    <t>Юноши 15-19 (24.08.2004)/15</t>
  </si>
  <si>
    <t>Курбако Александр</t>
  </si>
  <si>
    <t>1. Курбако Александр</t>
  </si>
  <si>
    <t>Юниоры 20 - 23 (24.08.1997)/22</t>
  </si>
  <si>
    <t>67,00</t>
  </si>
  <si>
    <t xml:space="preserve">Рахманов В.А. </t>
  </si>
  <si>
    <t>1. Чвиков Николай</t>
  </si>
  <si>
    <t>Открытая (17.09.1978)/41</t>
  </si>
  <si>
    <t xml:space="preserve">Семенова О.Г. </t>
  </si>
  <si>
    <t>2. Жуков Даниил</t>
  </si>
  <si>
    <t>Открытая (23.12.1990)/28</t>
  </si>
  <si>
    <t>67,50</t>
  </si>
  <si>
    <t>1. Скворцов Дмитрий</t>
  </si>
  <si>
    <t>Ветераны 45 - 49 (06.06.1970)/49</t>
  </si>
  <si>
    <t xml:space="preserve">Чехов/Московская область </t>
  </si>
  <si>
    <t xml:space="preserve">Скворцов Д.В. </t>
  </si>
  <si>
    <t>Забайрачный Дмитрий</t>
  </si>
  <si>
    <t>1. Забайрачный Дмитрий</t>
  </si>
  <si>
    <t>Юниоры 20 - 23 (23.09.1998)/21</t>
  </si>
  <si>
    <t xml:space="preserve">Сидельников М. </t>
  </si>
  <si>
    <t>Сахарнюк Вадим</t>
  </si>
  <si>
    <t>1. Сахарнюк Вадим</t>
  </si>
  <si>
    <t>Открытая (07.11.1981)/38</t>
  </si>
  <si>
    <t>74,20</t>
  </si>
  <si>
    <t>Колесников Сергей</t>
  </si>
  <si>
    <t>2. Колесников Сергей</t>
  </si>
  <si>
    <t>Открытая (28.05.1974)/45</t>
  </si>
  <si>
    <t>Каримов Игорь</t>
  </si>
  <si>
    <t>3. Каримов Игорь</t>
  </si>
  <si>
    <t>Открытая (14.09.1990)/29</t>
  </si>
  <si>
    <t>71,80</t>
  </si>
  <si>
    <t>Прадед Александр</t>
  </si>
  <si>
    <t>4. Прадед Александр</t>
  </si>
  <si>
    <t>Открытая (01.07.1984)/35</t>
  </si>
  <si>
    <t>74,70</t>
  </si>
  <si>
    <t xml:space="preserve">Прадед Д.В. </t>
  </si>
  <si>
    <t>Калинин Сергей</t>
  </si>
  <si>
    <t>1. Калинин Сергей</t>
  </si>
  <si>
    <t>Ветераны 40 - 44 (19.11.1975)/44</t>
  </si>
  <si>
    <t>73,70</t>
  </si>
  <si>
    <t xml:space="preserve">Калинин Сергей Иванович </t>
  </si>
  <si>
    <t>1. Жало Андрей</t>
  </si>
  <si>
    <t>Ветераны 45 - 49 (12.12.1970)/49</t>
  </si>
  <si>
    <t>72,50</t>
  </si>
  <si>
    <t>Манусевич Владимир</t>
  </si>
  <si>
    <t>1. Манусевич Владимир</t>
  </si>
  <si>
    <t>Ветераны 70 - 74 (26.03.1946)/73</t>
  </si>
  <si>
    <t>75,00</t>
  </si>
  <si>
    <t xml:space="preserve">Сорокин С.В. </t>
  </si>
  <si>
    <t>Ветров Николай</t>
  </si>
  <si>
    <t>2. Ветров Николай</t>
  </si>
  <si>
    <t>Ветераны 70 - 74 (12.09.1945)/74</t>
  </si>
  <si>
    <t xml:space="preserve">Санников В.М. </t>
  </si>
  <si>
    <t>Кожевников Алексей</t>
  </si>
  <si>
    <t>1. Кожевников Алексей</t>
  </si>
  <si>
    <t>Открытая (20.12.1983)/35</t>
  </si>
  <si>
    <t>82,00</t>
  </si>
  <si>
    <t xml:space="preserve">Домашевский А.В. </t>
  </si>
  <si>
    <t>Макаров Даниил</t>
  </si>
  <si>
    <t>2. Макаров Даниил</t>
  </si>
  <si>
    <t>Открытая (18.05.1995)/24</t>
  </si>
  <si>
    <t>82,20</t>
  </si>
  <si>
    <t xml:space="preserve">Макаров Д.М. </t>
  </si>
  <si>
    <t>3. Шаров Константин</t>
  </si>
  <si>
    <t>Открытая (30.10.1986)/33</t>
  </si>
  <si>
    <t xml:space="preserve">Сапунков К.В. </t>
  </si>
  <si>
    <t>4. Степин Даниил</t>
  </si>
  <si>
    <t>Открытая (01.05.1993)/26</t>
  </si>
  <si>
    <t>79,80</t>
  </si>
  <si>
    <t xml:space="preserve">Степин Д.Г. </t>
  </si>
  <si>
    <t>5. Проняев Григорий</t>
  </si>
  <si>
    <t>Открытая (10.01.1993)/26</t>
  </si>
  <si>
    <t>82,30</t>
  </si>
  <si>
    <t xml:space="preserve">Умаров Р. Б. </t>
  </si>
  <si>
    <t>6. Гук Андрей</t>
  </si>
  <si>
    <t>Открытая (01.05.1990)/29</t>
  </si>
  <si>
    <t xml:space="preserve">Гук А.А </t>
  </si>
  <si>
    <t>Волков Андрей</t>
  </si>
  <si>
    <t>1. Волков Андрей</t>
  </si>
  <si>
    <t>Ветераны 45 - 49 (25.08.1972)/47</t>
  </si>
  <si>
    <t xml:space="preserve">Краснов Николай </t>
  </si>
  <si>
    <t>Зуйков Сергей</t>
  </si>
  <si>
    <t>1. Зуйков Сергей</t>
  </si>
  <si>
    <t>Ветераны 55 - 59 (10.03.1970)/49</t>
  </si>
  <si>
    <t>76,50</t>
  </si>
  <si>
    <t>2. Кондрашев Сергей</t>
  </si>
  <si>
    <t>Ветераны 55 - 59 (16.09.1963)/56</t>
  </si>
  <si>
    <t>81,30</t>
  </si>
  <si>
    <t xml:space="preserve">Одинцово/Московская область </t>
  </si>
  <si>
    <t>Баранов Владимир</t>
  </si>
  <si>
    <t>1. Баранов Владимир</t>
  </si>
  <si>
    <t>Ветераны 60 - 64 (23.02.1957)/62</t>
  </si>
  <si>
    <t>78,30</t>
  </si>
  <si>
    <t xml:space="preserve">Краснов Н. </t>
  </si>
  <si>
    <t>Мищенко Артем</t>
  </si>
  <si>
    <t>1. Мищенко Артем</t>
  </si>
  <si>
    <t>Открытая (26.06.1984)/35</t>
  </si>
  <si>
    <t>88,40</t>
  </si>
  <si>
    <t xml:space="preserve">Чокаев У. </t>
  </si>
  <si>
    <t>Галичевский Иван</t>
  </si>
  <si>
    <t>2. Галичевский Иван</t>
  </si>
  <si>
    <t>Открытая (21.11.1989)/30</t>
  </si>
  <si>
    <t>87,10</t>
  </si>
  <si>
    <t xml:space="preserve">Богданов М. </t>
  </si>
  <si>
    <t>Труфанов Максим</t>
  </si>
  <si>
    <t>3. Труфанов Максим</t>
  </si>
  <si>
    <t>Открытая (14.08.1992)/27</t>
  </si>
  <si>
    <t xml:space="preserve">Труфанов М.А </t>
  </si>
  <si>
    <t>Данилов Иван</t>
  </si>
  <si>
    <t>4. Данилов Иван</t>
  </si>
  <si>
    <t>Открытая (07.10.1988)/31</t>
  </si>
  <si>
    <t>87,60</t>
  </si>
  <si>
    <t xml:space="preserve">Корнишин В. В. </t>
  </si>
  <si>
    <t>5. Долгирев Никита</t>
  </si>
  <si>
    <t>Кравцов Александр</t>
  </si>
  <si>
    <t>6. Кравцов Александр</t>
  </si>
  <si>
    <t>Открытая (02.08.1987)/32</t>
  </si>
  <si>
    <t xml:space="preserve">Даниленко И. </t>
  </si>
  <si>
    <t>7. Телушков Антон</t>
  </si>
  <si>
    <t>Открытая (30.09.1992)/27</t>
  </si>
  <si>
    <t>88,00</t>
  </si>
  <si>
    <t>8. Комиссаров Евгений</t>
  </si>
  <si>
    <t>Открытая (02.04.1991)/28</t>
  </si>
  <si>
    <t>88,90</t>
  </si>
  <si>
    <t xml:space="preserve">Сидельников М.А. </t>
  </si>
  <si>
    <t>9. Товпеко Роман</t>
  </si>
  <si>
    <t>Открытая (13.03.1981)/38</t>
  </si>
  <si>
    <t xml:space="preserve">Товпеко Р.Н. </t>
  </si>
  <si>
    <t>10. Киреев Владимир</t>
  </si>
  <si>
    <t>Открытая (02.05.1986)/33</t>
  </si>
  <si>
    <t>86,50</t>
  </si>
  <si>
    <t>Давыдов Николай</t>
  </si>
  <si>
    <t>1. Давыдов Николай</t>
  </si>
  <si>
    <t>Ветераны 40 - 44 (17.03.1979)/40</t>
  </si>
  <si>
    <t xml:space="preserve">Давыдов Николай Валерьевич </t>
  </si>
  <si>
    <t>-. Абдулкадиров Назир</t>
  </si>
  <si>
    <t>Ветераны 40 - 44 (25.10.1976)/43</t>
  </si>
  <si>
    <t>89,00</t>
  </si>
  <si>
    <t xml:space="preserve">Тимохин П. </t>
  </si>
  <si>
    <t>1. Терехов Анатолий</t>
  </si>
  <si>
    <t>Ветераны 45 - 49 (20.03.1971)/48</t>
  </si>
  <si>
    <t xml:space="preserve">Раменское/Московская область </t>
  </si>
  <si>
    <t>2. Сурин Денис</t>
  </si>
  <si>
    <t>Ветераны 45 - 49 (16.02.1974)/45</t>
  </si>
  <si>
    <t>88,80</t>
  </si>
  <si>
    <t xml:space="preserve">Сурин Д.В. </t>
  </si>
  <si>
    <t>Хорхордин Игорь</t>
  </si>
  <si>
    <t>1. Хорхордин Игорь</t>
  </si>
  <si>
    <t>Ветераны 50 - 54 (15.06.1967)/52</t>
  </si>
  <si>
    <t>Меркуленков Юрий</t>
  </si>
  <si>
    <t>2. Меркуленков Юрий</t>
  </si>
  <si>
    <t>Ветераны 50 - 54 (18.03.1965)/54</t>
  </si>
  <si>
    <t xml:space="preserve">Люберцы/Московская область </t>
  </si>
  <si>
    <t xml:space="preserve">Меркуленков Юрий Геннадьевич </t>
  </si>
  <si>
    <t>-. Климов Эдуард</t>
  </si>
  <si>
    <t>Ветераны 50 - 54 (22.08.1967)/52</t>
  </si>
  <si>
    <t>89,80</t>
  </si>
  <si>
    <t xml:space="preserve">Буханцев П.П. </t>
  </si>
  <si>
    <t>Гнатюк Сергей</t>
  </si>
  <si>
    <t>1. Гнатюк Сергей</t>
  </si>
  <si>
    <t>Ветераны 55 - 59 (10.12.1960)/59</t>
  </si>
  <si>
    <t>85,90</t>
  </si>
  <si>
    <t>Смирнов Леонид</t>
  </si>
  <si>
    <t>1. Смирнов Леонид</t>
  </si>
  <si>
    <t>Ветераны 60 - 64 (26.09.1957)/62</t>
  </si>
  <si>
    <t>89,20</t>
  </si>
  <si>
    <t xml:space="preserve">Смирнов Л.А. </t>
  </si>
  <si>
    <t>1. Алексаков Михаил</t>
  </si>
  <si>
    <t>Ветераны 65 - 69 (04.12.1954)/65</t>
  </si>
  <si>
    <t xml:space="preserve">Нахабино/Московская область </t>
  </si>
  <si>
    <t>Скворцов Фил</t>
  </si>
  <si>
    <t>1. Скворцов Фил</t>
  </si>
  <si>
    <t>Юноши 15-19 (07.07.2003)/16</t>
  </si>
  <si>
    <t>96,60</t>
  </si>
  <si>
    <t xml:space="preserve">Скворцов Алексей Анатольевич </t>
  </si>
  <si>
    <t>Алексеенко Максим</t>
  </si>
  <si>
    <t>1. Алексеенко Максим</t>
  </si>
  <si>
    <t>Юниоры 20 - 23 (17.09.1997)/22</t>
  </si>
  <si>
    <t>97,70</t>
  </si>
  <si>
    <t xml:space="preserve">Химки/Московская область </t>
  </si>
  <si>
    <t xml:space="preserve">Алексеенко м.м. </t>
  </si>
  <si>
    <t>Волобуев Дмитрий</t>
  </si>
  <si>
    <t>1. Волобуев Дмитрий</t>
  </si>
  <si>
    <t>Открытая (17.05.1989)/30</t>
  </si>
  <si>
    <t>94,00</t>
  </si>
  <si>
    <t xml:space="preserve">Котов А.В. </t>
  </si>
  <si>
    <t>Лопатин Олег</t>
  </si>
  <si>
    <t>2. Лопатин Олег</t>
  </si>
  <si>
    <t>Открытая (15.06.1983)/36</t>
  </si>
  <si>
    <t xml:space="preserve">Владимир/Владимирская область </t>
  </si>
  <si>
    <t xml:space="preserve">Солдатов И. </t>
  </si>
  <si>
    <t>3. Шишка Александр</t>
  </si>
  <si>
    <t>Открытая (15.07.1987)/32</t>
  </si>
  <si>
    <t>99,50</t>
  </si>
  <si>
    <t xml:space="preserve">Звенигород/Московская область </t>
  </si>
  <si>
    <t>-. Курносов Алексей</t>
  </si>
  <si>
    <t>Открытая (03.07.1984)/35</t>
  </si>
  <si>
    <t>94,90</t>
  </si>
  <si>
    <t xml:space="preserve">тренер - Краснов Николай Никол </t>
  </si>
  <si>
    <t>1. Башкевич Максим</t>
  </si>
  <si>
    <t>Ветераны 40 - 44 (02.09.1975)/44</t>
  </si>
  <si>
    <t>98,80</t>
  </si>
  <si>
    <t>2. Чуксин Олег</t>
  </si>
  <si>
    <t>Ветераны 40 - 44 (17.08.1975)/44</t>
  </si>
  <si>
    <t xml:space="preserve">Безкишкин Вадим Николаевич </t>
  </si>
  <si>
    <t>1. Канищев Роман</t>
  </si>
  <si>
    <t>Ветераны 45 - 49 (05.09.1973)/46</t>
  </si>
  <si>
    <t xml:space="preserve">Московская область/Московская </t>
  </si>
  <si>
    <t xml:space="preserve">Канищев Р.В. </t>
  </si>
  <si>
    <t>2. Волков Игорь</t>
  </si>
  <si>
    <t>Ветераны 45 - 49 (07.07.1974)/45</t>
  </si>
  <si>
    <t xml:space="preserve">Постнов Д.М. </t>
  </si>
  <si>
    <t>Сапачев Александр</t>
  </si>
  <si>
    <t>1. Сапачев Александр</t>
  </si>
  <si>
    <t>Ветераны 50 - 54 (13.12.1965)/54</t>
  </si>
  <si>
    <t xml:space="preserve">нет </t>
  </si>
  <si>
    <t>2. Кузьмин Дмитрий</t>
  </si>
  <si>
    <t>Ермаков Олег</t>
  </si>
  <si>
    <t>1. Ермаков Олег</t>
  </si>
  <si>
    <t>Ветераны 55 - 59 (14.09.1960)/59</t>
  </si>
  <si>
    <t>98,40</t>
  </si>
  <si>
    <t xml:space="preserve">Новомосковск/Тульская область </t>
  </si>
  <si>
    <t xml:space="preserve">Ермаков О.С. </t>
  </si>
  <si>
    <t>Назарян Торник</t>
  </si>
  <si>
    <t>2. Назарян Торник</t>
  </si>
  <si>
    <t>Открытая (10.10.1991)/28</t>
  </si>
  <si>
    <t>102,70</t>
  </si>
  <si>
    <t xml:space="preserve">Зуйков Е.М. </t>
  </si>
  <si>
    <t>Журкин Ян</t>
  </si>
  <si>
    <t>3. Журкин Ян</t>
  </si>
  <si>
    <t>Открытая (05.11.1985)/34</t>
  </si>
  <si>
    <t>108,00</t>
  </si>
  <si>
    <t xml:space="preserve">Чевордаев В.А. </t>
  </si>
  <si>
    <t>Солдатов Игорь</t>
  </si>
  <si>
    <t>4. Солдатов Игорь</t>
  </si>
  <si>
    <t>Открытая (24.01.1985)/34</t>
  </si>
  <si>
    <t>105,70</t>
  </si>
  <si>
    <t>5. Благов Дмитрий</t>
  </si>
  <si>
    <t>Открытая (18.04.1989)/30</t>
  </si>
  <si>
    <t>105,60</t>
  </si>
  <si>
    <t>Липовский Сергей</t>
  </si>
  <si>
    <t>1. Липовский Сергей</t>
  </si>
  <si>
    <t>105,30</t>
  </si>
  <si>
    <t>187,5</t>
  </si>
  <si>
    <t>Ремин Кирилл</t>
  </si>
  <si>
    <t>2. Ремин Кирилл</t>
  </si>
  <si>
    <t>Ветераны 40 - 44 (13.08.1975)/44</t>
  </si>
  <si>
    <t>104,30</t>
  </si>
  <si>
    <t xml:space="preserve">Пушнин М. </t>
  </si>
  <si>
    <t>Ковальский Алексей</t>
  </si>
  <si>
    <t>3. Ковальский Алексей</t>
  </si>
  <si>
    <t>Ветераны 40 - 44 (25.12.1975)/43</t>
  </si>
  <si>
    <t>106,10</t>
  </si>
  <si>
    <t>Степанов Владимир</t>
  </si>
  <si>
    <t>1. Степанов Владимир</t>
  </si>
  <si>
    <t>Ветераны 45 - 49 (15.09.1970)/49</t>
  </si>
  <si>
    <t>107,20</t>
  </si>
  <si>
    <t>188,5</t>
  </si>
  <si>
    <t>Бурлов Иван</t>
  </si>
  <si>
    <t>2. Бурлов Иван</t>
  </si>
  <si>
    <t>Ветераны 45 - 49 (20.01.1970)/49</t>
  </si>
  <si>
    <t>108,60</t>
  </si>
  <si>
    <t>3. Великоиваненко Сергей</t>
  </si>
  <si>
    <t>Ветераны 45 - 49 (14.06.1970)/49</t>
  </si>
  <si>
    <t>106,90</t>
  </si>
  <si>
    <t xml:space="preserve">Оренбург/Оренбургская область </t>
  </si>
  <si>
    <t xml:space="preserve">Великоиваненко С.В. </t>
  </si>
  <si>
    <t>Буханцев Павел</t>
  </si>
  <si>
    <t>1. Буханцев Павел</t>
  </si>
  <si>
    <t>Ветераны 50 - 54 (02.08.1969)/50</t>
  </si>
  <si>
    <t xml:space="preserve">Кондаков А. </t>
  </si>
  <si>
    <t>Киреев Дмитрий</t>
  </si>
  <si>
    <t>2. Киреев Дмитрий</t>
  </si>
  <si>
    <t>Ветераны 50 - 54 (25.08.1969)/50</t>
  </si>
  <si>
    <t>1. Кондратьев Валерий</t>
  </si>
  <si>
    <t>Ветераны 55 - 59 (15.01.1964)/55</t>
  </si>
  <si>
    <t>104,00</t>
  </si>
  <si>
    <t>1. Яковенко Владимир</t>
  </si>
  <si>
    <t>Ветераны 60 - 64 (27.03.1959)/60</t>
  </si>
  <si>
    <t xml:space="preserve">Можайск/Московская область </t>
  </si>
  <si>
    <t xml:space="preserve">яковенко </t>
  </si>
  <si>
    <t>Пауесов Анатолий</t>
  </si>
  <si>
    <t>1. Пауесов Анатолий</t>
  </si>
  <si>
    <t>Ветераны 65 - 69 (14.06.1953)/66</t>
  </si>
  <si>
    <t>Пронин Вадим</t>
  </si>
  <si>
    <t>1. Пронин Вадим</t>
  </si>
  <si>
    <t>Открытая (10.08.1979)/40</t>
  </si>
  <si>
    <t>118,10</t>
  </si>
  <si>
    <t>Зуйков Евгений</t>
  </si>
  <si>
    <t>2. Зуйков Евгений</t>
  </si>
  <si>
    <t>120,50</t>
  </si>
  <si>
    <t xml:space="preserve">Беловал Е. </t>
  </si>
  <si>
    <t>Силиненков Роман</t>
  </si>
  <si>
    <t>3. Силиненков Роман</t>
  </si>
  <si>
    <t>Открытая (27.01.1978)/41</t>
  </si>
  <si>
    <t>124,70</t>
  </si>
  <si>
    <t xml:space="preserve">Силиненков Роман Валерьевич </t>
  </si>
  <si>
    <t>Хачатрян Георгий</t>
  </si>
  <si>
    <t>4. Хачатрян Георгий</t>
  </si>
  <si>
    <t>Открытая (23.07.1986)/33</t>
  </si>
  <si>
    <t>115,70</t>
  </si>
  <si>
    <t xml:space="preserve">Лосино-Петровский/Московская область </t>
  </si>
  <si>
    <t>Бабуев Саидмагомед</t>
  </si>
  <si>
    <t>5. Бабуев Саидмагомед</t>
  </si>
  <si>
    <t>Открытая (12.01.1988)/31</t>
  </si>
  <si>
    <t>111,20</t>
  </si>
  <si>
    <t>Есин Кирилл</t>
  </si>
  <si>
    <t>6. Есин Кирилл</t>
  </si>
  <si>
    <t>Открытая (09.03.1992)/27</t>
  </si>
  <si>
    <t>Ветераны 40 - 44 (10.08.1979)/40</t>
  </si>
  <si>
    <t>2. Пронин Вадим</t>
  </si>
  <si>
    <t>Ветераны 40 - 44 (27.01.1978)/41</t>
  </si>
  <si>
    <t>Селезнев Владимир</t>
  </si>
  <si>
    <t>4. Селезнев Владимир</t>
  </si>
  <si>
    <t>Ветераны 40 - 44 (09.05.1977)/42</t>
  </si>
  <si>
    <t>123,40</t>
  </si>
  <si>
    <t>Чубаров Владимир</t>
  </si>
  <si>
    <t>1. Чубаров Владимир</t>
  </si>
  <si>
    <t>Ветераны 55 - 59 (03.04.1964)/55</t>
  </si>
  <si>
    <t>123,70</t>
  </si>
  <si>
    <t>68,7680</t>
  </si>
  <si>
    <t>64,5500</t>
  </si>
  <si>
    <t>76,6760</t>
  </si>
  <si>
    <t>64,8658</t>
  </si>
  <si>
    <t>62,3858</t>
  </si>
  <si>
    <t>100,4835</t>
  </si>
  <si>
    <t>97,5053</t>
  </si>
  <si>
    <t>73,8645</t>
  </si>
  <si>
    <t>65,7045</t>
  </si>
  <si>
    <t>64,4718</t>
  </si>
  <si>
    <t>62,9850</t>
  </si>
  <si>
    <t>62,4260</t>
  </si>
  <si>
    <t>59,5000</t>
  </si>
  <si>
    <t>59,0800</t>
  </si>
  <si>
    <t>59,0640</t>
  </si>
  <si>
    <t>58,4345</t>
  </si>
  <si>
    <t>46,7325</t>
  </si>
  <si>
    <t>84,2435</t>
  </si>
  <si>
    <t>71,5224</t>
  </si>
  <si>
    <t>70,4088</t>
  </si>
  <si>
    <t>68,2708</t>
  </si>
  <si>
    <t>67,2963</t>
  </si>
  <si>
    <t>66,4779</t>
  </si>
  <si>
    <t>55,5660</t>
  </si>
  <si>
    <t>53,3063</t>
  </si>
  <si>
    <t>46,9095</t>
  </si>
  <si>
    <t xml:space="preserve">Юниоры </t>
  </si>
  <si>
    <t>86,4840</t>
  </si>
  <si>
    <t>79,4990</t>
  </si>
  <si>
    <t>78,3360</t>
  </si>
  <si>
    <t>124,0765</t>
  </si>
  <si>
    <t>118,7400</t>
  </si>
  <si>
    <t>117,7520</t>
  </si>
  <si>
    <t>117,6700</t>
  </si>
  <si>
    <t>114,5697</t>
  </si>
  <si>
    <t>114,3870</t>
  </si>
  <si>
    <t>114,0200</t>
  </si>
  <si>
    <t>111,4440</t>
  </si>
  <si>
    <t>109,5480</t>
  </si>
  <si>
    <t>107,6850</t>
  </si>
  <si>
    <t>105,0622</t>
  </si>
  <si>
    <t>103,5155</t>
  </si>
  <si>
    <t>103,1940</t>
  </si>
  <si>
    <t>102,9280</t>
  </si>
  <si>
    <t>102,2963</t>
  </si>
  <si>
    <t>101,3540</t>
  </si>
  <si>
    <t>100,7100</t>
  </si>
  <si>
    <t>100,6105</t>
  </si>
  <si>
    <t>100,3625</t>
  </si>
  <si>
    <t>100,1765</t>
  </si>
  <si>
    <t>100,0000</t>
  </si>
  <si>
    <t>99,8200</t>
  </si>
  <si>
    <t>98,2575</t>
  </si>
  <si>
    <t>95,9332</t>
  </si>
  <si>
    <t>129,6823</t>
  </si>
  <si>
    <t>128,2609</t>
  </si>
  <si>
    <t>123,8143</t>
  </si>
  <si>
    <t>122,4296</t>
  </si>
  <si>
    <t>120,0416</t>
  </si>
  <si>
    <t>118,5198</t>
  </si>
  <si>
    <t>117,2275</t>
  </si>
  <si>
    <t>116,7508</t>
  </si>
  <si>
    <t>116,1901</t>
  </si>
  <si>
    <t>115,7082</t>
  </si>
  <si>
    <t>115,1602</t>
  </si>
  <si>
    <t>114,7936</t>
  </si>
  <si>
    <t>114,6593</t>
  </si>
  <si>
    <t>113,4375</t>
  </si>
  <si>
    <t>113,1036</t>
  </si>
  <si>
    <t>111,8042</t>
  </si>
  <si>
    <t>109,5990</t>
  </si>
  <si>
    <t>109,3325</t>
  </si>
  <si>
    <t>109,2802</t>
  </si>
  <si>
    <t>107,4250</t>
  </si>
  <si>
    <t>107,1997</t>
  </si>
  <si>
    <t>106,7262</t>
  </si>
  <si>
    <t>Левенкова Наталья</t>
  </si>
  <si>
    <t>1. Левенкова Наталья</t>
  </si>
  <si>
    <t>Открытая (16.09.1988)/31</t>
  </si>
  <si>
    <t>55,00</t>
  </si>
  <si>
    <t>Подгорнова Арина</t>
  </si>
  <si>
    <t>1. Подгорнова Арина</t>
  </si>
  <si>
    <t>Девушки 15-19 (11.03.2002)/17</t>
  </si>
  <si>
    <t>64,00</t>
  </si>
  <si>
    <t xml:space="preserve">Орехово-Зуево/Московская область </t>
  </si>
  <si>
    <t>Ларионов Артем</t>
  </si>
  <si>
    <t>1. Ларионов Артем</t>
  </si>
  <si>
    <t>Открытая (14.05.1978)/41</t>
  </si>
  <si>
    <t>Галкин Дмитрий</t>
  </si>
  <si>
    <t>1. Галкин Дмитрий</t>
  </si>
  <si>
    <t>Открытая (14.08.1987)/32</t>
  </si>
  <si>
    <t>Корнеев Дмитрий</t>
  </si>
  <si>
    <t>2. Корнеев Дмитрий</t>
  </si>
  <si>
    <t>Открытая (15.02.1987)/32</t>
  </si>
  <si>
    <t>Саунин Дмитрий</t>
  </si>
  <si>
    <t>3. Саунин Дмитрий</t>
  </si>
  <si>
    <t>Открытая (23.04.1994)/25</t>
  </si>
  <si>
    <t>89,70</t>
  </si>
  <si>
    <t xml:space="preserve">Шабров А. Г. </t>
  </si>
  <si>
    <t>Кончаков Владимир</t>
  </si>
  <si>
    <t>1. Кончаков Владимир</t>
  </si>
  <si>
    <t>Открытая (25.05.1973)/46</t>
  </si>
  <si>
    <t>97,40</t>
  </si>
  <si>
    <t xml:space="preserve">Исаков П.Г. </t>
  </si>
  <si>
    <t>Игнатов Андрей</t>
  </si>
  <si>
    <t>2. Игнатов Андрей</t>
  </si>
  <si>
    <t>Открытая (22.02.1992)/27</t>
  </si>
  <si>
    <t>84,9040</t>
  </si>
  <si>
    <t>95,4640</t>
  </si>
  <si>
    <t>169,1800</t>
  </si>
  <si>
    <t>159,0680</t>
  </si>
  <si>
    <t>148,1343</t>
  </si>
  <si>
    <t>126,3405</t>
  </si>
  <si>
    <t>121,6380</t>
  </si>
  <si>
    <t>118,3075</t>
  </si>
  <si>
    <t>Логинов Матвей</t>
  </si>
  <si>
    <t>1. Логинов Матвей</t>
  </si>
  <si>
    <t>Юноши 15-19 (24.02.2003)/16</t>
  </si>
  <si>
    <t>59,20</t>
  </si>
  <si>
    <t xml:space="preserve">Елисеев П.С </t>
  </si>
  <si>
    <t>Чепель Андрей</t>
  </si>
  <si>
    <t>2. Чепель Андрей</t>
  </si>
  <si>
    <t>Юноши 15-19 (10.04.2005)/14</t>
  </si>
  <si>
    <t>57,20</t>
  </si>
  <si>
    <t>Ремизевич Евгений</t>
  </si>
  <si>
    <t>1. Ремизевич Евгений</t>
  </si>
  <si>
    <t>Открытая (03.03.1992)/27</t>
  </si>
  <si>
    <t xml:space="preserve">Лакалин А.С. </t>
  </si>
  <si>
    <t>Калинов Антон</t>
  </si>
  <si>
    <t>2. Калинов Антон</t>
  </si>
  <si>
    <t>Открытая (22.09.1991)/28</t>
  </si>
  <si>
    <t xml:space="preserve">Белкин Ю. В. </t>
  </si>
  <si>
    <t>Чернеля Михаил</t>
  </si>
  <si>
    <t>3. Чернеля Михаил</t>
  </si>
  <si>
    <t>Открытая (27.08.1985)/34</t>
  </si>
  <si>
    <t>80,90</t>
  </si>
  <si>
    <t>Неклюдов Андрей</t>
  </si>
  <si>
    <t>1. Неклюдов Андрей</t>
  </si>
  <si>
    <t>Юниоры 20 - 23 (24.11.1996)/23</t>
  </si>
  <si>
    <t xml:space="preserve">Дмитров/Московская область </t>
  </si>
  <si>
    <t xml:space="preserve">Ананьин А.А. </t>
  </si>
  <si>
    <t>Азизмамадов Константин</t>
  </si>
  <si>
    <t>1. Азизмамадов Константин</t>
  </si>
  <si>
    <t>Открытая (17.03.1985)/34</t>
  </si>
  <si>
    <t>89,10</t>
  </si>
  <si>
    <t xml:space="preserve">Тверская область/Тверская обла </t>
  </si>
  <si>
    <t>Афанасьев Николай</t>
  </si>
  <si>
    <t>2. Афанасьев Николай</t>
  </si>
  <si>
    <t>Открытая (27.04.1981)/38</t>
  </si>
  <si>
    <t>Башмаков Илья</t>
  </si>
  <si>
    <t>3. Башмаков Илья</t>
  </si>
  <si>
    <t>Открытая (09.05.1992)/27</t>
  </si>
  <si>
    <t xml:space="preserve">Сорокин С. В. </t>
  </si>
  <si>
    <t>Любимов Вячеслав</t>
  </si>
  <si>
    <t>1. Любимов Вячеслав</t>
  </si>
  <si>
    <t>Ветераны 45 - 49 (15.08.1971)/48</t>
  </si>
  <si>
    <t xml:space="preserve">Самостоятельно </t>
  </si>
  <si>
    <t>1. Сапунков Константин</t>
  </si>
  <si>
    <t>Горлов Александр</t>
  </si>
  <si>
    <t>2. Горлов Александр</t>
  </si>
  <si>
    <t>Открытая (25.11.1980)/39</t>
  </si>
  <si>
    <t>98,10</t>
  </si>
  <si>
    <t>Рассказихин Дмитрий</t>
  </si>
  <si>
    <t>1. Рассказихин Дмитрий</t>
  </si>
  <si>
    <t>Ветераны 50 - 54 (13.02.1969)/50</t>
  </si>
  <si>
    <t xml:space="preserve">Сумин А. </t>
  </si>
  <si>
    <t>Савосин Марат</t>
  </si>
  <si>
    <t>1. Савосин Марат</t>
  </si>
  <si>
    <t>Открытая (23.10.1990)/29</t>
  </si>
  <si>
    <t>104,90</t>
  </si>
  <si>
    <t>320,0</t>
  </si>
  <si>
    <t>Хоботнев Владислав</t>
  </si>
  <si>
    <t>2. Хоботнев Владислав</t>
  </si>
  <si>
    <t>Открытая (22.05.1990)/29</t>
  </si>
  <si>
    <t>-. Быковников Вячеслав</t>
  </si>
  <si>
    <t>Золотаренок Андрей</t>
  </si>
  <si>
    <t>1. Золотаренок Андрей</t>
  </si>
  <si>
    <t>Ветераны 40 - 44 (23.11.1978)/41</t>
  </si>
  <si>
    <t>Куликов Евгений</t>
  </si>
  <si>
    <t>1. Куликов Евгений</t>
  </si>
  <si>
    <t>Открытая (18.03.1983)/36</t>
  </si>
  <si>
    <t>116,70</t>
  </si>
  <si>
    <t xml:space="preserve">Куликов Евгений </t>
  </si>
  <si>
    <t>Старов Дмитрий</t>
  </si>
  <si>
    <t>1. Старов Дмитрий</t>
  </si>
  <si>
    <t>Ветераны 45 - 49 (01.02.1973)/46</t>
  </si>
  <si>
    <t>121,10</t>
  </si>
  <si>
    <t xml:space="preserve">- </t>
  </si>
  <si>
    <t>Кирюшкин Вадим</t>
  </si>
  <si>
    <t>1. Кирюшкин Вадим</t>
  </si>
  <si>
    <t>Ветераны 40 - 44 (13.01.1976)/43</t>
  </si>
  <si>
    <t>132,50</t>
  </si>
  <si>
    <t>105,7787</t>
  </si>
  <si>
    <t>93,6495</t>
  </si>
  <si>
    <t>139,5565</t>
  </si>
  <si>
    <t>191,2960</t>
  </si>
  <si>
    <t>182,8845</t>
  </si>
  <si>
    <t>181,9440</t>
  </si>
  <si>
    <t>164,7270</t>
  </si>
  <si>
    <t>155,0160</t>
  </si>
  <si>
    <t>153,3820</t>
  </si>
  <si>
    <t>151,2900</t>
  </si>
  <si>
    <t>149,9000</t>
  </si>
  <si>
    <t>140,6790</t>
  </si>
  <si>
    <t>116,5460</t>
  </si>
  <si>
    <t>115,2430</t>
  </si>
  <si>
    <t>184,6799</t>
  </si>
  <si>
    <t>180,1642</t>
  </si>
  <si>
    <t>171,5593</t>
  </si>
  <si>
    <t>155,6168</t>
  </si>
  <si>
    <t>144,7055</t>
  </si>
  <si>
    <t>2. Лукасевич Мария</t>
  </si>
  <si>
    <t>Ширалиева Афина</t>
  </si>
  <si>
    <t>1. Ширалиева Афина</t>
  </si>
  <si>
    <t>Девушки 15-19 (14.08.2004)/15</t>
  </si>
  <si>
    <t>50,20</t>
  </si>
  <si>
    <t>Викторова Виктория</t>
  </si>
  <si>
    <t>1. Викторова Виктория</t>
  </si>
  <si>
    <t>Юниорки 20 - 23 (15.09.1999)/20</t>
  </si>
  <si>
    <t>51,60</t>
  </si>
  <si>
    <t xml:space="preserve">Боев В.Ф </t>
  </si>
  <si>
    <t>Деребчинская Анна</t>
  </si>
  <si>
    <t>2. Деребчинская Анна</t>
  </si>
  <si>
    <t>Открытая (01.11.1982)/37</t>
  </si>
  <si>
    <t>Шимарова Луиза</t>
  </si>
  <si>
    <t>3. Шимарова Луиза</t>
  </si>
  <si>
    <t>Открытая (28.11.1984)/35</t>
  </si>
  <si>
    <t xml:space="preserve">Клин/Московская область </t>
  </si>
  <si>
    <t xml:space="preserve">Архипов М.С. </t>
  </si>
  <si>
    <t>Баркова Анастасия</t>
  </si>
  <si>
    <t>1. Баркова Анастасия</t>
  </si>
  <si>
    <t>Открытая (15.05.1983)/36</t>
  </si>
  <si>
    <t xml:space="preserve">Баркова А.И. </t>
  </si>
  <si>
    <t>Огородникова Мария</t>
  </si>
  <si>
    <t>2. Огородникова Мария</t>
  </si>
  <si>
    <t>Открытая (28.04.1982)/37</t>
  </si>
  <si>
    <t>Чернеля Ольга</t>
  </si>
  <si>
    <t>3. Чернеля Ольга</t>
  </si>
  <si>
    <t>Открытая (27.08.1988)/31</t>
  </si>
  <si>
    <t>58,50</t>
  </si>
  <si>
    <t>Ломакина Екатерина</t>
  </si>
  <si>
    <t>4. Ломакина Екатерина</t>
  </si>
  <si>
    <t>Открытая (23.03.1984)/35</t>
  </si>
  <si>
    <t>Кудайкина Наталья</t>
  </si>
  <si>
    <t>1. Кудайкина Наталья</t>
  </si>
  <si>
    <t>Открытая (13.02.1981)/38</t>
  </si>
  <si>
    <t xml:space="preserve">Юность/Московская область </t>
  </si>
  <si>
    <t xml:space="preserve">Лукоянов Е.Е. </t>
  </si>
  <si>
    <t>Волкова Наталия</t>
  </si>
  <si>
    <t>2. Волкова Наталия</t>
  </si>
  <si>
    <t>64,60</t>
  </si>
  <si>
    <t xml:space="preserve">Черепков А. </t>
  </si>
  <si>
    <t>Султанова Диана</t>
  </si>
  <si>
    <t>3. Султанова Диана</t>
  </si>
  <si>
    <t>Открытая (15.04.1995)/24</t>
  </si>
  <si>
    <t>66,70</t>
  </si>
  <si>
    <t>Волкова Надежда</t>
  </si>
  <si>
    <t>1. Волкова Надежда</t>
  </si>
  <si>
    <t>Ветераны 40 - 44 (26.11.1977)/42</t>
  </si>
  <si>
    <t>66,00</t>
  </si>
  <si>
    <t>Межевикина Ирина</t>
  </si>
  <si>
    <t>2. Межевикина Ирина</t>
  </si>
  <si>
    <t>Ветераны 40 - 44 (06.11.1977)/42</t>
  </si>
  <si>
    <t>65,70</t>
  </si>
  <si>
    <t xml:space="preserve">Межевикина И.Н </t>
  </si>
  <si>
    <t>1. Кафтайлова Наталья</t>
  </si>
  <si>
    <t>Зайковская Светлана</t>
  </si>
  <si>
    <t>1. Зайковская Светлана</t>
  </si>
  <si>
    <t>Открытая (24.07.1989)/30</t>
  </si>
  <si>
    <t>84,10</t>
  </si>
  <si>
    <t xml:space="preserve">Нетребина Г. </t>
  </si>
  <si>
    <t>ВЕСОВАЯ КАТЕГОРИЯ   90+</t>
  </si>
  <si>
    <t>Ярошенко Ирина</t>
  </si>
  <si>
    <t>1. Ярошенко Ирина</t>
  </si>
  <si>
    <t>Открытая (04.12.1986)/33</t>
  </si>
  <si>
    <t>95,00</t>
  </si>
  <si>
    <t>Худойбердиев Равшанбек</t>
  </si>
  <si>
    <t>1. Худойбердиев Равшанбек</t>
  </si>
  <si>
    <t>Открытая (29.01.1993)/26</t>
  </si>
  <si>
    <t>56,10</t>
  </si>
  <si>
    <t xml:space="preserve">Аскаралиев Жавохир </t>
  </si>
  <si>
    <t>Спирин Артем</t>
  </si>
  <si>
    <t>1. Спирин Артем</t>
  </si>
  <si>
    <t>Юноши 15-19 (14.09.2004)/15</t>
  </si>
  <si>
    <t>64,40</t>
  </si>
  <si>
    <t>Сидоров Денис</t>
  </si>
  <si>
    <t>2. Сидоров Денис</t>
  </si>
  <si>
    <t>Юноши 15-19 (06.01.2003)/16</t>
  </si>
  <si>
    <t>62,50</t>
  </si>
  <si>
    <t xml:space="preserve">Брехов Р. О. </t>
  </si>
  <si>
    <t>Цветков Павел</t>
  </si>
  <si>
    <t>1. Цветков Павел</t>
  </si>
  <si>
    <t>Открытая (05.03.1991)/28</t>
  </si>
  <si>
    <t>Шкабара Вадим</t>
  </si>
  <si>
    <t>1. Шкабара Вадим</t>
  </si>
  <si>
    <t>Юноши 15-19 (30.05.2000)/19</t>
  </si>
  <si>
    <t>73,00</t>
  </si>
  <si>
    <t xml:space="preserve">Великие Луки/Псковская область </t>
  </si>
  <si>
    <t xml:space="preserve">Евсеев С.М. </t>
  </si>
  <si>
    <t>Щеткин Дмитрий</t>
  </si>
  <si>
    <t>2. Щеткин Дмитрий</t>
  </si>
  <si>
    <t>Юноши 15-19 (05.10.2002)/17</t>
  </si>
  <si>
    <t xml:space="preserve">Кубинка/Московская область </t>
  </si>
  <si>
    <t xml:space="preserve">Лаханов Иван </t>
  </si>
  <si>
    <t>3. Ходкин Дмитрий</t>
  </si>
  <si>
    <t>Буянов Михаил</t>
  </si>
  <si>
    <t>1. Буянов Михаил</t>
  </si>
  <si>
    <t>Ветераны 45 - 49 (18.11.1974)/45</t>
  </si>
  <si>
    <t>74,50</t>
  </si>
  <si>
    <t xml:space="preserve">Буянов М.В </t>
  </si>
  <si>
    <t>1. Ветров Николай</t>
  </si>
  <si>
    <t>Орхан Руслан</t>
  </si>
  <si>
    <t>1. Орхан Руслан</t>
  </si>
  <si>
    <t>Юноши 15-19 (26.11.2003)/16</t>
  </si>
  <si>
    <t>76,40</t>
  </si>
  <si>
    <t>Егоров Александр</t>
  </si>
  <si>
    <t>1. Егоров Александр</t>
  </si>
  <si>
    <t>Юниоры 20 - 23 (30.11.1996)/23</t>
  </si>
  <si>
    <t>Евсеев Сергей</t>
  </si>
  <si>
    <t>1. Евсеев Сергей</t>
  </si>
  <si>
    <t>Открытая (09.10.1990)/29</t>
  </si>
  <si>
    <t xml:space="preserve">Евсеев М.И. </t>
  </si>
  <si>
    <t>Алиев Эльнур</t>
  </si>
  <si>
    <t>2. Алиев Эльнур</t>
  </si>
  <si>
    <t>Открытая (09.03.1982)/37</t>
  </si>
  <si>
    <t xml:space="preserve">Лазарев В.В. </t>
  </si>
  <si>
    <t>Букатин Владимир</t>
  </si>
  <si>
    <t>3. Букатин Владимир</t>
  </si>
  <si>
    <t>Открытая (19.08.1985)/34</t>
  </si>
  <si>
    <t>82,10</t>
  </si>
  <si>
    <t xml:space="preserve">Зубков П. </t>
  </si>
  <si>
    <t>Гвоздев Алексей</t>
  </si>
  <si>
    <t>1. Гвоздев Алексей</t>
  </si>
  <si>
    <t>Ветераны 45 - 49 (27.03.1972)/47</t>
  </si>
  <si>
    <t>81,50</t>
  </si>
  <si>
    <t>Горновой Андрей</t>
  </si>
  <si>
    <t>1. Горновой Андрей</t>
  </si>
  <si>
    <t>Юноши 15-19 (15.12.2002)/17</t>
  </si>
  <si>
    <t>89,40</t>
  </si>
  <si>
    <t>Качаев Иван</t>
  </si>
  <si>
    <t>1. Качаев Иван</t>
  </si>
  <si>
    <t>Юниоры 20 - 23 (05.11.1996)/23</t>
  </si>
  <si>
    <t xml:space="preserve">Реутов/Московская область </t>
  </si>
  <si>
    <t xml:space="preserve">Лазариди Г.К. </t>
  </si>
  <si>
    <t>Семёнов Роман</t>
  </si>
  <si>
    <t>1. Семёнов Роман</t>
  </si>
  <si>
    <t>Открытая (12.07.1988)/31</t>
  </si>
  <si>
    <t xml:space="preserve">Бурлаков Д. Б. </t>
  </si>
  <si>
    <t>Варламов Вячеслав</t>
  </si>
  <si>
    <t>2. Варламов Вячеслав</t>
  </si>
  <si>
    <t>Открытая (18.03.1985)/34</t>
  </si>
  <si>
    <t>Шлычков Алексей</t>
  </si>
  <si>
    <t>3. Шлычков Алексей</t>
  </si>
  <si>
    <t>Открытая (16.05.1996)/23</t>
  </si>
  <si>
    <t xml:space="preserve">Кореньков Е.Е. </t>
  </si>
  <si>
    <t>Туманов Алексей</t>
  </si>
  <si>
    <t>4. Туманов Алексей</t>
  </si>
  <si>
    <t>Открытая (23.06.1980)/39</t>
  </si>
  <si>
    <t>89,60</t>
  </si>
  <si>
    <t xml:space="preserve">Ульяновск/Ульяновская область </t>
  </si>
  <si>
    <t>Львов Никита</t>
  </si>
  <si>
    <t>5. Львов Никита</t>
  </si>
  <si>
    <t>Открытая (02.06.1992)/27</t>
  </si>
  <si>
    <t>86,60</t>
  </si>
  <si>
    <t xml:space="preserve">Солнечногорск/Московская облас </t>
  </si>
  <si>
    <t xml:space="preserve">Зайцев А.В. </t>
  </si>
  <si>
    <t>Коноваленко Владлен</t>
  </si>
  <si>
    <t>1. Коноваленко Владлен</t>
  </si>
  <si>
    <t>Ветераны 45 - 49 (27.08.1972)/47</t>
  </si>
  <si>
    <t>87,80</t>
  </si>
  <si>
    <t xml:space="preserve">Коноваленко В.В. </t>
  </si>
  <si>
    <t>Джелялов Эльдар</t>
  </si>
  <si>
    <t>1. Джелялов Эльдар</t>
  </si>
  <si>
    <t>Ветераны 50 - 54 (15.08.1967)/52</t>
  </si>
  <si>
    <t>83,10</t>
  </si>
  <si>
    <t xml:space="preserve">Джелялов Э.А. </t>
  </si>
  <si>
    <t>Киякин Михаил</t>
  </si>
  <si>
    <t>1. Киякин Михаил</t>
  </si>
  <si>
    <t>Открытая (18.10.1993)/26</t>
  </si>
  <si>
    <t>Шляхитский Александр</t>
  </si>
  <si>
    <t>2. Шляхитский Александр</t>
  </si>
  <si>
    <t>Открытая (09.02.1980)/39</t>
  </si>
  <si>
    <t xml:space="preserve">Шляхитский Александр </t>
  </si>
  <si>
    <t>Варварин Олег</t>
  </si>
  <si>
    <t>3. Варварин Олег</t>
  </si>
  <si>
    <t>Открытая (02.04.1986)/33</t>
  </si>
  <si>
    <t>Соколов Алексей</t>
  </si>
  <si>
    <t>4. Соколов Алексей</t>
  </si>
  <si>
    <t>Открытая (13.10.1990)/29</t>
  </si>
  <si>
    <t xml:space="preserve">Соколов А.А. </t>
  </si>
  <si>
    <t>Бубнов Вадим</t>
  </si>
  <si>
    <t>5. Бубнов Вадим</t>
  </si>
  <si>
    <t>Открытая (05.05.1993)/26</t>
  </si>
  <si>
    <t>96,00</t>
  </si>
  <si>
    <t xml:space="preserve">Луховицы/Московская область </t>
  </si>
  <si>
    <t xml:space="preserve">Никитин Р.А. </t>
  </si>
  <si>
    <t>Рябикин Александр</t>
  </si>
  <si>
    <t>6. Рябикин Александр</t>
  </si>
  <si>
    <t>Открытая (11.07.1987)/32</t>
  </si>
  <si>
    <t>96,80</t>
  </si>
  <si>
    <t xml:space="preserve">Бурлаков.Д.Б. </t>
  </si>
  <si>
    <t>-. Пешков Вячеслав</t>
  </si>
  <si>
    <t>Открытая (26.10.1994)/25</t>
  </si>
  <si>
    <t>Синельников Роман</t>
  </si>
  <si>
    <t>1. Синельников Роман</t>
  </si>
  <si>
    <t>Ветераны 40 - 44 (06.06.1976)/43</t>
  </si>
  <si>
    <t xml:space="preserve">Синельников Р.А. </t>
  </si>
  <si>
    <t>Дьячев Андрей</t>
  </si>
  <si>
    <t>1. Дьячев Андрей</t>
  </si>
  <si>
    <t>Открытая (15.04.1984)/35</t>
  </si>
  <si>
    <t>109,40</t>
  </si>
  <si>
    <t xml:space="preserve">Шумский С.Ю. </t>
  </si>
  <si>
    <t>Ушаков Артем</t>
  </si>
  <si>
    <t>2. Ушаков Артем</t>
  </si>
  <si>
    <t>Открытая (21.01.1986)/33</t>
  </si>
  <si>
    <t>100,90</t>
  </si>
  <si>
    <t>Дзодзуашвили Сосо</t>
  </si>
  <si>
    <t>1. Дзодзуашвили Сосо</t>
  </si>
  <si>
    <t>Открытая (28.11.1986)/33</t>
  </si>
  <si>
    <t>115,40</t>
  </si>
  <si>
    <t>Самсонов Вадим</t>
  </si>
  <si>
    <t>1. Самсонов Вадим</t>
  </si>
  <si>
    <t>Ветераны 45 - 49 (05.12.1974)/45</t>
  </si>
  <si>
    <t>Тарасов Олег</t>
  </si>
  <si>
    <t>2. Тарасов Олег</t>
  </si>
  <si>
    <t>Ветераны 45 - 49 (22.06.1972)/47</t>
  </si>
  <si>
    <t xml:space="preserve">Тарасов </t>
  </si>
  <si>
    <t>Баранов Михаил</t>
  </si>
  <si>
    <t>1. Баранов Михаил</t>
  </si>
  <si>
    <t>Ветераны 60 - 64 (02.03.1957)/62</t>
  </si>
  <si>
    <t>117,40</t>
  </si>
  <si>
    <t xml:space="preserve">Санкт-Петербург </t>
  </si>
  <si>
    <t>108,8680</t>
  </si>
  <si>
    <t>150,4920</t>
  </si>
  <si>
    <t>181,5615</t>
  </si>
  <si>
    <t>177,7350</t>
  </si>
  <si>
    <t>158,9280</t>
  </si>
  <si>
    <t>152,9580</t>
  </si>
  <si>
    <t>146,4580</t>
  </si>
  <si>
    <t>140,0875</t>
  </si>
  <si>
    <t>136,4520</t>
  </si>
  <si>
    <t>135,3090</t>
  </si>
  <si>
    <t>90+</t>
  </si>
  <si>
    <t>133,3080</t>
  </si>
  <si>
    <t>123,1320</t>
  </si>
  <si>
    <t>120,3120</t>
  </si>
  <si>
    <t>115,3228</t>
  </si>
  <si>
    <t>113,2943</t>
  </si>
  <si>
    <t>110,6605</t>
  </si>
  <si>
    <t>185,7306</t>
  </si>
  <si>
    <t>113,7509</t>
  </si>
  <si>
    <t>95,5454</t>
  </si>
  <si>
    <t>130,7520</t>
  </si>
  <si>
    <t>120,4500</t>
  </si>
  <si>
    <t>108,8698</t>
  </si>
  <si>
    <t>108,1890</t>
  </si>
  <si>
    <t>96,0900</t>
  </si>
  <si>
    <t>82,2300</t>
  </si>
  <si>
    <t>77,3960</t>
  </si>
  <si>
    <t>154,6560</t>
  </si>
  <si>
    <t>129,7875</t>
  </si>
  <si>
    <t>168,9750</t>
  </si>
  <si>
    <t>167,5058</t>
  </si>
  <si>
    <t>166,9335</t>
  </si>
  <si>
    <t>163,1870</t>
  </si>
  <si>
    <t>154,0080</t>
  </si>
  <si>
    <t>153,2160</t>
  </si>
  <si>
    <t>151,0665</t>
  </si>
  <si>
    <t>149,9520</t>
  </si>
  <si>
    <t>148,0812</t>
  </si>
  <si>
    <t>145,9013</t>
  </si>
  <si>
    <t>145,5545</t>
  </si>
  <si>
    <t>142,5040</t>
  </si>
  <si>
    <t>141,2040</t>
  </si>
  <si>
    <t>139,3200</t>
  </si>
  <si>
    <t>139,2975</t>
  </si>
  <si>
    <t>134,3800</t>
  </si>
  <si>
    <t>129,5490</t>
  </si>
  <si>
    <t>127,0425</t>
  </si>
  <si>
    <t>193,2370</t>
  </si>
  <si>
    <t>192,4061</t>
  </si>
  <si>
    <t>168,3874</t>
  </si>
  <si>
    <t>166,1300</t>
  </si>
  <si>
    <t>164,2722</t>
  </si>
  <si>
    <t>159,4416</t>
  </si>
  <si>
    <t>157,6550</t>
  </si>
  <si>
    <t>155,4110</t>
  </si>
  <si>
    <t>132,9486</t>
  </si>
  <si>
    <t>132,9155</t>
  </si>
  <si>
    <t>Горбунов Сергей</t>
  </si>
  <si>
    <t>1. Горбунов Сергей</t>
  </si>
  <si>
    <t>Открытая (13.11.1991)/28</t>
  </si>
  <si>
    <t xml:space="preserve">Дрезна/Московская область </t>
  </si>
  <si>
    <t xml:space="preserve">Парфенов А.М. </t>
  </si>
  <si>
    <t>160,3250</t>
  </si>
  <si>
    <t>1466,1445</t>
  </si>
  <si>
    <t>1410,0</t>
  </si>
  <si>
    <t xml:space="preserve">Мастера 40 - 49 </t>
  </si>
  <si>
    <t>1638,3675</t>
  </si>
  <si>
    <t>1650,0</t>
  </si>
  <si>
    <t>Сивачева Наталья</t>
  </si>
  <si>
    <t xml:space="preserve">Gloss </t>
  </si>
  <si>
    <t xml:space="preserve">Мастера </t>
  </si>
  <si>
    <t>1159,5430</t>
  </si>
  <si>
    <t>1295,0</t>
  </si>
  <si>
    <t>Соболевская Елена</t>
  </si>
  <si>
    <t xml:space="preserve">Соболевская Е.Н. </t>
  </si>
  <si>
    <t>37,0</t>
  </si>
  <si>
    <t>67,90</t>
  </si>
  <si>
    <t>Открытая (25.06.1979)/40</t>
  </si>
  <si>
    <t>1. Соболевская Елена</t>
  </si>
  <si>
    <t>47,0</t>
  </si>
  <si>
    <t>30,0</t>
  </si>
  <si>
    <t>Мастера 40 - 49 (06.08.1975)/44</t>
  </si>
  <si>
    <t>2. Самсонова Ольга</t>
  </si>
  <si>
    <t xml:space="preserve">Долгопрудный/Московская область </t>
  </si>
  <si>
    <t>Мастера 40 - 49 (07.04.1979)/40</t>
  </si>
  <si>
    <t>1. Сивачева Наталья</t>
  </si>
  <si>
    <t>Повторы</t>
  </si>
  <si>
    <t>Вес</t>
  </si>
  <si>
    <t>Тоннаж</t>
  </si>
  <si>
    <t>Народный жим</t>
  </si>
  <si>
    <t>Gloss</t>
  </si>
  <si>
    <t>925,0801</t>
  </si>
  <si>
    <t>1080,0</t>
  </si>
  <si>
    <t xml:space="preserve">Мастера 60+ </t>
  </si>
  <si>
    <t>1314,3519</t>
  </si>
  <si>
    <t>2310,0</t>
  </si>
  <si>
    <t>Мишин Станислав</t>
  </si>
  <si>
    <t>1347,8464</t>
  </si>
  <si>
    <t>1785,0</t>
  </si>
  <si>
    <t xml:space="preserve">Мастера 50 - 59 </t>
  </si>
  <si>
    <t>Полунин Игорь</t>
  </si>
  <si>
    <t>1746,2571</t>
  </si>
  <si>
    <t>2925,0</t>
  </si>
  <si>
    <t>Семёнов Иван</t>
  </si>
  <si>
    <t>1794,9372</t>
  </si>
  <si>
    <t>2325,0</t>
  </si>
  <si>
    <t>Кушинас Русланас</t>
  </si>
  <si>
    <t>1855,2389</t>
  </si>
  <si>
    <t>2550,0</t>
  </si>
  <si>
    <t>1465,8630</t>
  </si>
  <si>
    <t>2030,0</t>
  </si>
  <si>
    <t>Демчук Виталий</t>
  </si>
  <si>
    <t>1466,4300</t>
  </si>
  <si>
    <t>2100,0</t>
  </si>
  <si>
    <t>Фокин Сергей</t>
  </si>
  <si>
    <t>1642,6280</t>
  </si>
  <si>
    <t>2480,0</t>
  </si>
  <si>
    <t>Болдинов Александр</t>
  </si>
  <si>
    <t>1668,8700</t>
  </si>
  <si>
    <t>2700,0</t>
  </si>
  <si>
    <t>1673,0932</t>
  </si>
  <si>
    <t>2635,0</t>
  </si>
  <si>
    <t>Прагин Роман</t>
  </si>
  <si>
    <t>1728,9674</t>
  </si>
  <si>
    <t>1830,5888</t>
  </si>
  <si>
    <t>3262,5</t>
  </si>
  <si>
    <t>Пармут Виталий</t>
  </si>
  <si>
    <t>2241,9321</t>
  </si>
  <si>
    <t>3080,0</t>
  </si>
  <si>
    <t>Гусев Илья</t>
  </si>
  <si>
    <t xml:space="preserve">Каргина Е. </t>
  </si>
  <si>
    <t>29,0</t>
  </si>
  <si>
    <t>111,00</t>
  </si>
  <si>
    <t>1. Пармут Виталий</t>
  </si>
  <si>
    <t>21,0</t>
  </si>
  <si>
    <t>Мастера 40 - 49 (02.11.1978)/41</t>
  </si>
  <si>
    <t>1. Мишин Станислав</t>
  </si>
  <si>
    <t>96,30</t>
  </si>
  <si>
    <t>Мастера 40 - 49 (07.07.1978)/41</t>
  </si>
  <si>
    <t>1. Семёнов Иван</t>
  </si>
  <si>
    <t>12,0</t>
  </si>
  <si>
    <t>Мастера 60+ (26.09.1957)/62</t>
  </si>
  <si>
    <t xml:space="preserve">Полунин И.В. </t>
  </si>
  <si>
    <t>83,90</t>
  </si>
  <si>
    <t>Мастера 50 - 59 (15.01.1966)/53</t>
  </si>
  <si>
    <t>1. Полунин Игорь</t>
  </si>
  <si>
    <t>2. Мищенко Артем</t>
  </si>
  <si>
    <t>31,0</t>
  </si>
  <si>
    <t>84,50</t>
  </si>
  <si>
    <t>Открытая (02.06.1986)/33</t>
  </si>
  <si>
    <t>1. Прагин Роман</t>
  </si>
  <si>
    <t xml:space="preserve">Кушинас Р. </t>
  </si>
  <si>
    <t>75,80</t>
  </si>
  <si>
    <t>Мастера 50 - 59 (23.08.1969)/50</t>
  </si>
  <si>
    <t>1. Кушинас Русланас</t>
  </si>
  <si>
    <t xml:space="preserve">Мишеронь/Московская область </t>
  </si>
  <si>
    <t>79,20</t>
  </si>
  <si>
    <t>Открытая (17.10.1992)/27</t>
  </si>
  <si>
    <t>1. Болдинов Александр</t>
  </si>
  <si>
    <t>34,0</t>
  </si>
  <si>
    <t>Мастера 40 - 49 (19.11.1975)/44</t>
  </si>
  <si>
    <t>28,0</t>
  </si>
  <si>
    <t>70,50</t>
  </si>
  <si>
    <t>Открытая (24.01.1986)/33</t>
  </si>
  <si>
    <t>3. Демчук Виталий</t>
  </si>
  <si>
    <t xml:space="preserve">Фокин С.С </t>
  </si>
  <si>
    <t>73,60</t>
  </si>
  <si>
    <t>Открытая (05.03.1988)/31</t>
  </si>
  <si>
    <t>2. Фокин Сергей</t>
  </si>
  <si>
    <t>44,0</t>
  </si>
  <si>
    <t>69,80</t>
  </si>
  <si>
    <t>Открытая (05.11.1984)/35</t>
  </si>
  <si>
    <t>1. Гусев Илья</t>
  </si>
  <si>
    <t>1882,3199</t>
  </si>
  <si>
    <t>1860,0</t>
  </si>
  <si>
    <t>Балашова Елена</t>
  </si>
  <si>
    <t>62,0</t>
  </si>
  <si>
    <t>58,20</t>
  </si>
  <si>
    <t>Мастера 40 - 49 (01.09.1979)/40</t>
  </si>
  <si>
    <t>1. Балашова Елена</t>
  </si>
  <si>
    <t>1416,1559</t>
  </si>
  <si>
    <t>2210,0</t>
  </si>
  <si>
    <t>Румянцев Дмитрий</t>
  </si>
  <si>
    <t>1717,2382</t>
  </si>
  <si>
    <t>2870,0</t>
  </si>
  <si>
    <t>1862,1149</t>
  </si>
  <si>
    <t>3075,0</t>
  </si>
  <si>
    <t>Сивачев Дмитрий</t>
  </si>
  <si>
    <t>1910,6549</t>
  </si>
  <si>
    <t>2900,0</t>
  </si>
  <si>
    <t>Гринберг Игорс</t>
  </si>
  <si>
    <t>2000,5117</t>
  </si>
  <si>
    <t>2537,5</t>
  </si>
  <si>
    <t>3254,9597</t>
  </si>
  <si>
    <t>4950,0</t>
  </si>
  <si>
    <t>Меженин Иван</t>
  </si>
  <si>
    <t>1315,5143</t>
  </si>
  <si>
    <t>2422,5</t>
  </si>
  <si>
    <t>1665,6044</t>
  </si>
  <si>
    <t>1706,4675</t>
  </si>
  <si>
    <t>3037,5</t>
  </si>
  <si>
    <t>Арсенин Роман</t>
  </si>
  <si>
    <t>1785,3451</t>
  </si>
  <si>
    <t>1981,5199</t>
  </si>
  <si>
    <t>3400,0</t>
  </si>
  <si>
    <t>2171,7760</t>
  </si>
  <si>
    <t>3610,0</t>
  </si>
  <si>
    <t>Князев Михаил</t>
  </si>
  <si>
    <t>2411,4474</t>
  </si>
  <si>
    <t>3850,0</t>
  </si>
  <si>
    <t>Волчанов Владислав</t>
  </si>
  <si>
    <t>3047,7150</t>
  </si>
  <si>
    <t>19,0</t>
  </si>
  <si>
    <t>1. Чернышев Андрей</t>
  </si>
  <si>
    <t>27,0</t>
  </si>
  <si>
    <t>110,50</t>
  </si>
  <si>
    <t>Открытая (25.05.1987)/32</t>
  </si>
  <si>
    <t>1. Арсенин Роман</t>
  </si>
  <si>
    <t>Мастера 40 - 49 (14.09.1976)/43</t>
  </si>
  <si>
    <t>2. Цуцкиридзе Нодар</t>
  </si>
  <si>
    <t xml:space="preserve">Сивачев Д. Н. </t>
  </si>
  <si>
    <t>100,30</t>
  </si>
  <si>
    <t>Мастера 40 - 49 (20.03.1975)/44</t>
  </si>
  <si>
    <t>1. Сивачев Дмитрий</t>
  </si>
  <si>
    <t>Открытая (14.09.1976)/43</t>
  </si>
  <si>
    <t>Открытая (20.03.1975)/44</t>
  </si>
  <si>
    <t>Мастера 50 - 59 (24.08.1969)/50</t>
  </si>
  <si>
    <t>1. Гринберг Игорс</t>
  </si>
  <si>
    <t xml:space="preserve">Князев М.И. </t>
  </si>
  <si>
    <t>38,0</t>
  </si>
  <si>
    <t>92,90</t>
  </si>
  <si>
    <t>Открытая (29.04.1990)/29</t>
  </si>
  <si>
    <t>1. Князев Михаил</t>
  </si>
  <si>
    <t>Мастера 50 - 59 (22.06.1962)/57</t>
  </si>
  <si>
    <t xml:space="preserve">Сорокин С. </t>
  </si>
  <si>
    <t>26,0</t>
  </si>
  <si>
    <t>84,60</t>
  </si>
  <si>
    <t>Мастера 40 - 49 (24.05.1978)/41</t>
  </si>
  <si>
    <t>2. Румянцев Дмитрий</t>
  </si>
  <si>
    <t xml:space="preserve">Алексеев В. </t>
  </si>
  <si>
    <t>Мастера 40 - 49 (08.01.1973)/46</t>
  </si>
  <si>
    <t>1. Меженин Иван</t>
  </si>
  <si>
    <t xml:space="preserve">Сергиев Посад/Московская область </t>
  </si>
  <si>
    <t>86,40</t>
  </si>
  <si>
    <t>Открытая (31.10.1975)/44</t>
  </si>
  <si>
    <t>2. Волчанов Владислав</t>
  </si>
  <si>
    <t>Открытая (08.01.1973)/46</t>
  </si>
  <si>
    <t xml:space="preserve">Филатов В.Г. </t>
  </si>
  <si>
    <t>Открытый ЧЕМПИОНАТ РОССИИ 2019
WPF PRO Пауэрлифтинг Классический
Москва 14 - 15 декабря 2019 г.</t>
  </si>
  <si>
    <t>Открытый ЧЕМПИОНАТ РОССИИ 2019
WPF PRO Пауэрлифтинг Безэкипировочный
Москва 14 - 15 декабря 2019 г.</t>
  </si>
  <si>
    <t>Открытый ЧЕМПИОНАТ РОССИИ 2019
WPF PRO Жим лежа в Многослойной экипировке
Москва 14 - 15 декабря 2019 г.</t>
  </si>
  <si>
    <t>Открытый ЧЕМПИОНАТ РОССИИ 2019
WPF PRO Жим лежа в Однослойной экипировке
Москва 14 - 15 декабря 2019 г.</t>
  </si>
  <si>
    <t>Открытый ЧЕМПИОНАТ РОССИИ 2019
WPF PRO Жим лежа Безэкипировочный
Москва 14 - 15 декабря 2019 г.</t>
  </si>
  <si>
    <t>Открытый ЧЕМПИОНАТ РОССИИ 2019
WPF PRO Становая тяга Безэкипировочная
Москва 14 - 15 декабря 2019 г.</t>
  </si>
  <si>
    <t>Открытый ЧЕМПИОНАТ РОССИИ 2019
WPF AM Пауэрлифтинг Классический
Москва 14 - 15 декабря 2019 г.</t>
  </si>
  <si>
    <t>Открытый ЧЕМПИОНАТ РОССИИ 2019
WPF AM Пауэрлифтинг Безэкипировочный
Москва 14 - 15 декабря 2019 г.</t>
  </si>
  <si>
    <t>Открытый ЧЕМПИОНАТ РОССИИ 2019
WPF AM Жим лежа в Многослойной экипировке
Москва 14 - 15 декабря 2019 г.</t>
  </si>
  <si>
    <t>Открытый ЧЕМПИОНАТ РОССИИ 2019
WPF AM Жим лежа в Однослойной экипировке
Москва 14 - 15 декабря 2019 г.</t>
  </si>
  <si>
    <t>Открытый ЧЕМПИОНАТ РОССИИ 2019
WPF AM Жим лежа Безэкипировочный
Москва 14 - 15 декабря 2019 г.</t>
  </si>
  <si>
    <t>Открытый ЧЕМПИОНАТ РОССИИ 2019
WPF AM Становая тяга в Однослойной экипировке
Москва 14 - 15 декабря 2019 г.</t>
  </si>
  <si>
    <t>Открытый ЧЕМПИОНАТ РОССИИ 2019
WPF AM Становая тяга Безэкипировочная
Москва 14 - 15 декабря 2019 г.</t>
  </si>
  <si>
    <t>Открытый ЧЕМПИОНАТ РОССИИ 2019
WPF AM Народный жим (1/2 вес)
Москва/ 14 - 15 декабря 2019 г.</t>
  </si>
  <si>
    <t>Открытый ЧЕМПИОНАТ РОССИИ 2019
WPF AM Народный жим (1 вес)
Москва 14 - 15 декабря 2019 г.</t>
  </si>
  <si>
    <t>Открытый ЧЕМПИОНАТ РОССИИ 2019
WPF PRO Народный жим (1/2 вес)
Москва 14 - 15 декабря 2019 г.</t>
  </si>
  <si>
    <t>Открытый ЧЕМПИОНАТ РОССИИ 2019
WPF Народный жим (1 вес)
Москва 14 - 15 декабря 2019 г.</t>
  </si>
  <si>
    <t>Ветераны 50 - 54 (10.11.1969)/50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</si>
</sst>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66"/>
  <sheetViews>
    <sheetView topLeftCell="A16"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5.42578125" style="4" customWidth="1"/>
    <col min="4" max="4" width="8.42578125" style="4" bestFit="1" customWidth="1"/>
    <col min="5" max="5" width="22.7109375" style="4" bestFit="1" customWidth="1"/>
    <col min="6" max="6" width="32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9.5703125" style="4" bestFit="1" customWidth="1"/>
    <col min="22" max="16384" width="9.140625" style="3"/>
  </cols>
  <sheetData>
    <row r="1" spans="1:21" s="2" customFormat="1" ht="29.1" customHeight="1" x14ac:dyDescent="0.2">
      <c r="A1" s="36" t="s">
        <v>2128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10</v>
      </c>
      <c r="H3" s="34"/>
      <c r="I3" s="34"/>
      <c r="J3" s="34"/>
      <c r="K3" s="34" t="s">
        <v>11</v>
      </c>
      <c r="L3" s="34"/>
      <c r="M3" s="34"/>
      <c r="N3" s="34"/>
      <c r="O3" s="34" t="s">
        <v>12</v>
      </c>
      <c r="P3" s="34"/>
      <c r="Q3" s="34"/>
      <c r="R3" s="34"/>
      <c r="S3" s="34" t="s">
        <v>1</v>
      </c>
      <c r="T3" s="34" t="s">
        <v>3</v>
      </c>
      <c r="U3" s="45" t="s">
        <v>2</v>
      </c>
    </row>
    <row r="4" spans="1:21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5"/>
      <c r="T4" s="35"/>
      <c r="U4" s="46"/>
    </row>
    <row r="5" spans="1:21" ht="15" x14ac:dyDescent="0.2">
      <c r="A5" s="33" t="s">
        <v>13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x14ac:dyDescent="0.2">
      <c r="A6" s="6" t="s">
        <v>15</v>
      </c>
      <c r="B6" s="6" t="s">
        <v>16</v>
      </c>
      <c r="C6" s="6" t="s">
        <v>17</v>
      </c>
      <c r="D6" s="6" t="str">
        <f>"0,9815"</f>
        <v>0,9815</v>
      </c>
      <c r="E6" s="6" t="s">
        <v>18</v>
      </c>
      <c r="F6" s="6" t="s">
        <v>19</v>
      </c>
      <c r="G6" s="7" t="s">
        <v>20</v>
      </c>
      <c r="H6" s="8" t="s">
        <v>20</v>
      </c>
      <c r="I6" s="7" t="s">
        <v>21</v>
      </c>
      <c r="J6" s="7"/>
      <c r="K6" s="7" t="s">
        <v>22</v>
      </c>
      <c r="L6" s="8" t="s">
        <v>22</v>
      </c>
      <c r="M6" s="7" t="s">
        <v>23</v>
      </c>
      <c r="N6" s="7"/>
      <c r="O6" s="7" t="s">
        <v>20</v>
      </c>
      <c r="P6" s="8" t="s">
        <v>20</v>
      </c>
      <c r="Q6" s="8" t="s">
        <v>24</v>
      </c>
      <c r="R6" s="7"/>
      <c r="S6" s="6" t="str">
        <f>"385,0"</f>
        <v>385,0</v>
      </c>
      <c r="T6" s="8" t="str">
        <f>"385,4351"</f>
        <v>385,4351</v>
      </c>
      <c r="U6" s="6" t="s">
        <v>25</v>
      </c>
    </row>
    <row r="8" spans="1:21" ht="15" x14ac:dyDescent="0.2">
      <c r="A8" s="32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x14ac:dyDescent="0.2">
      <c r="A9" s="9" t="s">
        <v>28</v>
      </c>
      <c r="B9" s="9" t="s">
        <v>29</v>
      </c>
      <c r="C9" s="9" t="s">
        <v>30</v>
      </c>
      <c r="D9" s="9" t="str">
        <f>"0,6455"</f>
        <v>0,6455</v>
      </c>
      <c r="E9" s="9" t="s">
        <v>18</v>
      </c>
      <c r="F9" s="9" t="s">
        <v>19</v>
      </c>
      <c r="G9" s="10" t="s">
        <v>31</v>
      </c>
      <c r="H9" s="11" t="s">
        <v>32</v>
      </c>
      <c r="I9" s="11" t="s">
        <v>32</v>
      </c>
      <c r="J9" s="11"/>
      <c r="K9" s="10" t="s">
        <v>33</v>
      </c>
      <c r="L9" s="11" t="s">
        <v>34</v>
      </c>
      <c r="M9" s="11" t="s">
        <v>35</v>
      </c>
      <c r="N9" s="11"/>
      <c r="O9" s="10" t="s">
        <v>36</v>
      </c>
      <c r="P9" s="11" t="s">
        <v>37</v>
      </c>
      <c r="Q9" s="11" t="s">
        <v>37</v>
      </c>
      <c r="R9" s="11"/>
      <c r="S9" s="9" t="str">
        <f>"560,0"</f>
        <v>560,0</v>
      </c>
      <c r="T9" s="10" t="str">
        <f>"361,4800"</f>
        <v>361,4800</v>
      </c>
      <c r="U9" s="9" t="s">
        <v>38</v>
      </c>
    </row>
    <row r="10" spans="1:21" x14ac:dyDescent="0.2">
      <c r="A10" s="12" t="s">
        <v>39</v>
      </c>
      <c r="B10" s="12" t="s">
        <v>40</v>
      </c>
      <c r="C10" s="12" t="s">
        <v>41</v>
      </c>
      <c r="D10" s="12" t="str">
        <f>"0,6384"</f>
        <v>0,6384</v>
      </c>
      <c r="E10" s="12" t="s">
        <v>18</v>
      </c>
      <c r="F10" s="12" t="s">
        <v>19</v>
      </c>
      <c r="G10" s="13" t="s">
        <v>42</v>
      </c>
      <c r="H10" s="13" t="s">
        <v>42</v>
      </c>
      <c r="I10" s="13" t="s">
        <v>42</v>
      </c>
      <c r="J10" s="13"/>
      <c r="K10" s="13" t="s">
        <v>43</v>
      </c>
      <c r="L10" s="13"/>
      <c r="M10" s="13"/>
      <c r="N10" s="13"/>
      <c r="O10" s="13" t="s">
        <v>42</v>
      </c>
      <c r="P10" s="13"/>
      <c r="Q10" s="13"/>
      <c r="R10" s="13"/>
      <c r="S10" s="12" t="str">
        <f>"0.00"</f>
        <v>0.00</v>
      </c>
      <c r="T10" s="17" t="str">
        <f>"0,0000"</f>
        <v>0,0000</v>
      </c>
      <c r="U10" s="12" t="s">
        <v>44</v>
      </c>
    </row>
    <row r="11" spans="1:21" x14ac:dyDescent="0.2">
      <c r="A11" s="14" t="s">
        <v>46</v>
      </c>
      <c r="B11" s="14" t="s">
        <v>47</v>
      </c>
      <c r="C11" s="14" t="s">
        <v>48</v>
      </c>
      <c r="D11" s="14" t="str">
        <f>"0,6402"</f>
        <v>0,6402</v>
      </c>
      <c r="E11" s="14" t="s">
        <v>18</v>
      </c>
      <c r="F11" s="14" t="s">
        <v>19</v>
      </c>
      <c r="G11" s="15" t="s">
        <v>49</v>
      </c>
      <c r="H11" s="15" t="s">
        <v>50</v>
      </c>
      <c r="I11" s="15" t="s">
        <v>51</v>
      </c>
      <c r="J11" s="16"/>
      <c r="K11" s="15" t="s">
        <v>35</v>
      </c>
      <c r="L11" s="16" t="s">
        <v>52</v>
      </c>
      <c r="M11" s="16" t="s">
        <v>52</v>
      </c>
      <c r="N11" s="16"/>
      <c r="O11" s="15" t="s">
        <v>49</v>
      </c>
      <c r="P11" s="15" t="s">
        <v>53</v>
      </c>
      <c r="Q11" s="15" t="s">
        <v>31</v>
      </c>
      <c r="R11" s="16"/>
      <c r="S11" s="14" t="str">
        <f>"560,0"</f>
        <v>560,0</v>
      </c>
      <c r="T11" s="15" t="str">
        <f>"565,0149"</f>
        <v>565,0149</v>
      </c>
      <c r="U11" s="14" t="s">
        <v>54</v>
      </c>
    </row>
    <row r="13" spans="1:21" ht="15" x14ac:dyDescent="0.2">
      <c r="A13" s="32" t="s">
        <v>55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1" x14ac:dyDescent="0.2">
      <c r="A14" s="9" t="s">
        <v>57</v>
      </c>
      <c r="B14" s="9" t="s">
        <v>58</v>
      </c>
      <c r="C14" s="9" t="s">
        <v>59</v>
      </c>
      <c r="D14" s="9" t="str">
        <f>"0,6111"</f>
        <v>0,6111</v>
      </c>
      <c r="E14" s="9" t="s">
        <v>18</v>
      </c>
      <c r="F14" s="9" t="s">
        <v>19</v>
      </c>
      <c r="G14" s="10" t="s">
        <v>60</v>
      </c>
      <c r="H14" s="10" t="s">
        <v>61</v>
      </c>
      <c r="I14" s="11" t="s">
        <v>62</v>
      </c>
      <c r="J14" s="11"/>
      <c r="K14" s="10" t="s">
        <v>63</v>
      </c>
      <c r="L14" s="11" t="s">
        <v>64</v>
      </c>
      <c r="M14" s="11" t="s">
        <v>64</v>
      </c>
      <c r="N14" s="11"/>
      <c r="O14" s="10" t="s">
        <v>65</v>
      </c>
      <c r="P14" s="10" t="s">
        <v>66</v>
      </c>
      <c r="Q14" s="10" t="s">
        <v>61</v>
      </c>
      <c r="R14" s="11"/>
      <c r="S14" s="9" t="str">
        <f>"787,5"</f>
        <v>787,5</v>
      </c>
      <c r="T14" s="10" t="str">
        <f>"481,2413"</f>
        <v>481,2413</v>
      </c>
      <c r="U14" s="9" t="s">
        <v>54</v>
      </c>
    </row>
    <row r="15" spans="1:21" x14ac:dyDescent="0.2">
      <c r="A15" s="12" t="s">
        <v>68</v>
      </c>
      <c r="B15" s="12" t="s">
        <v>69</v>
      </c>
      <c r="C15" s="12" t="s">
        <v>70</v>
      </c>
      <c r="D15" s="12" t="str">
        <f>"0,6093"</f>
        <v>0,6093</v>
      </c>
      <c r="E15" s="12" t="s">
        <v>18</v>
      </c>
      <c r="F15" s="12" t="s">
        <v>19</v>
      </c>
      <c r="G15" s="13" t="s">
        <v>71</v>
      </c>
      <c r="H15" s="17" t="s">
        <v>72</v>
      </c>
      <c r="I15" s="13" t="s">
        <v>73</v>
      </c>
      <c r="J15" s="13"/>
      <c r="K15" s="17" t="s">
        <v>74</v>
      </c>
      <c r="L15" s="17" t="s">
        <v>75</v>
      </c>
      <c r="M15" s="17" t="s">
        <v>76</v>
      </c>
      <c r="N15" s="13"/>
      <c r="O15" s="17" t="s">
        <v>71</v>
      </c>
      <c r="P15" s="17" t="s">
        <v>77</v>
      </c>
      <c r="Q15" s="13" t="s">
        <v>78</v>
      </c>
      <c r="R15" s="13"/>
      <c r="S15" s="12" t="str">
        <f>"680,0"</f>
        <v>680,0</v>
      </c>
      <c r="T15" s="17" t="str">
        <f>"414,3240"</f>
        <v>414,3240</v>
      </c>
      <c r="U15" s="12" t="s">
        <v>79</v>
      </c>
    </row>
    <row r="16" spans="1:21" x14ac:dyDescent="0.2">
      <c r="A16" s="12" t="s">
        <v>81</v>
      </c>
      <c r="B16" s="12" t="s">
        <v>82</v>
      </c>
      <c r="C16" s="12" t="s">
        <v>83</v>
      </c>
      <c r="D16" s="12" t="str">
        <f>"0,6113"</f>
        <v>0,6113</v>
      </c>
      <c r="E16" s="12" t="s">
        <v>18</v>
      </c>
      <c r="F16" s="12" t="s">
        <v>84</v>
      </c>
      <c r="G16" s="17" t="s">
        <v>51</v>
      </c>
      <c r="H16" s="17" t="s">
        <v>36</v>
      </c>
      <c r="I16" s="13" t="s">
        <v>71</v>
      </c>
      <c r="J16" s="13"/>
      <c r="K16" s="17" t="s">
        <v>52</v>
      </c>
      <c r="L16" s="17" t="s">
        <v>85</v>
      </c>
      <c r="M16" s="17" t="s">
        <v>21</v>
      </c>
      <c r="N16" s="13"/>
      <c r="O16" s="17" t="s">
        <v>86</v>
      </c>
      <c r="P16" s="17" t="s">
        <v>87</v>
      </c>
      <c r="Q16" s="13"/>
      <c r="R16" s="13"/>
      <c r="S16" s="12" t="str">
        <f>"627,5"</f>
        <v>627,5</v>
      </c>
      <c r="T16" s="17" t="str">
        <f>"383,5907"</f>
        <v>383,5907</v>
      </c>
      <c r="U16" s="12" t="s">
        <v>88</v>
      </c>
    </row>
    <row r="17" spans="1:21" x14ac:dyDescent="0.2">
      <c r="A17" s="14" t="s">
        <v>90</v>
      </c>
      <c r="B17" s="14" t="s">
        <v>91</v>
      </c>
      <c r="C17" s="14" t="s">
        <v>92</v>
      </c>
      <c r="D17" s="14" t="str">
        <f>"0,6142"</f>
        <v>0,6142</v>
      </c>
      <c r="E17" s="14" t="s">
        <v>18</v>
      </c>
      <c r="F17" s="14" t="s">
        <v>93</v>
      </c>
      <c r="G17" s="15" t="s">
        <v>20</v>
      </c>
      <c r="H17" s="15" t="s">
        <v>76</v>
      </c>
      <c r="I17" s="15" t="s">
        <v>24</v>
      </c>
      <c r="J17" s="16"/>
      <c r="K17" s="15" t="s">
        <v>94</v>
      </c>
      <c r="L17" s="16" t="s">
        <v>95</v>
      </c>
      <c r="M17" s="16" t="s">
        <v>95</v>
      </c>
      <c r="N17" s="16"/>
      <c r="O17" s="16" t="s">
        <v>42</v>
      </c>
      <c r="P17" s="15" t="s">
        <v>53</v>
      </c>
      <c r="Q17" s="16"/>
      <c r="R17" s="16"/>
      <c r="S17" s="14" t="str">
        <f>"475,0"</f>
        <v>475,0</v>
      </c>
      <c r="T17" s="15" t="str">
        <f>"291,7450"</f>
        <v>291,7450</v>
      </c>
      <c r="U17" s="14" t="s">
        <v>96</v>
      </c>
    </row>
    <row r="19" spans="1:21" ht="15" x14ac:dyDescent="0.2">
      <c r="A19" s="32" t="s">
        <v>97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1" x14ac:dyDescent="0.2">
      <c r="A20" s="9" t="s">
        <v>99</v>
      </c>
      <c r="B20" s="9" t="s">
        <v>100</v>
      </c>
      <c r="C20" s="9" t="s">
        <v>101</v>
      </c>
      <c r="D20" s="9" t="str">
        <f>"0,5932"</f>
        <v>0,5932</v>
      </c>
      <c r="E20" s="9" t="s">
        <v>18</v>
      </c>
      <c r="F20" s="9" t="s">
        <v>19</v>
      </c>
      <c r="G20" s="11" t="s">
        <v>102</v>
      </c>
      <c r="H20" s="11" t="s">
        <v>102</v>
      </c>
      <c r="I20" s="10" t="s">
        <v>102</v>
      </c>
      <c r="J20" s="11"/>
      <c r="K20" s="10" t="s">
        <v>20</v>
      </c>
      <c r="L20" s="10" t="s">
        <v>21</v>
      </c>
      <c r="M20" s="11" t="s">
        <v>24</v>
      </c>
      <c r="N20" s="11"/>
      <c r="O20" s="10" t="s">
        <v>36</v>
      </c>
      <c r="P20" s="10" t="s">
        <v>37</v>
      </c>
      <c r="Q20" s="11" t="s">
        <v>102</v>
      </c>
      <c r="R20" s="11"/>
      <c r="S20" s="9" t="str">
        <f>"650,0"</f>
        <v>650,0</v>
      </c>
      <c r="T20" s="10" t="str">
        <f>"385,5800"</f>
        <v>385,5800</v>
      </c>
      <c r="U20" s="9" t="s">
        <v>38</v>
      </c>
    </row>
    <row r="21" spans="1:21" x14ac:dyDescent="0.2">
      <c r="A21" s="12" t="s">
        <v>104</v>
      </c>
      <c r="B21" s="12" t="s">
        <v>105</v>
      </c>
      <c r="C21" s="12" t="s">
        <v>106</v>
      </c>
      <c r="D21" s="12" t="str">
        <f>"0,5974"</f>
        <v>0,5974</v>
      </c>
      <c r="E21" s="12" t="s">
        <v>18</v>
      </c>
      <c r="F21" s="12" t="s">
        <v>19</v>
      </c>
      <c r="G21" s="17" t="s">
        <v>42</v>
      </c>
      <c r="H21" s="17" t="s">
        <v>53</v>
      </c>
      <c r="I21" s="17" t="s">
        <v>31</v>
      </c>
      <c r="J21" s="13"/>
      <c r="K21" s="17" t="s">
        <v>43</v>
      </c>
      <c r="L21" s="17" t="s">
        <v>35</v>
      </c>
      <c r="M21" s="13" t="s">
        <v>52</v>
      </c>
      <c r="N21" s="13"/>
      <c r="O21" s="17" t="s">
        <v>42</v>
      </c>
      <c r="P21" s="13" t="s">
        <v>31</v>
      </c>
      <c r="Q21" s="17" t="s">
        <v>32</v>
      </c>
      <c r="R21" s="13"/>
      <c r="S21" s="12" t="str">
        <f>"565,0"</f>
        <v>565,0</v>
      </c>
      <c r="T21" s="17" t="str">
        <f>"337,5310"</f>
        <v>337,5310</v>
      </c>
      <c r="U21" s="12" t="s">
        <v>107</v>
      </c>
    </row>
    <row r="22" spans="1:21" x14ac:dyDescent="0.2">
      <c r="A22" s="12" t="s">
        <v>109</v>
      </c>
      <c r="B22" s="12" t="s">
        <v>110</v>
      </c>
      <c r="C22" s="12" t="s">
        <v>111</v>
      </c>
      <c r="D22" s="12" t="str">
        <f>"0,5988"</f>
        <v>0,5988</v>
      </c>
      <c r="E22" s="12" t="s">
        <v>18</v>
      </c>
      <c r="F22" s="12" t="s">
        <v>19</v>
      </c>
      <c r="G22" s="17" t="s">
        <v>42</v>
      </c>
      <c r="H22" s="17" t="s">
        <v>53</v>
      </c>
      <c r="I22" s="13" t="s">
        <v>31</v>
      </c>
      <c r="J22" s="13"/>
      <c r="K22" s="17" t="s">
        <v>21</v>
      </c>
      <c r="L22" s="17" t="s">
        <v>24</v>
      </c>
      <c r="M22" s="13" t="s">
        <v>112</v>
      </c>
      <c r="N22" s="13"/>
      <c r="O22" s="17" t="s">
        <v>42</v>
      </c>
      <c r="P22" s="13" t="s">
        <v>53</v>
      </c>
      <c r="Q22" s="13" t="s">
        <v>53</v>
      </c>
      <c r="R22" s="13"/>
      <c r="S22" s="12" t="str">
        <f>"560,0"</f>
        <v>560,0</v>
      </c>
      <c r="T22" s="17" t="str">
        <f>"335,3280"</f>
        <v>335,3280</v>
      </c>
      <c r="U22" s="12" t="s">
        <v>113</v>
      </c>
    </row>
    <row r="23" spans="1:21" x14ac:dyDescent="0.2">
      <c r="A23" s="14" t="s">
        <v>115</v>
      </c>
      <c r="B23" s="14" t="s">
        <v>116</v>
      </c>
      <c r="C23" s="14" t="s">
        <v>117</v>
      </c>
      <c r="D23" s="14" t="str">
        <f>"0,5905"</f>
        <v>0,5905</v>
      </c>
      <c r="E23" s="14" t="s">
        <v>18</v>
      </c>
      <c r="F23" s="14" t="s">
        <v>118</v>
      </c>
      <c r="G23" s="15" t="s">
        <v>37</v>
      </c>
      <c r="H23" s="16" t="s">
        <v>102</v>
      </c>
      <c r="I23" s="15" t="s">
        <v>77</v>
      </c>
      <c r="J23" s="16"/>
      <c r="K23" s="15" t="s">
        <v>21</v>
      </c>
      <c r="L23" s="15" t="s">
        <v>119</v>
      </c>
      <c r="M23" s="15" t="s">
        <v>112</v>
      </c>
      <c r="N23" s="16"/>
      <c r="O23" s="15" t="s">
        <v>36</v>
      </c>
      <c r="P23" s="15" t="s">
        <v>71</v>
      </c>
      <c r="Q23" s="15" t="s">
        <v>77</v>
      </c>
      <c r="R23" s="16"/>
      <c r="S23" s="14" t="str">
        <f>"695,0"</f>
        <v>695,0</v>
      </c>
      <c r="T23" s="15" t="str">
        <f>"410,3975"</f>
        <v>410,3975</v>
      </c>
      <c r="U23" s="14" t="s">
        <v>120</v>
      </c>
    </row>
    <row r="25" spans="1:21" ht="15" x14ac:dyDescent="0.2">
      <c r="A25" s="32" t="s">
        <v>121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x14ac:dyDescent="0.2">
      <c r="A26" s="9" t="s">
        <v>123</v>
      </c>
      <c r="B26" s="9" t="s">
        <v>124</v>
      </c>
      <c r="C26" s="9" t="s">
        <v>125</v>
      </c>
      <c r="D26" s="9" t="str">
        <f>"0,5718"</f>
        <v>0,5718</v>
      </c>
      <c r="E26" s="9" t="s">
        <v>18</v>
      </c>
      <c r="F26" s="9" t="s">
        <v>19</v>
      </c>
      <c r="G26" s="10" t="s">
        <v>77</v>
      </c>
      <c r="H26" s="10" t="s">
        <v>60</v>
      </c>
      <c r="I26" s="11" t="s">
        <v>126</v>
      </c>
      <c r="J26" s="11"/>
      <c r="K26" s="10" t="s">
        <v>42</v>
      </c>
      <c r="L26" s="10" t="s">
        <v>53</v>
      </c>
      <c r="M26" s="11" t="s">
        <v>127</v>
      </c>
      <c r="N26" s="11"/>
      <c r="O26" s="10" t="s">
        <v>128</v>
      </c>
      <c r="P26" s="11" t="s">
        <v>129</v>
      </c>
      <c r="Q26" s="11"/>
      <c r="R26" s="11"/>
      <c r="S26" s="9" t="str">
        <f>"780,0"</f>
        <v>780,0</v>
      </c>
      <c r="T26" s="10" t="str">
        <f>"446,0040"</f>
        <v>446,0040</v>
      </c>
      <c r="U26" s="9" t="s">
        <v>130</v>
      </c>
    </row>
    <row r="27" spans="1:21" x14ac:dyDescent="0.2">
      <c r="A27" s="12" t="s">
        <v>132</v>
      </c>
      <c r="B27" s="12" t="s">
        <v>133</v>
      </c>
      <c r="C27" s="12" t="s">
        <v>134</v>
      </c>
      <c r="D27" s="12" t="str">
        <f>"0,5745"</f>
        <v>0,5745</v>
      </c>
      <c r="E27" s="12" t="s">
        <v>18</v>
      </c>
      <c r="F27" s="12" t="s">
        <v>19</v>
      </c>
      <c r="G27" s="17" t="s">
        <v>77</v>
      </c>
      <c r="H27" s="17" t="s">
        <v>60</v>
      </c>
      <c r="I27" s="13" t="s">
        <v>128</v>
      </c>
      <c r="J27" s="13"/>
      <c r="K27" s="17" t="s">
        <v>24</v>
      </c>
      <c r="L27" s="17" t="s">
        <v>135</v>
      </c>
      <c r="M27" s="13" t="s">
        <v>42</v>
      </c>
      <c r="N27" s="13"/>
      <c r="O27" s="17" t="s">
        <v>77</v>
      </c>
      <c r="P27" s="17" t="s">
        <v>60</v>
      </c>
      <c r="Q27" s="13" t="s">
        <v>66</v>
      </c>
      <c r="R27" s="13"/>
      <c r="S27" s="12" t="str">
        <f>"740,0"</f>
        <v>740,0</v>
      </c>
      <c r="T27" s="17" t="str">
        <f>"425,1300"</f>
        <v>425,1300</v>
      </c>
      <c r="U27" s="12" t="s">
        <v>136</v>
      </c>
    </row>
    <row r="28" spans="1:21" x14ac:dyDescent="0.2">
      <c r="A28" s="14" t="s">
        <v>138</v>
      </c>
      <c r="B28" s="14" t="s">
        <v>139</v>
      </c>
      <c r="C28" s="14" t="s">
        <v>140</v>
      </c>
      <c r="D28" s="14" t="str">
        <f>"0,5790"</f>
        <v>0,5790</v>
      </c>
      <c r="E28" s="14" t="s">
        <v>18</v>
      </c>
      <c r="F28" s="14" t="s">
        <v>19</v>
      </c>
      <c r="G28" s="15" t="s">
        <v>102</v>
      </c>
      <c r="H28" s="15" t="s">
        <v>77</v>
      </c>
      <c r="I28" s="16" t="s">
        <v>78</v>
      </c>
      <c r="J28" s="16"/>
      <c r="K28" s="15" t="s">
        <v>141</v>
      </c>
      <c r="L28" s="15" t="s">
        <v>119</v>
      </c>
      <c r="M28" s="16" t="s">
        <v>142</v>
      </c>
      <c r="N28" s="16"/>
      <c r="O28" s="15" t="s">
        <v>77</v>
      </c>
      <c r="P28" s="15" t="s">
        <v>143</v>
      </c>
      <c r="Q28" s="16" t="s">
        <v>144</v>
      </c>
      <c r="R28" s="16"/>
      <c r="S28" s="14" t="str">
        <f>"700,0"</f>
        <v>700,0</v>
      </c>
      <c r="T28" s="15" t="str">
        <f>"405,3000"</f>
        <v>405,3000</v>
      </c>
      <c r="U28" s="14" t="s">
        <v>145</v>
      </c>
    </row>
    <row r="30" spans="1:21" ht="15" x14ac:dyDescent="0.2">
      <c r="A30" s="32" t="s">
        <v>146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1" x14ac:dyDescent="0.2">
      <c r="A31" s="6" t="s">
        <v>147</v>
      </c>
      <c r="B31" s="6" t="s">
        <v>148</v>
      </c>
      <c r="C31" s="6" t="s">
        <v>149</v>
      </c>
      <c r="D31" s="6" t="str">
        <f>"0,5662"</f>
        <v>0,5662</v>
      </c>
      <c r="E31" s="6" t="s">
        <v>18</v>
      </c>
      <c r="F31" s="6" t="s">
        <v>19</v>
      </c>
      <c r="G31" s="7" t="s">
        <v>42</v>
      </c>
      <c r="H31" s="7"/>
      <c r="I31" s="7"/>
      <c r="J31" s="7"/>
      <c r="K31" s="7" t="s">
        <v>20</v>
      </c>
      <c r="L31" s="7"/>
      <c r="M31" s="7"/>
      <c r="N31" s="7"/>
      <c r="O31" s="7" t="s">
        <v>42</v>
      </c>
      <c r="P31" s="7"/>
      <c r="Q31" s="7"/>
      <c r="R31" s="7"/>
      <c r="S31" s="6" t="str">
        <f>"0.00"</f>
        <v>0.00</v>
      </c>
      <c r="T31" s="8" t="str">
        <f>"0,0000"</f>
        <v>0,0000</v>
      </c>
      <c r="U31" s="6" t="s">
        <v>150</v>
      </c>
    </row>
    <row r="33" spans="1:5" ht="15" x14ac:dyDescent="0.2">
      <c r="E33" s="18" t="s">
        <v>151</v>
      </c>
    </row>
    <row r="34" spans="1:5" ht="15" x14ac:dyDescent="0.2">
      <c r="E34" s="18" t="s">
        <v>152</v>
      </c>
    </row>
    <row r="35" spans="1:5" ht="15" x14ac:dyDescent="0.2">
      <c r="E35" s="18" t="s">
        <v>153</v>
      </c>
    </row>
    <row r="36" spans="1:5" ht="15" x14ac:dyDescent="0.2">
      <c r="E36" s="18" t="s">
        <v>154</v>
      </c>
    </row>
    <row r="37" spans="1:5" ht="15" x14ac:dyDescent="0.2">
      <c r="E37" s="18" t="s">
        <v>154</v>
      </c>
    </row>
    <row r="38" spans="1:5" ht="15" x14ac:dyDescent="0.2">
      <c r="E38" s="18" t="s">
        <v>155</v>
      </c>
    </row>
    <row r="39" spans="1:5" ht="15" x14ac:dyDescent="0.2">
      <c r="E39" s="18"/>
    </row>
    <row r="41" spans="1:5" ht="18" x14ac:dyDescent="0.25">
      <c r="A41" s="19" t="s">
        <v>156</v>
      </c>
      <c r="B41" s="19"/>
    </row>
    <row r="42" spans="1:5" ht="15" x14ac:dyDescent="0.2">
      <c r="A42" s="20" t="s">
        <v>157</v>
      </c>
      <c r="B42" s="20"/>
    </row>
    <row r="43" spans="1:5" ht="14.25" x14ac:dyDescent="0.2">
      <c r="A43" s="22"/>
      <c r="B43" s="23" t="s">
        <v>158</v>
      </c>
    </row>
    <row r="44" spans="1:5" ht="15" x14ac:dyDescent="0.2">
      <c r="A44" s="24" t="s">
        <v>159</v>
      </c>
      <c r="B44" s="24" t="s">
        <v>160</v>
      </c>
      <c r="C44" s="24" t="s">
        <v>161</v>
      </c>
      <c r="D44" s="24" t="s">
        <v>162</v>
      </c>
      <c r="E44" s="24" t="s">
        <v>163</v>
      </c>
    </row>
    <row r="45" spans="1:5" x14ac:dyDescent="0.2">
      <c r="A45" s="21" t="s">
        <v>14</v>
      </c>
      <c r="B45" s="4" t="s">
        <v>164</v>
      </c>
      <c r="C45" s="4" t="s">
        <v>165</v>
      </c>
      <c r="D45" s="4" t="s">
        <v>166</v>
      </c>
      <c r="E45" s="25" t="s">
        <v>167</v>
      </c>
    </row>
    <row r="48" spans="1:5" ht="15" x14ac:dyDescent="0.2">
      <c r="A48" s="20" t="s">
        <v>168</v>
      </c>
      <c r="B48" s="20"/>
    </row>
    <row r="49" spans="1:5" ht="14.25" x14ac:dyDescent="0.2">
      <c r="A49" s="22"/>
      <c r="B49" s="23" t="s">
        <v>169</v>
      </c>
    </row>
    <row r="50" spans="1:5" ht="15" x14ac:dyDescent="0.2">
      <c r="A50" s="24" t="s">
        <v>159</v>
      </c>
      <c r="B50" s="24" t="s">
        <v>160</v>
      </c>
      <c r="C50" s="24" t="s">
        <v>161</v>
      </c>
      <c r="D50" s="24" t="s">
        <v>162</v>
      </c>
      <c r="E50" s="24" t="s">
        <v>163</v>
      </c>
    </row>
    <row r="51" spans="1:5" x14ac:dyDescent="0.2">
      <c r="A51" s="21" t="s">
        <v>56</v>
      </c>
      <c r="B51" s="4" t="s">
        <v>169</v>
      </c>
      <c r="C51" s="4" t="s">
        <v>170</v>
      </c>
      <c r="D51" s="4" t="s">
        <v>171</v>
      </c>
      <c r="E51" s="25" t="s">
        <v>172</v>
      </c>
    </row>
    <row r="52" spans="1:5" x14ac:dyDescent="0.2">
      <c r="A52" s="21" t="s">
        <v>122</v>
      </c>
      <c r="B52" s="4" t="s">
        <v>169</v>
      </c>
      <c r="C52" s="4" t="s">
        <v>173</v>
      </c>
      <c r="D52" s="4" t="s">
        <v>174</v>
      </c>
      <c r="E52" s="25" t="s">
        <v>175</v>
      </c>
    </row>
    <row r="53" spans="1:5" x14ac:dyDescent="0.2">
      <c r="A53" s="21" t="s">
        <v>131</v>
      </c>
      <c r="B53" s="4" t="s">
        <v>169</v>
      </c>
      <c r="C53" s="4" t="s">
        <v>173</v>
      </c>
      <c r="D53" s="4" t="s">
        <v>176</v>
      </c>
      <c r="E53" s="25" t="s">
        <v>177</v>
      </c>
    </row>
    <row r="54" spans="1:5" x14ac:dyDescent="0.2">
      <c r="A54" s="21" t="s">
        <v>67</v>
      </c>
      <c r="B54" s="4" t="s">
        <v>169</v>
      </c>
      <c r="C54" s="4" t="s">
        <v>170</v>
      </c>
      <c r="D54" s="4" t="s">
        <v>178</v>
      </c>
      <c r="E54" s="25" t="s">
        <v>179</v>
      </c>
    </row>
    <row r="55" spans="1:5" x14ac:dyDescent="0.2">
      <c r="A55" s="21" t="s">
        <v>137</v>
      </c>
      <c r="B55" s="4" t="s">
        <v>169</v>
      </c>
      <c r="C55" s="4" t="s">
        <v>173</v>
      </c>
      <c r="D55" s="4" t="s">
        <v>180</v>
      </c>
      <c r="E55" s="25" t="s">
        <v>181</v>
      </c>
    </row>
    <row r="56" spans="1:5" x14ac:dyDescent="0.2">
      <c r="A56" s="21" t="s">
        <v>98</v>
      </c>
      <c r="B56" s="4" t="s">
        <v>169</v>
      </c>
      <c r="C56" s="4" t="s">
        <v>182</v>
      </c>
      <c r="D56" s="4" t="s">
        <v>183</v>
      </c>
      <c r="E56" s="25" t="s">
        <v>184</v>
      </c>
    </row>
    <row r="57" spans="1:5" x14ac:dyDescent="0.2">
      <c r="A57" s="21" t="s">
        <v>80</v>
      </c>
      <c r="B57" s="4" t="s">
        <v>169</v>
      </c>
      <c r="C57" s="4" t="s">
        <v>170</v>
      </c>
      <c r="D57" s="4" t="s">
        <v>185</v>
      </c>
      <c r="E57" s="25" t="s">
        <v>186</v>
      </c>
    </row>
    <row r="58" spans="1:5" x14ac:dyDescent="0.2">
      <c r="A58" s="21" t="s">
        <v>27</v>
      </c>
      <c r="B58" s="4" t="s">
        <v>169</v>
      </c>
      <c r="C58" s="4" t="s">
        <v>187</v>
      </c>
      <c r="D58" s="4" t="s">
        <v>188</v>
      </c>
      <c r="E58" s="25" t="s">
        <v>189</v>
      </c>
    </row>
    <row r="59" spans="1:5" x14ac:dyDescent="0.2">
      <c r="A59" s="21" t="s">
        <v>103</v>
      </c>
      <c r="B59" s="4" t="s">
        <v>169</v>
      </c>
      <c r="C59" s="4" t="s">
        <v>182</v>
      </c>
      <c r="D59" s="4" t="s">
        <v>190</v>
      </c>
      <c r="E59" s="25" t="s">
        <v>191</v>
      </c>
    </row>
    <row r="60" spans="1:5" x14ac:dyDescent="0.2">
      <c r="A60" s="21" t="s">
        <v>108</v>
      </c>
      <c r="B60" s="4" t="s">
        <v>169</v>
      </c>
      <c r="C60" s="4" t="s">
        <v>182</v>
      </c>
      <c r="D60" s="4" t="s">
        <v>188</v>
      </c>
      <c r="E60" s="25" t="s">
        <v>192</v>
      </c>
    </row>
    <row r="61" spans="1:5" x14ac:dyDescent="0.2">
      <c r="A61" s="21" t="s">
        <v>89</v>
      </c>
      <c r="B61" s="4" t="s">
        <v>169</v>
      </c>
      <c r="C61" s="4" t="s">
        <v>170</v>
      </c>
      <c r="D61" s="4" t="s">
        <v>193</v>
      </c>
      <c r="E61" s="25" t="s">
        <v>194</v>
      </c>
    </row>
    <row r="63" spans="1:5" ht="14.25" x14ac:dyDescent="0.2">
      <c r="A63" s="22"/>
      <c r="B63" s="23" t="s">
        <v>158</v>
      </c>
    </row>
    <row r="64" spans="1:5" ht="15" x14ac:dyDescent="0.2">
      <c r="A64" s="24" t="s">
        <v>159</v>
      </c>
      <c r="B64" s="24" t="s">
        <v>160</v>
      </c>
      <c r="C64" s="24" t="s">
        <v>161</v>
      </c>
      <c r="D64" s="24" t="s">
        <v>162</v>
      </c>
      <c r="E64" s="24" t="s">
        <v>163</v>
      </c>
    </row>
    <row r="65" spans="1:5" x14ac:dyDescent="0.2">
      <c r="A65" s="21" t="s">
        <v>45</v>
      </c>
      <c r="B65" s="4" t="s">
        <v>195</v>
      </c>
      <c r="C65" s="4" t="s">
        <v>187</v>
      </c>
      <c r="D65" s="4" t="s">
        <v>188</v>
      </c>
      <c r="E65" s="25" t="s">
        <v>196</v>
      </c>
    </row>
    <row r="66" spans="1:5" x14ac:dyDescent="0.2">
      <c r="A66" s="21" t="s">
        <v>114</v>
      </c>
      <c r="B66" s="4" t="s">
        <v>164</v>
      </c>
      <c r="C66" s="4" t="s">
        <v>182</v>
      </c>
      <c r="D66" s="4" t="s">
        <v>197</v>
      </c>
      <c r="E66" s="25" t="s">
        <v>198</v>
      </c>
    </row>
  </sheetData>
  <mergeCells count="19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30:T30"/>
    <mergeCell ref="A5:T5"/>
    <mergeCell ref="A8:T8"/>
    <mergeCell ref="A13:T13"/>
    <mergeCell ref="A19:T19"/>
    <mergeCell ref="A25:T25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6.85546875" style="4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13.140625" style="4" customWidth="1"/>
    <col min="12" max="12" width="8.5703125" style="3" bestFit="1" customWidth="1"/>
    <col min="13" max="13" width="14.85546875" style="4" bestFit="1" customWidth="1"/>
    <col min="14" max="16384" width="9.140625" style="3"/>
  </cols>
  <sheetData>
    <row r="1" spans="1:13" s="2" customFormat="1" ht="29.1" customHeight="1" x14ac:dyDescent="0.2">
      <c r="A1" s="36" t="s">
        <v>2136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11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55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6" t="s">
        <v>1003</v>
      </c>
      <c r="B6" s="6" t="s">
        <v>1004</v>
      </c>
      <c r="C6" s="6" t="s">
        <v>1005</v>
      </c>
      <c r="D6" s="6" t="str">
        <f>"0,6235"</f>
        <v>0,6235</v>
      </c>
      <c r="E6" s="6" t="s">
        <v>18</v>
      </c>
      <c r="F6" s="6" t="s">
        <v>19</v>
      </c>
      <c r="G6" s="8" t="s">
        <v>53</v>
      </c>
      <c r="H6" s="8" t="s">
        <v>31</v>
      </c>
      <c r="I6" s="7" t="s">
        <v>32</v>
      </c>
      <c r="J6" s="7"/>
      <c r="K6" s="6" t="str">
        <f>"210,0"</f>
        <v>210,0</v>
      </c>
      <c r="L6" s="8" t="str">
        <f>"145,7307"</f>
        <v>145,7307</v>
      </c>
      <c r="M6" s="6" t="s">
        <v>1006</v>
      </c>
    </row>
    <row r="8" spans="1:13" ht="15" x14ac:dyDescent="0.2">
      <c r="E8" s="18" t="s">
        <v>151</v>
      </c>
    </row>
    <row r="9" spans="1:13" ht="15" x14ac:dyDescent="0.2">
      <c r="E9" s="18" t="s">
        <v>152</v>
      </c>
    </row>
    <row r="10" spans="1:13" ht="15" x14ac:dyDescent="0.2">
      <c r="E10" s="18" t="s">
        <v>153</v>
      </c>
    </row>
    <row r="11" spans="1:13" ht="15" x14ac:dyDescent="0.2">
      <c r="E11" s="18" t="s">
        <v>154</v>
      </c>
    </row>
    <row r="12" spans="1:13" ht="15" x14ac:dyDescent="0.2">
      <c r="E12" s="18" t="s">
        <v>154</v>
      </c>
    </row>
    <row r="13" spans="1:13" ht="15" x14ac:dyDescent="0.2">
      <c r="E13" s="18" t="s">
        <v>155</v>
      </c>
    </row>
    <row r="14" spans="1:13" ht="15" x14ac:dyDescent="0.2">
      <c r="E14" s="18"/>
    </row>
    <row r="16" spans="1:13" ht="18" x14ac:dyDescent="0.25">
      <c r="A16" s="19" t="s">
        <v>156</v>
      </c>
      <c r="B16" s="19"/>
    </row>
    <row r="17" spans="1:5" ht="15" x14ac:dyDescent="0.2">
      <c r="A17" s="20" t="s">
        <v>168</v>
      </c>
      <c r="B17" s="20"/>
    </row>
    <row r="18" spans="1:5" ht="14.25" x14ac:dyDescent="0.2">
      <c r="A18" s="22"/>
      <c r="B18" s="23" t="s">
        <v>158</v>
      </c>
    </row>
    <row r="19" spans="1:5" ht="15" x14ac:dyDescent="0.2">
      <c r="A19" s="24" t="s">
        <v>159</v>
      </c>
      <c r="B19" s="24" t="s">
        <v>160</v>
      </c>
      <c r="C19" s="24" t="s">
        <v>161</v>
      </c>
      <c r="D19" s="24" t="s">
        <v>162</v>
      </c>
      <c r="E19" s="24" t="s">
        <v>163</v>
      </c>
    </row>
    <row r="20" spans="1:5" x14ac:dyDescent="0.2">
      <c r="A20" s="21" t="s">
        <v>1002</v>
      </c>
      <c r="B20" s="4" t="s">
        <v>315</v>
      </c>
      <c r="C20" s="4" t="s">
        <v>170</v>
      </c>
      <c r="D20" s="4" t="s">
        <v>31</v>
      </c>
      <c r="E20" s="25" t="s">
        <v>1007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F26" sqref="F26"/>
    </sheetView>
  </sheetViews>
  <sheetFormatPr defaultColWidth="9.140625" defaultRowHeight="12.75" x14ac:dyDescent="0.2"/>
  <cols>
    <col min="1" max="1" width="26" style="4" bestFit="1" customWidth="1"/>
    <col min="2" max="2" width="27.85546875" style="4" customWidth="1"/>
    <col min="3" max="3" width="17.7109375" style="4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1" width="12.42578125" style="4" customWidth="1"/>
    <col min="12" max="12" width="8.5703125" style="3" bestFit="1" customWidth="1"/>
    <col min="13" max="13" width="18.5703125" style="4" bestFit="1" customWidth="1"/>
    <col min="14" max="16384" width="9.140625" style="3"/>
  </cols>
  <sheetData>
    <row r="1" spans="1:13" s="2" customFormat="1" ht="29.1" customHeight="1" x14ac:dyDescent="0.2">
      <c r="A1" s="36" t="s">
        <v>2137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11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199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6" t="s">
        <v>1525</v>
      </c>
      <c r="B6" s="6" t="s">
        <v>1526</v>
      </c>
      <c r="C6" s="6" t="s">
        <v>1527</v>
      </c>
      <c r="D6" s="6" t="str">
        <f>"1,1933"</f>
        <v>1,1933</v>
      </c>
      <c r="E6" s="6" t="s">
        <v>18</v>
      </c>
      <c r="F6" s="6" t="s">
        <v>19</v>
      </c>
      <c r="G6" s="7" t="s">
        <v>335</v>
      </c>
      <c r="H6" s="7" t="s">
        <v>335</v>
      </c>
      <c r="I6" s="8" t="s">
        <v>335</v>
      </c>
      <c r="J6" s="7"/>
      <c r="K6" s="6" t="str">
        <f>"80,0"</f>
        <v>80,0</v>
      </c>
      <c r="L6" s="8" t="str">
        <f>"95,4640"</f>
        <v>95,4640</v>
      </c>
      <c r="M6" s="6" t="s">
        <v>2127</v>
      </c>
    </row>
    <row r="8" spans="1:13" ht="15" x14ac:dyDescent="0.2">
      <c r="A8" s="32" t="s">
        <v>358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x14ac:dyDescent="0.2">
      <c r="A9" s="6" t="s">
        <v>1529</v>
      </c>
      <c r="B9" s="6" t="s">
        <v>1530</v>
      </c>
      <c r="C9" s="6" t="s">
        <v>1531</v>
      </c>
      <c r="D9" s="6" t="str">
        <f>"1,0613"</f>
        <v>1,0613</v>
      </c>
      <c r="E9" s="6" t="s">
        <v>18</v>
      </c>
      <c r="F9" s="6" t="s">
        <v>1532</v>
      </c>
      <c r="G9" s="7" t="s">
        <v>335</v>
      </c>
      <c r="H9" s="8" t="s">
        <v>335</v>
      </c>
      <c r="I9" s="7" t="s">
        <v>336</v>
      </c>
      <c r="J9" s="7"/>
      <c r="K9" s="6" t="str">
        <f>"80,0"</f>
        <v>80,0</v>
      </c>
      <c r="L9" s="8" t="str">
        <f>"84,9040"</f>
        <v>84,9040</v>
      </c>
      <c r="M9" s="6" t="s">
        <v>731</v>
      </c>
    </row>
    <row r="11" spans="1:13" ht="15" x14ac:dyDescent="0.2">
      <c r="A11" s="32" t="s">
        <v>13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3" x14ac:dyDescent="0.2">
      <c r="A12" s="6" t="s">
        <v>1534</v>
      </c>
      <c r="B12" s="6" t="s">
        <v>1535</v>
      </c>
      <c r="C12" s="6" t="s">
        <v>598</v>
      </c>
      <c r="D12" s="6" t="str">
        <f>"0,7139"</f>
        <v>0,7139</v>
      </c>
      <c r="E12" s="6" t="s">
        <v>18</v>
      </c>
      <c r="F12" s="6" t="s">
        <v>19</v>
      </c>
      <c r="G12" s="8" t="s">
        <v>53</v>
      </c>
      <c r="H12" s="8" t="s">
        <v>127</v>
      </c>
      <c r="I12" s="7" t="s">
        <v>31</v>
      </c>
      <c r="J12" s="7"/>
      <c r="K12" s="6" t="str">
        <f>"207,5"</f>
        <v>207,5</v>
      </c>
      <c r="L12" s="8" t="str">
        <f>"148,1343"</f>
        <v>148,1343</v>
      </c>
      <c r="M12" s="6" t="s">
        <v>1313</v>
      </c>
    </row>
    <row r="14" spans="1:13" ht="15" x14ac:dyDescent="0.2">
      <c r="A14" s="32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3" x14ac:dyDescent="0.2">
      <c r="A15" s="9" t="s">
        <v>1537</v>
      </c>
      <c r="B15" s="9" t="s">
        <v>1538</v>
      </c>
      <c r="C15" s="9" t="s">
        <v>812</v>
      </c>
      <c r="D15" s="9" t="str">
        <f>"0,6479"</f>
        <v>0,6479</v>
      </c>
      <c r="E15" s="9" t="s">
        <v>18</v>
      </c>
      <c r="F15" s="9" t="s">
        <v>833</v>
      </c>
      <c r="G15" s="10" t="s">
        <v>135</v>
      </c>
      <c r="H15" s="10" t="s">
        <v>42</v>
      </c>
      <c r="I15" s="10" t="s">
        <v>427</v>
      </c>
      <c r="J15" s="11"/>
      <c r="K15" s="9" t="str">
        <f>"195,0"</f>
        <v>195,0</v>
      </c>
      <c r="L15" s="10" t="str">
        <f>"126,3405"</f>
        <v>126,3405</v>
      </c>
      <c r="M15" s="9" t="s">
        <v>1133</v>
      </c>
    </row>
    <row r="16" spans="1:13" x14ac:dyDescent="0.2">
      <c r="A16" s="12" t="s">
        <v>1540</v>
      </c>
      <c r="B16" s="12" t="s">
        <v>1541</v>
      </c>
      <c r="C16" s="12" t="s">
        <v>48</v>
      </c>
      <c r="D16" s="12" t="str">
        <f>"0,6402"</f>
        <v>0,6402</v>
      </c>
      <c r="E16" s="12" t="s">
        <v>18</v>
      </c>
      <c r="F16" s="12" t="s">
        <v>19</v>
      </c>
      <c r="G16" s="17" t="s">
        <v>63</v>
      </c>
      <c r="H16" s="17" t="s">
        <v>42</v>
      </c>
      <c r="I16" s="13" t="s">
        <v>427</v>
      </c>
      <c r="J16" s="13"/>
      <c r="K16" s="12" t="str">
        <f>"190,0"</f>
        <v>190,0</v>
      </c>
      <c r="L16" s="17" t="str">
        <f>"121,6380"</f>
        <v>121,6380</v>
      </c>
      <c r="M16" s="12" t="s">
        <v>54</v>
      </c>
    </row>
    <row r="17" spans="1:13" x14ac:dyDescent="0.2">
      <c r="A17" s="14" t="s">
        <v>1543</v>
      </c>
      <c r="B17" s="14" t="s">
        <v>1544</v>
      </c>
      <c r="C17" s="14" t="s">
        <v>1545</v>
      </c>
      <c r="D17" s="14" t="str">
        <f>"0,6395"</f>
        <v>0,6395</v>
      </c>
      <c r="E17" s="14" t="s">
        <v>18</v>
      </c>
      <c r="F17" s="14" t="s">
        <v>395</v>
      </c>
      <c r="G17" s="15" t="s">
        <v>112</v>
      </c>
      <c r="H17" s="15" t="s">
        <v>49</v>
      </c>
      <c r="I17" s="16" t="s">
        <v>42</v>
      </c>
      <c r="J17" s="16"/>
      <c r="K17" s="14" t="str">
        <f>"185,0"</f>
        <v>185,0</v>
      </c>
      <c r="L17" s="15" t="str">
        <f>"118,3075"</f>
        <v>118,3075</v>
      </c>
      <c r="M17" s="14" t="s">
        <v>1546</v>
      </c>
    </row>
    <row r="19" spans="1:13" ht="15" x14ac:dyDescent="0.2">
      <c r="A19" s="32" t="s">
        <v>55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3" x14ac:dyDescent="0.2">
      <c r="A20" s="9" t="s">
        <v>1548</v>
      </c>
      <c r="B20" s="9" t="s">
        <v>1549</v>
      </c>
      <c r="C20" s="9" t="s">
        <v>1550</v>
      </c>
      <c r="D20" s="9" t="str">
        <f>"0,6152"</f>
        <v>0,6152</v>
      </c>
      <c r="E20" s="9" t="s">
        <v>18</v>
      </c>
      <c r="F20" s="9" t="s">
        <v>19</v>
      </c>
      <c r="G20" s="10" t="s">
        <v>78</v>
      </c>
      <c r="H20" s="10" t="s">
        <v>65</v>
      </c>
      <c r="I20" s="11" t="s">
        <v>478</v>
      </c>
      <c r="J20" s="11"/>
      <c r="K20" s="9" t="str">
        <f>"275,0"</f>
        <v>275,0</v>
      </c>
      <c r="L20" s="10" t="str">
        <f>"169,1800"</f>
        <v>169,1800</v>
      </c>
      <c r="M20" s="9" t="s">
        <v>1551</v>
      </c>
    </row>
    <row r="21" spans="1:13" x14ac:dyDescent="0.2">
      <c r="A21" s="14" t="s">
        <v>1553</v>
      </c>
      <c r="B21" s="14" t="s">
        <v>1554</v>
      </c>
      <c r="C21" s="14" t="s">
        <v>225</v>
      </c>
      <c r="D21" s="14" t="str">
        <f>"0,6118"</f>
        <v>0,6118</v>
      </c>
      <c r="E21" s="14" t="s">
        <v>18</v>
      </c>
      <c r="F21" s="14" t="s">
        <v>1040</v>
      </c>
      <c r="G21" s="15" t="s">
        <v>102</v>
      </c>
      <c r="H21" s="15" t="s">
        <v>77</v>
      </c>
      <c r="I21" s="16" t="s">
        <v>232</v>
      </c>
      <c r="J21" s="16"/>
      <c r="K21" s="14" t="str">
        <f>"260,0"</f>
        <v>260,0</v>
      </c>
      <c r="L21" s="15" t="str">
        <f>"159,0680"</f>
        <v>159,0680</v>
      </c>
      <c r="M21" s="14" t="s">
        <v>731</v>
      </c>
    </row>
    <row r="23" spans="1:13" ht="15" x14ac:dyDescent="0.2">
      <c r="E23" s="18" t="s">
        <v>151</v>
      </c>
    </row>
    <row r="24" spans="1:13" ht="15" x14ac:dyDescent="0.2">
      <c r="E24" s="18" t="s">
        <v>152</v>
      </c>
    </row>
    <row r="25" spans="1:13" ht="15" x14ac:dyDescent="0.2">
      <c r="E25" s="18" t="s">
        <v>153</v>
      </c>
    </row>
    <row r="26" spans="1:13" ht="15" x14ac:dyDescent="0.2">
      <c r="E26" s="18" t="s">
        <v>154</v>
      </c>
    </row>
    <row r="27" spans="1:13" ht="15" x14ac:dyDescent="0.2">
      <c r="E27" s="18" t="s">
        <v>154</v>
      </c>
    </row>
    <row r="28" spans="1:13" ht="15" x14ac:dyDescent="0.2">
      <c r="E28" s="18" t="s">
        <v>155</v>
      </c>
    </row>
    <row r="29" spans="1:13" ht="15" x14ac:dyDescent="0.2">
      <c r="E29" s="18"/>
    </row>
    <row r="31" spans="1:13" ht="18" x14ac:dyDescent="0.25">
      <c r="A31" s="19" t="s">
        <v>156</v>
      </c>
      <c r="B31" s="19"/>
    </row>
    <row r="32" spans="1:13" ht="15" x14ac:dyDescent="0.2">
      <c r="A32" s="20" t="s">
        <v>157</v>
      </c>
      <c r="B32" s="20"/>
    </row>
    <row r="33" spans="1:5" ht="14.25" x14ac:dyDescent="0.2">
      <c r="A33" s="22"/>
      <c r="B33" s="23" t="s">
        <v>468</v>
      </c>
    </row>
    <row r="34" spans="1:5" ht="15" x14ac:dyDescent="0.2">
      <c r="A34" s="24" t="s">
        <v>159</v>
      </c>
      <c r="B34" s="24" t="s">
        <v>160</v>
      </c>
      <c r="C34" s="24" t="s">
        <v>161</v>
      </c>
      <c r="D34" s="24" t="s">
        <v>162</v>
      </c>
      <c r="E34" s="24" t="s">
        <v>163</v>
      </c>
    </row>
    <row r="35" spans="1:5" x14ac:dyDescent="0.2">
      <c r="A35" s="21" t="s">
        <v>1528</v>
      </c>
      <c r="B35" s="4" t="s">
        <v>291</v>
      </c>
      <c r="C35" s="4" t="s">
        <v>472</v>
      </c>
      <c r="D35" s="4" t="s">
        <v>335</v>
      </c>
      <c r="E35" s="25" t="s">
        <v>1555</v>
      </c>
    </row>
    <row r="37" spans="1:5" ht="14.25" x14ac:dyDescent="0.2">
      <c r="A37" s="22"/>
      <c r="B37" s="23" t="s">
        <v>169</v>
      </c>
    </row>
    <row r="38" spans="1:5" ht="15" x14ac:dyDescent="0.2">
      <c r="A38" s="24" t="s">
        <v>159</v>
      </c>
      <c r="B38" s="24" t="s">
        <v>160</v>
      </c>
      <c r="C38" s="24" t="s">
        <v>161</v>
      </c>
      <c r="D38" s="24" t="s">
        <v>162</v>
      </c>
      <c r="E38" s="24" t="s">
        <v>163</v>
      </c>
    </row>
    <row r="39" spans="1:5" x14ac:dyDescent="0.2">
      <c r="A39" s="21" t="s">
        <v>1524</v>
      </c>
      <c r="B39" s="4" t="s">
        <v>169</v>
      </c>
      <c r="C39" s="4" t="s">
        <v>287</v>
      </c>
      <c r="D39" s="4" t="s">
        <v>335</v>
      </c>
      <c r="E39" s="25" t="s">
        <v>1556</v>
      </c>
    </row>
    <row r="42" spans="1:5" ht="15" x14ac:dyDescent="0.2">
      <c r="A42" s="20" t="s">
        <v>168</v>
      </c>
      <c r="B42" s="20"/>
    </row>
    <row r="43" spans="1:5" ht="14.25" x14ac:dyDescent="0.2">
      <c r="A43" s="22"/>
      <c r="B43" s="23" t="s">
        <v>169</v>
      </c>
    </row>
    <row r="44" spans="1:5" ht="15" x14ac:dyDescent="0.2">
      <c r="A44" s="24" t="s">
        <v>159</v>
      </c>
      <c r="B44" s="24" t="s">
        <v>160</v>
      </c>
      <c r="C44" s="24" t="s">
        <v>161</v>
      </c>
      <c r="D44" s="24" t="s">
        <v>162</v>
      </c>
      <c r="E44" s="24" t="s">
        <v>163</v>
      </c>
    </row>
    <row r="45" spans="1:5" x14ac:dyDescent="0.2">
      <c r="A45" s="21" t="s">
        <v>1547</v>
      </c>
      <c r="B45" s="4" t="s">
        <v>169</v>
      </c>
      <c r="C45" s="4" t="s">
        <v>170</v>
      </c>
      <c r="D45" s="4" t="s">
        <v>65</v>
      </c>
      <c r="E45" s="25" t="s">
        <v>1557</v>
      </c>
    </row>
    <row r="46" spans="1:5" x14ac:dyDescent="0.2">
      <c r="A46" s="21" t="s">
        <v>1552</v>
      </c>
      <c r="B46" s="4" t="s">
        <v>169</v>
      </c>
      <c r="C46" s="4" t="s">
        <v>170</v>
      </c>
      <c r="D46" s="4" t="s">
        <v>77</v>
      </c>
      <c r="E46" s="25" t="s">
        <v>1558</v>
      </c>
    </row>
    <row r="47" spans="1:5" x14ac:dyDescent="0.2">
      <c r="A47" s="21" t="s">
        <v>1533</v>
      </c>
      <c r="B47" s="4" t="s">
        <v>169</v>
      </c>
      <c r="C47" s="4" t="s">
        <v>165</v>
      </c>
      <c r="D47" s="4" t="s">
        <v>127</v>
      </c>
      <c r="E47" s="25" t="s">
        <v>1559</v>
      </c>
    </row>
    <row r="48" spans="1:5" x14ac:dyDescent="0.2">
      <c r="A48" s="21" t="s">
        <v>1536</v>
      </c>
      <c r="B48" s="4" t="s">
        <v>169</v>
      </c>
      <c r="C48" s="4" t="s">
        <v>187</v>
      </c>
      <c r="D48" s="4" t="s">
        <v>427</v>
      </c>
      <c r="E48" s="25" t="s">
        <v>1560</v>
      </c>
    </row>
    <row r="49" spans="1:5" x14ac:dyDescent="0.2">
      <c r="A49" s="21" t="s">
        <v>1539</v>
      </c>
      <c r="B49" s="4" t="s">
        <v>169</v>
      </c>
      <c r="C49" s="4" t="s">
        <v>187</v>
      </c>
      <c r="D49" s="4" t="s">
        <v>42</v>
      </c>
      <c r="E49" s="25" t="s">
        <v>1561</v>
      </c>
    </row>
    <row r="50" spans="1:5" x14ac:dyDescent="0.2">
      <c r="A50" s="21" t="s">
        <v>1542</v>
      </c>
      <c r="B50" s="4" t="s">
        <v>169</v>
      </c>
      <c r="C50" s="4" t="s">
        <v>187</v>
      </c>
      <c r="D50" s="4" t="s">
        <v>49</v>
      </c>
      <c r="E50" s="25" t="s">
        <v>1562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19:L19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4"/>
  <sheetViews>
    <sheetView tabSelected="1" topLeftCell="A76" workbookViewId="0">
      <selection activeCell="B109" sqref="B109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5.5703125" style="4" customWidth="1"/>
    <col min="4" max="4" width="8.42578125" style="4" bestFit="1" customWidth="1"/>
    <col min="5" max="5" width="22.7109375" style="4" bestFit="1" customWidth="1"/>
    <col min="6" max="6" width="37.28515625" style="4" bestFit="1" customWidth="1"/>
    <col min="7" max="10" width="5.5703125" style="3" bestFit="1" customWidth="1"/>
    <col min="11" max="11" width="11.42578125" style="4" customWidth="1"/>
    <col min="12" max="12" width="8.5703125" style="3" bestFit="1" customWidth="1"/>
    <col min="13" max="13" width="31.140625" style="4" bestFit="1" customWidth="1"/>
    <col min="14" max="16384" width="9.140625" style="3"/>
  </cols>
  <sheetData>
    <row r="1" spans="1:13" s="2" customFormat="1" ht="29.1" customHeight="1" x14ac:dyDescent="0.2">
      <c r="A1" s="36" t="s">
        <v>2138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11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320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9" t="s">
        <v>1009</v>
      </c>
      <c r="B6" s="9" t="s">
        <v>1010</v>
      </c>
      <c r="C6" s="9" t="s">
        <v>1011</v>
      </c>
      <c r="D6" s="9" t="str">
        <f>"1,3449"</f>
        <v>1,3449</v>
      </c>
      <c r="E6" s="9" t="s">
        <v>18</v>
      </c>
      <c r="F6" s="9" t="s">
        <v>625</v>
      </c>
      <c r="G6" s="11" t="s">
        <v>564</v>
      </c>
      <c r="H6" s="10" t="s">
        <v>564</v>
      </c>
      <c r="I6" s="11" t="s">
        <v>23</v>
      </c>
      <c r="J6" s="11"/>
      <c r="K6" s="9" t="str">
        <f>"72,5"</f>
        <v>72,5</v>
      </c>
      <c r="L6" s="10" t="str">
        <f>"97,5053"</f>
        <v>97,5053</v>
      </c>
      <c r="M6" s="9" t="s">
        <v>1012</v>
      </c>
    </row>
    <row r="7" spans="1:13" x14ac:dyDescent="0.2">
      <c r="A7" s="12" t="s">
        <v>1014</v>
      </c>
      <c r="B7" s="12" t="s">
        <v>1015</v>
      </c>
      <c r="C7" s="12" t="s">
        <v>1016</v>
      </c>
      <c r="D7" s="12" t="str">
        <f>"1,3573"</f>
        <v>1,3573</v>
      </c>
      <c r="E7" s="12" t="s">
        <v>18</v>
      </c>
      <c r="F7" s="12" t="s">
        <v>813</v>
      </c>
      <c r="G7" s="17" t="s">
        <v>370</v>
      </c>
      <c r="H7" s="13" t="s">
        <v>334</v>
      </c>
      <c r="I7" s="17" t="s">
        <v>334</v>
      </c>
      <c r="J7" s="13"/>
      <c r="K7" s="12" t="str">
        <f>"47,5"</f>
        <v>47,5</v>
      </c>
      <c r="L7" s="17" t="str">
        <f>"64,4718"</f>
        <v>64,4718</v>
      </c>
      <c r="M7" s="12" t="s">
        <v>1017</v>
      </c>
    </row>
    <row r="8" spans="1:13" x14ac:dyDescent="0.2">
      <c r="A8" s="14" t="s">
        <v>1019</v>
      </c>
      <c r="B8" s="14" t="s">
        <v>1020</v>
      </c>
      <c r="C8" s="14" t="s">
        <v>1021</v>
      </c>
      <c r="D8" s="14" t="str">
        <f>"1,3326"</f>
        <v>1,3326</v>
      </c>
      <c r="E8" s="14" t="s">
        <v>18</v>
      </c>
      <c r="F8" s="14" t="s">
        <v>19</v>
      </c>
      <c r="G8" s="16" t="s">
        <v>370</v>
      </c>
      <c r="H8" s="15" t="s">
        <v>327</v>
      </c>
      <c r="I8" s="16" t="s">
        <v>364</v>
      </c>
      <c r="J8" s="16"/>
      <c r="K8" s="14" t="str">
        <f>"50,0"</f>
        <v>50,0</v>
      </c>
      <c r="L8" s="15" t="str">
        <f>"67,2963"</f>
        <v>67,2963</v>
      </c>
      <c r="M8" s="14" t="s">
        <v>1022</v>
      </c>
    </row>
    <row r="10" spans="1:13" ht="15" x14ac:dyDescent="0.2">
      <c r="A10" s="32" t="s">
        <v>537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3" x14ac:dyDescent="0.2">
      <c r="A11" s="9" t="s">
        <v>1024</v>
      </c>
      <c r="B11" s="9" t="s">
        <v>1025</v>
      </c>
      <c r="C11" s="9" t="s">
        <v>1026</v>
      </c>
      <c r="D11" s="9" t="str">
        <f>"1,2846"</f>
        <v>1,2846</v>
      </c>
      <c r="E11" s="9" t="s">
        <v>18</v>
      </c>
      <c r="F11" s="9" t="s">
        <v>1027</v>
      </c>
      <c r="G11" s="10" t="s">
        <v>364</v>
      </c>
      <c r="H11" s="11" t="s">
        <v>343</v>
      </c>
      <c r="I11" s="10" t="s">
        <v>343</v>
      </c>
      <c r="J11" s="11"/>
      <c r="K11" s="9" t="str">
        <f>"57,5"</f>
        <v>57,5</v>
      </c>
      <c r="L11" s="10" t="str">
        <f>"73,8645"</f>
        <v>73,8645</v>
      </c>
      <c r="M11" s="9" t="s">
        <v>1028</v>
      </c>
    </row>
    <row r="12" spans="1:13" x14ac:dyDescent="0.2">
      <c r="A12" s="12" t="s">
        <v>1030</v>
      </c>
      <c r="B12" s="12" t="s">
        <v>1031</v>
      </c>
      <c r="C12" s="12" t="s">
        <v>1032</v>
      </c>
      <c r="D12" s="12" t="str">
        <f>"1,2597"</f>
        <v>1,2597</v>
      </c>
      <c r="E12" s="12" t="s">
        <v>18</v>
      </c>
      <c r="F12" s="12" t="s">
        <v>19</v>
      </c>
      <c r="G12" s="17" t="s">
        <v>370</v>
      </c>
      <c r="H12" s="17" t="s">
        <v>327</v>
      </c>
      <c r="I12" s="13" t="s">
        <v>328</v>
      </c>
      <c r="J12" s="13"/>
      <c r="K12" s="12" t="str">
        <f>"50,0"</f>
        <v>50,0</v>
      </c>
      <c r="L12" s="17" t="str">
        <f>"62,9850"</f>
        <v>62,9850</v>
      </c>
      <c r="M12" s="12" t="s">
        <v>54</v>
      </c>
    </row>
    <row r="13" spans="1:13" x14ac:dyDescent="0.2">
      <c r="A13" s="14" t="s">
        <v>1033</v>
      </c>
      <c r="B13" s="14" t="s">
        <v>1034</v>
      </c>
      <c r="C13" s="14" t="s">
        <v>1035</v>
      </c>
      <c r="D13" s="14" t="str">
        <f>"1,2673"</f>
        <v>1,2673</v>
      </c>
      <c r="E13" s="14" t="s">
        <v>18</v>
      </c>
      <c r="F13" s="14" t="s">
        <v>19</v>
      </c>
      <c r="G13" s="16" t="s">
        <v>334</v>
      </c>
      <c r="H13" s="16" t="s">
        <v>334</v>
      </c>
      <c r="I13" s="16" t="s">
        <v>334</v>
      </c>
      <c r="J13" s="16"/>
      <c r="K13" s="14" t="str">
        <f>"0.00"</f>
        <v>0.00</v>
      </c>
      <c r="L13" s="15" t="str">
        <f>"0,0000"</f>
        <v>0,0000</v>
      </c>
      <c r="M13" s="14" t="s">
        <v>1036</v>
      </c>
    </row>
    <row r="15" spans="1:13" ht="15" x14ac:dyDescent="0.2">
      <c r="A15" s="32" t="s">
        <v>199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3" x14ac:dyDescent="0.2">
      <c r="A16" s="9" t="s">
        <v>1038</v>
      </c>
      <c r="B16" s="9" t="s">
        <v>1039</v>
      </c>
      <c r="C16" s="9" t="s">
        <v>737</v>
      </c>
      <c r="D16" s="9" t="str">
        <f>"1,1883"</f>
        <v>1,1883</v>
      </c>
      <c r="E16" s="9" t="s">
        <v>18</v>
      </c>
      <c r="F16" s="9" t="s">
        <v>1040</v>
      </c>
      <c r="G16" s="10" t="s">
        <v>334</v>
      </c>
      <c r="H16" s="10" t="s">
        <v>364</v>
      </c>
      <c r="I16" s="11" t="s">
        <v>328</v>
      </c>
      <c r="J16" s="11"/>
      <c r="K16" s="9" t="str">
        <f>"52,5"</f>
        <v>52,5</v>
      </c>
      <c r="L16" s="10" t="str">
        <f>"62,3858"</f>
        <v>62,3858</v>
      </c>
      <c r="M16" s="9" t="s">
        <v>1041</v>
      </c>
    </row>
    <row r="17" spans="1:13" x14ac:dyDescent="0.2">
      <c r="A17" s="12" t="s">
        <v>1043</v>
      </c>
      <c r="B17" s="12" t="s">
        <v>1044</v>
      </c>
      <c r="C17" s="12" t="s">
        <v>1045</v>
      </c>
      <c r="D17" s="12" t="str">
        <f>"1,1900"</f>
        <v>1,1900</v>
      </c>
      <c r="E17" s="12" t="s">
        <v>18</v>
      </c>
      <c r="F17" s="12" t="s">
        <v>1046</v>
      </c>
      <c r="G17" s="13" t="s">
        <v>327</v>
      </c>
      <c r="H17" s="17" t="s">
        <v>327</v>
      </c>
      <c r="I17" s="13" t="s">
        <v>328</v>
      </c>
      <c r="J17" s="13"/>
      <c r="K17" s="12" t="str">
        <f>"50,0"</f>
        <v>50,0</v>
      </c>
      <c r="L17" s="17" t="str">
        <f>"59,5000"</f>
        <v>59,5000</v>
      </c>
      <c r="M17" s="12" t="s">
        <v>1047</v>
      </c>
    </row>
    <row r="18" spans="1:13" x14ac:dyDescent="0.2">
      <c r="A18" s="12" t="s">
        <v>1049</v>
      </c>
      <c r="B18" s="12" t="s">
        <v>1050</v>
      </c>
      <c r="C18" s="12" t="s">
        <v>342</v>
      </c>
      <c r="D18" s="12" t="str">
        <f>"1,1816"</f>
        <v>1,1816</v>
      </c>
      <c r="E18" s="12" t="s">
        <v>18</v>
      </c>
      <c r="F18" s="12" t="s">
        <v>19</v>
      </c>
      <c r="G18" s="17" t="s">
        <v>334</v>
      </c>
      <c r="H18" s="13" t="s">
        <v>327</v>
      </c>
      <c r="I18" s="17" t="s">
        <v>327</v>
      </c>
      <c r="J18" s="13"/>
      <c r="K18" s="12" t="str">
        <f>"50,0"</f>
        <v>50,0</v>
      </c>
      <c r="L18" s="17" t="str">
        <f>"59,0800"</f>
        <v>59,0800</v>
      </c>
      <c r="M18" s="12" t="s">
        <v>1051</v>
      </c>
    </row>
    <row r="19" spans="1:13" x14ac:dyDescent="0.2">
      <c r="A19" s="12" t="s">
        <v>1053</v>
      </c>
      <c r="B19" s="12" t="s">
        <v>1054</v>
      </c>
      <c r="C19" s="12" t="s">
        <v>1055</v>
      </c>
      <c r="D19" s="12" t="str">
        <f>"1,2302"</f>
        <v>1,2302</v>
      </c>
      <c r="E19" s="12" t="s">
        <v>18</v>
      </c>
      <c r="F19" s="12" t="s">
        <v>19</v>
      </c>
      <c r="G19" s="17" t="s">
        <v>334</v>
      </c>
      <c r="H19" s="13" t="s">
        <v>364</v>
      </c>
      <c r="I19" s="13" t="s">
        <v>364</v>
      </c>
      <c r="J19" s="13"/>
      <c r="K19" s="12" t="str">
        <f>"47,5"</f>
        <v>47,5</v>
      </c>
      <c r="L19" s="17" t="str">
        <f>"58,4345"</f>
        <v>58,4345</v>
      </c>
      <c r="M19" s="12" t="s">
        <v>1036</v>
      </c>
    </row>
    <row r="20" spans="1:13" x14ac:dyDescent="0.2">
      <c r="A20" s="12" t="s">
        <v>1057</v>
      </c>
      <c r="B20" s="12" t="s">
        <v>1058</v>
      </c>
      <c r="C20" s="12" t="s">
        <v>1059</v>
      </c>
      <c r="D20" s="12" t="str">
        <f>"1,2176"</f>
        <v>1,2176</v>
      </c>
      <c r="E20" s="12" t="s">
        <v>18</v>
      </c>
      <c r="F20" s="12" t="s">
        <v>363</v>
      </c>
      <c r="G20" s="17" t="s">
        <v>327</v>
      </c>
      <c r="H20" s="17" t="s">
        <v>364</v>
      </c>
      <c r="I20" s="13" t="s">
        <v>328</v>
      </c>
      <c r="J20" s="13"/>
      <c r="K20" s="12" t="str">
        <f>"52,5"</f>
        <v>52,5</v>
      </c>
      <c r="L20" s="17" t="str">
        <f>"68,2708"</f>
        <v>68,2708</v>
      </c>
      <c r="M20" s="12" t="s">
        <v>233</v>
      </c>
    </row>
    <row r="21" spans="1:13" x14ac:dyDescent="0.2">
      <c r="A21" s="14" t="s">
        <v>1061</v>
      </c>
      <c r="B21" s="14" t="s">
        <v>1062</v>
      </c>
      <c r="C21" s="14" t="s">
        <v>333</v>
      </c>
      <c r="D21" s="14" t="str">
        <f>"1,1766"</f>
        <v>1,1766</v>
      </c>
      <c r="E21" s="14" t="s">
        <v>18</v>
      </c>
      <c r="F21" s="14" t="s">
        <v>19</v>
      </c>
      <c r="G21" s="16" t="s">
        <v>327</v>
      </c>
      <c r="H21" s="16" t="s">
        <v>327</v>
      </c>
      <c r="I21" s="15" t="s">
        <v>327</v>
      </c>
      <c r="J21" s="16"/>
      <c r="K21" s="14" t="str">
        <f>"50,0"</f>
        <v>50,0</v>
      </c>
      <c r="L21" s="15" t="str">
        <f>"66,4779"</f>
        <v>66,4779</v>
      </c>
      <c r="M21" s="14" t="s">
        <v>1063</v>
      </c>
    </row>
    <row r="23" spans="1:13" ht="15" x14ac:dyDescent="0.2">
      <c r="A23" s="32" t="s">
        <v>351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3" x14ac:dyDescent="0.2">
      <c r="A24" s="9" t="s">
        <v>1065</v>
      </c>
      <c r="B24" s="9" t="s">
        <v>1066</v>
      </c>
      <c r="C24" s="9" t="s">
        <v>742</v>
      </c>
      <c r="D24" s="9" t="str">
        <f>"1,1281"</f>
        <v>1,1281</v>
      </c>
      <c r="E24" s="9" t="s">
        <v>18</v>
      </c>
      <c r="F24" s="9" t="s">
        <v>778</v>
      </c>
      <c r="G24" s="10" t="s">
        <v>364</v>
      </c>
      <c r="H24" s="10" t="s">
        <v>328</v>
      </c>
      <c r="I24" s="10" t="s">
        <v>343</v>
      </c>
      <c r="J24" s="11"/>
      <c r="K24" s="9" t="str">
        <f>"57,5"</f>
        <v>57,5</v>
      </c>
      <c r="L24" s="10" t="str">
        <f>"64,8658"</f>
        <v>64,8658</v>
      </c>
      <c r="M24" s="9" t="s">
        <v>1067</v>
      </c>
    </row>
    <row r="25" spans="1:13" x14ac:dyDescent="0.2">
      <c r="A25" s="12" t="s">
        <v>1068</v>
      </c>
      <c r="B25" s="12" t="s">
        <v>1069</v>
      </c>
      <c r="C25" s="12" t="s">
        <v>1070</v>
      </c>
      <c r="D25" s="12" t="str">
        <f>"1,1207"</f>
        <v>1,1207</v>
      </c>
      <c r="E25" s="12" t="s">
        <v>18</v>
      </c>
      <c r="F25" s="12" t="s">
        <v>19</v>
      </c>
      <c r="G25" s="13" t="s">
        <v>364</v>
      </c>
      <c r="H25" s="13" t="s">
        <v>364</v>
      </c>
      <c r="I25" s="13" t="s">
        <v>364</v>
      </c>
      <c r="J25" s="13"/>
      <c r="K25" s="12" t="str">
        <f>"0.00"</f>
        <v>0.00</v>
      </c>
      <c r="L25" s="17" t="str">
        <f>"0,0000"</f>
        <v>0,0000</v>
      </c>
      <c r="M25" s="12" t="s">
        <v>1036</v>
      </c>
    </row>
    <row r="26" spans="1:13" x14ac:dyDescent="0.2">
      <c r="A26" s="14" t="s">
        <v>1072</v>
      </c>
      <c r="B26" s="14" t="s">
        <v>1073</v>
      </c>
      <c r="C26" s="14" t="s">
        <v>1074</v>
      </c>
      <c r="D26" s="14" t="str">
        <f>"1,1251"</f>
        <v>1,1251</v>
      </c>
      <c r="E26" s="14" t="s">
        <v>18</v>
      </c>
      <c r="F26" s="14" t="s">
        <v>1075</v>
      </c>
      <c r="G26" s="16" t="s">
        <v>357</v>
      </c>
      <c r="H26" s="15" t="s">
        <v>357</v>
      </c>
      <c r="I26" s="16" t="s">
        <v>204</v>
      </c>
      <c r="J26" s="16"/>
      <c r="K26" s="14" t="str">
        <f>"60,0"</f>
        <v>60,0</v>
      </c>
      <c r="L26" s="15" t="str">
        <f>"70,4088"</f>
        <v>70,4088</v>
      </c>
      <c r="M26" s="14" t="s">
        <v>404</v>
      </c>
    </row>
    <row r="28" spans="1:13" ht="15" x14ac:dyDescent="0.2">
      <c r="A28" s="32" t="s">
        <v>358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3" x14ac:dyDescent="0.2">
      <c r="A29" s="9" t="s">
        <v>1077</v>
      </c>
      <c r="B29" s="9" t="s">
        <v>1078</v>
      </c>
      <c r="C29" s="9" t="s">
        <v>1079</v>
      </c>
      <c r="D29" s="9" t="str">
        <f>"1,0328"</f>
        <v>1,0328</v>
      </c>
      <c r="E29" s="9" t="s">
        <v>18</v>
      </c>
      <c r="F29" s="9" t="s">
        <v>19</v>
      </c>
      <c r="G29" s="10" t="s">
        <v>357</v>
      </c>
      <c r="H29" s="11" t="s">
        <v>376</v>
      </c>
      <c r="I29" s="10" t="s">
        <v>376</v>
      </c>
      <c r="J29" s="11"/>
      <c r="K29" s="9" t="str">
        <f>"62,5"</f>
        <v>62,5</v>
      </c>
      <c r="L29" s="10" t="str">
        <f>"64,5500"</f>
        <v>64,5500</v>
      </c>
      <c r="M29" s="9" t="s">
        <v>1051</v>
      </c>
    </row>
    <row r="30" spans="1:13" x14ac:dyDescent="0.2">
      <c r="A30" s="12" t="s">
        <v>1081</v>
      </c>
      <c r="B30" s="12" t="s">
        <v>1082</v>
      </c>
      <c r="C30" s="12" t="s">
        <v>1083</v>
      </c>
      <c r="D30" s="12" t="str">
        <f>"1,0576"</f>
        <v>1,0576</v>
      </c>
      <c r="E30" s="12" t="s">
        <v>18</v>
      </c>
      <c r="F30" s="12" t="s">
        <v>19</v>
      </c>
      <c r="G30" s="17" t="s">
        <v>204</v>
      </c>
      <c r="H30" s="17" t="s">
        <v>529</v>
      </c>
      <c r="I30" s="17" t="s">
        <v>564</v>
      </c>
      <c r="J30" s="13"/>
      <c r="K30" s="12" t="str">
        <f>"72,5"</f>
        <v>72,5</v>
      </c>
      <c r="L30" s="17" t="str">
        <f>"76,6760"</f>
        <v>76,6760</v>
      </c>
      <c r="M30" s="12" t="s">
        <v>1051</v>
      </c>
    </row>
    <row r="31" spans="1:13" x14ac:dyDescent="0.2">
      <c r="A31" s="12" t="s">
        <v>1085</v>
      </c>
      <c r="B31" s="12" t="s">
        <v>1086</v>
      </c>
      <c r="C31" s="12" t="s">
        <v>1087</v>
      </c>
      <c r="D31" s="12" t="str">
        <f>"1,0306"</f>
        <v>1,0306</v>
      </c>
      <c r="E31" s="12" t="s">
        <v>18</v>
      </c>
      <c r="F31" s="12" t="s">
        <v>395</v>
      </c>
      <c r="G31" s="17" t="s">
        <v>325</v>
      </c>
      <c r="H31" s="17" t="s">
        <v>337</v>
      </c>
      <c r="I31" s="17" t="s">
        <v>283</v>
      </c>
      <c r="J31" s="17" t="s">
        <v>326</v>
      </c>
      <c r="K31" s="12" t="str">
        <f>"97,5"</f>
        <v>97,5</v>
      </c>
      <c r="L31" s="17" t="str">
        <f>"100,4835"</f>
        <v>100,4835</v>
      </c>
      <c r="M31" s="12" t="s">
        <v>398</v>
      </c>
    </row>
    <row r="32" spans="1:13" x14ac:dyDescent="0.2">
      <c r="A32" s="12" t="s">
        <v>1089</v>
      </c>
      <c r="B32" s="12" t="s">
        <v>1090</v>
      </c>
      <c r="C32" s="12" t="s">
        <v>581</v>
      </c>
      <c r="D32" s="12" t="str">
        <f>"1,0272"</f>
        <v>1,0272</v>
      </c>
      <c r="E32" s="12" t="s">
        <v>18</v>
      </c>
      <c r="F32" s="12" t="s">
        <v>19</v>
      </c>
      <c r="G32" s="17" t="s">
        <v>364</v>
      </c>
      <c r="H32" s="17" t="s">
        <v>343</v>
      </c>
      <c r="I32" s="13" t="s">
        <v>357</v>
      </c>
      <c r="J32" s="13"/>
      <c r="K32" s="12" t="str">
        <f>"57,5"</f>
        <v>57,5</v>
      </c>
      <c r="L32" s="17" t="str">
        <f>"59,0640"</f>
        <v>59,0640</v>
      </c>
      <c r="M32" s="12" t="s">
        <v>1091</v>
      </c>
    </row>
    <row r="33" spans="1:13" x14ac:dyDescent="0.2">
      <c r="A33" s="12" t="s">
        <v>1093</v>
      </c>
      <c r="B33" s="12" t="s">
        <v>1094</v>
      </c>
      <c r="C33" s="12" t="s">
        <v>1095</v>
      </c>
      <c r="D33" s="12" t="str">
        <f>"1,0385"</f>
        <v>1,0385</v>
      </c>
      <c r="E33" s="12" t="s">
        <v>18</v>
      </c>
      <c r="F33" s="12" t="s">
        <v>363</v>
      </c>
      <c r="G33" s="17" t="s">
        <v>1096</v>
      </c>
      <c r="H33" s="17" t="s">
        <v>370</v>
      </c>
      <c r="I33" s="13" t="s">
        <v>334</v>
      </c>
      <c r="J33" s="13"/>
      <c r="K33" s="12" t="str">
        <f>"45,0"</f>
        <v>45,0</v>
      </c>
      <c r="L33" s="17" t="str">
        <f>"46,7325"</f>
        <v>46,7325</v>
      </c>
      <c r="M33" s="12" t="s">
        <v>233</v>
      </c>
    </row>
    <row r="34" spans="1:13" x14ac:dyDescent="0.2">
      <c r="A34" s="12" t="s">
        <v>1098</v>
      </c>
      <c r="B34" s="12" t="s">
        <v>1099</v>
      </c>
      <c r="C34" s="12" t="s">
        <v>1100</v>
      </c>
      <c r="D34" s="12" t="str">
        <f>"1,0491"</f>
        <v>1,0491</v>
      </c>
      <c r="E34" s="12" t="s">
        <v>18</v>
      </c>
      <c r="F34" s="12" t="s">
        <v>813</v>
      </c>
      <c r="G34" s="17" t="s">
        <v>357</v>
      </c>
      <c r="H34" s="13" t="s">
        <v>22</v>
      </c>
      <c r="I34" s="17" t="s">
        <v>204</v>
      </c>
      <c r="J34" s="13"/>
      <c r="K34" s="12" t="str">
        <f>"67,5"</f>
        <v>67,5</v>
      </c>
      <c r="L34" s="17" t="str">
        <f>"71,5224"</f>
        <v>71,5224</v>
      </c>
      <c r="M34" s="12" t="s">
        <v>221</v>
      </c>
    </row>
    <row r="35" spans="1:13" x14ac:dyDescent="0.2">
      <c r="A35" s="14" t="s">
        <v>1102</v>
      </c>
      <c r="B35" s="14" t="s">
        <v>1103</v>
      </c>
      <c r="C35" s="14" t="s">
        <v>593</v>
      </c>
      <c r="D35" s="14" t="str">
        <f>"1,0283"</f>
        <v>1,0283</v>
      </c>
      <c r="E35" s="14" t="s">
        <v>18</v>
      </c>
      <c r="F35" s="14" t="s">
        <v>1104</v>
      </c>
      <c r="G35" s="15" t="s">
        <v>564</v>
      </c>
      <c r="H35" s="16" t="s">
        <v>599</v>
      </c>
      <c r="I35" s="16" t="s">
        <v>599</v>
      </c>
      <c r="J35" s="16"/>
      <c r="K35" s="14" t="str">
        <f>"72,5"</f>
        <v>72,5</v>
      </c>
      <c r="L35" s="15" t="str">
        <f>"84,2435"</f>
        <v>84,2435</v>
      </c>
      <c r="M35" s="14" t="s">
        <v>1105</v>
      </c>
    </row>
    <row r="37" spans="1:13" ht="15" x14ac:dyDescent="0.2">
      <c r="A37" s="32" t="s">
        <v>13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3" x14ac:dyDescent="0.2">
      <c r="A38" s="9" t="s">
        <v>1107</v>
      </c>
      <c r="B38" s="9" t="s">
        <v>1108</v>
      </c>
      <c r="C38" s="9" t="s">
        <v>1109</v>
      </c>
      <c r="D38" s="9" t="str">
        <f>"0,9824"</f>
        <v>0,9824</v>
      </c>
      <c r="E38" s="9" t="s">
        <v>18</v>
      </c>
      <c r="F38" s="9" t="s">
        <v>19</v>
      </c>
      <c r="G38" s="10" t="s">
        <v>22</v>
      </c>
      <c r="H38" s="10" t="s">
        <v>529</v>
      </c>
      <c r="I38" s="11" t="s">
        <v>564</v>
      </c>
      <c r="J38" s="11"/>
      <c r="K38" s="9" t="str">
        <f>"70,0"</f>
        <v>70,0</v>
      </c>
      <c r="L38" s="10" t="str">
        <f>"68,7680"</f>
        <v>68,7680</v>
      </c>
      <c r="M38" s="9" t="s">
        <v>1110</v>
      </c>
    </row>
    <row r="39" spans="1:13" x14ac:dyDescent="0.2">
      <c r="A39" s="12" t="s">
        <v>1112</v>
      </c>
      <c r="B39" s="12" t="s">
        <v>1113</v>
      </c>
      <c r="C39" s="12" t="s">
        <v>955</v>
      </c>
      <c r="D39" s="12" t="str">
        <f>"0,9734"</f>
        <v>0,9734</v>
      </c>
      <c r="E39" s="12" t="s">
        <v>18</v>
      </c>
      <c r="F39" s="12" t="s">
        <v>19</v>
      </c>
      <c r="G39" s="13" t="s">
        <v>357</v>
      </c>
      <c r="H39" s="13" t="s">
        <v>357</v>
      </c>
      <c r="I39" s="17" t="s">
        <v>204</v>
      </c>
      <c r="J39" s="13"/>
      <c r="K39" s="12" t="str">
        <f>"67,5"</f>
        <v>67,5</v>
      </c>
      <c r="L39" s="17" t="str">
        <f>"65,7045"</f>
        <v>65,7045</v>
      </c>
      <c r="M39" s="12" t="s">
        <v>1114</v>
      </c>
    </row>
    <row r="40" spans="1:13" x14ac:dyDescent="0.2">
      <c r="A40" s="14" t="s">
        <v>1116</v>
      </c>
      <c r="B40" s="14" t="s">
        <v>1117</v>
      </c>
      <c r="C40" s="14" t="s">
        <v>1118</v>
      </c>
      <c r="D40" s="14" t="str">
        <f>"0,9604"</f>
        <v>0,9604</v>
      </c>
      <c r="E40" s="14" t="s">
        <v>18</v>
      </c>
      <c r="F40" s="14" t="s">
        <v>1119</v>
      </c>
      <c r="G40" s="15" t="s">
        <v>376</v>
      </c>
      <c r="H40" s="15" t="s">
        <v>22</v>
      </c>
      <c r="I40" s="16" t="s">
        <v>204</v>
      </c>
      <c r="J40" s="16"/>
      <c r="K40" s="14" t="str">
        <f>"65,0"</f>
        <v>65,0</v>
      </c>
      <c r="L40" s="15" t="str">
        <f>"62,4260"</f>
        <v>62,4260</v>
      </c>
      <c r="M40" s="14" t="s">
        <v>1120</v>
      </c>
    </row>
    <row r="42" spans="1:13" ht="15" x14ac:dyDescent="0.2">
      <c r="A42" s="32" t="s">
        <v>351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3" x14ac:dyDescent="0.2">
      <c r="A43" s="9" t="s">
        <v>1122</v>
      </c>
      <c r="B43" s="9" t="s">
        <v>1123</v>
      </c>
      <c r="C43" s="9" t="s">
        <v>1124</v>
      </c>
      <c r="D43" s="9" t="str">
        <f>"0,8529"</f>
        <v>0,8529</v>
      </c>
      <c r="E43" s="9" t="s">
        <v>18</v>
      </c>
      <c r="F43" s="9" t="s">
        <v>19</v>
      </c>
      <c r="G43" s="10" t="s">
        <v>328</v>
      </c>
      <c r="H43" s="10" t="s">
        <v>376</v>
      </c>
      <c r="I43" s="11" t="s">
        <v>22</v>
      </c>
      <c r="J43" s="11"/>
      <c r="K43" s="9" t="str">
        <f>"62,5"</f>
        <v>62,5</v>
      </c>
      <c r="L43" s="10" t="str">
        <f>"53,3063"</f>
        <v>53,3063</v>
      </c>
      <c r="M43" s="9" t="s">
        <v>1125</v>
      </c>
    </row>
    <row r="44" spans="1:13" x14ac:dyDescent="0.2">
      <c r="A44" s="14" t="s">
        <v>1127</v>
      </c>
      <c r="B44" s="14" t="s">
        <v>1128</v>
      </c>
      <c r="C44" s="14" t="s">
        <v>1124</v>
      </c>
      <c r="D44" s="14" t="str">
        <f>"0,8529"</f>
        <v>0,8529</v>
      </c>
      <c r="E44" s="14" t="s">
        <v>18</v>
      </c>
      <c r="F44" s="14" t="s">
        <v>19</v>
      </c>
      <c r="G44" s="15" t="s">
        <v>328</v>
      </c>
      <c r="H44" s="16" t="s">
        <v>357</v>
      </c>
      <c r="I44" s="16" t="s">
        <v>357</v>
      </c>
      <c r="J44" s="16"/>
      <c r="K44" s="14" t="str">
        <f>"55,0"</f>
        <v>55,0</v>
      </c>
      <c r="L44" s="15" t="str">
        <f>"46,9095"</f>
        <v>46,9095</v>
      </c>
      <c r="M44" s="14" t="s">
        <v>404</v>
      </c>
    </row>
    <row r="46" spans="1:13" ht="15" x14ac:dyDescent="0.2">
      <c r="A46" s="32" t="s">
        <v>358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3" x14ac:dyDescent="0.2">
      <c r="A47" s="9" t="s">
        <v>1130</v>
      </c>
      <c r="B47" s="9" t="s">
        <v>1131</v>
      </c>
      <c r="C47" s="9" t="s">
        <v>1132</v>
      </c>
      <c r="D47" s="9" t="str">
        <f>"0,7756"</f>
        <v>0,7756</v>
      </c>
      <c r="E47" s="9" t="s">
        <v>18</v>
      </c>
      <c r="F47" s="9" t="s">
        <v>833</v>
      </c>
      <c r="G47" s="10" t="s">
        <v>284</v>
      </c>
      <c r="H47" s="11" t="s">
        <v>95</v>
      </c>
      <c r="I47" s="11" t="s">
        <v>95</v>
      </c>
      <c r="J47" s="11"/>
      <c r="K47" s="9" t="str">
        <f>"102,5"</f>
        <v>102,5</v>
      </c>
      <c r="L47" s="10" t="str">
        <f>"79,4990"</f>
        <v>79,4990</v>
      </c>
      <c r="M47" s="9" t="s">
        <v>1133</v>
      </c>
    </row>
    <row r="48" spans="1:13" x14ac:dyDescent="0.2">
      <c r="A48" s="12" t="s">
        <v>1134</v>
      </c>
      <c r="B48" s="12" t="s">
        <v>1135</v>
      </c>
      <c r="C48" s="12" t="s">
        <v>752</v>
      </c>
      <c r="D48" s="12" t="str">
        <f>"0,7823"</f>
        <v>0,7823</v>
      </c>
      <c r="E48" s="12" t="s">
        <v>18</v>
      </c>
      <c r="F48" s="12" t="s">
        <v>19</v>
      </c>
      <c r="G48" s="17" t="s">
        <v>94</v>
      </c>
      <c r="H48" s="17" t="s">
        <v>95</v>
      </c>
      <c r="I48" s="13" t="s">
        <v>266</v>
      </c>
      <c r="J48" s="13"/>
      <c r="K48" s="12" t="str">
        <f>"110,0"</f>
        <v>110,0</v>
      </c>
      <c r="L48" s="17" t="str">
        <f>"86,0530"</f>
        <v>86,0530</v>
      </c>
      <c r="M48" s="12" t="s">
        <v>1136</v>
      </c>
    </row>
    <row r="49" spans="1:13" x14ac:dyDescent="0.2">
      <c r="A49" s="12" t="s">
        <v>1137</v>
      </c>
      <c r="B49" s="12" t="s">
        <v>1138</v>
      </c>
      <c r="C49" s="12" t="s">
        <v>1139</v>
      </c>
      <c r="D49" s="12" t="str">
        <f>"0,7710"</f>
        <v>0,7710</v>
      </c>
      <c r="E49" s="12" t="s">
        <v>18</v>
      </c>
      <c r="F49" s="12" t="s">
        <v>19</v>
      </c>
      <c r="G49" s="13" t="s">
        <v>284</v>
      </c>
      <c r="H49" s="17" t="s">
        <v>284</v>
      </c>
      <c r="I49" s="17" t="s">
        <v>95</v>
      </c>
      <c r="J49" s="13"/>
      <c r="K49" s="12" t="str">
        <f>"110,0"</f>
        <v>110,0</v>
      </c>
      <c r="L49" s="17" t="str">
        <f>"84,8100"</f>
        <v>84,8100</v>
      </c>
      <c r="M49" s="12" t="s">
        <v>1051</v>
      </c>
    </row>
    <row r="50" spans="1:13" x14ac:dyDescent="0.2">
      <c r="A50" s="14" t="s">
        <v>1140</v>
      </c>
      <c r="B50" s="14" t="s">
        <v>1141</v>
      </c>
      <c r="C50" s="14" t="s">
        <v>1083</v>
      </c>
      <c r="D50" s="14" t="str">
        <f>"0,8025"</f>
        <v>0,8025</v>
      </c>
      <c r="E50" s="14" t="s">
        <v>18</v>
      </c>
      <c r="F50" s="14" t="s">
        <v>1142</v>
      </c>
      <c r="G50" s="15" t="s">
        <v>533</v>
      </c>
      <c r="H50" s="15" t="s">
        <v>536</v>
      </c>
      <c r="I50" s="16" t="s">
        <v>326</v>
      </c>
      <c r="J50" s="16"/>
      <c r="K50" s="14" t="str">
        <f>"92,5"</f>
        <v>92,5</v>
      </c>
      <c r="L50" s="15" t="str">
        <f>"82,6194"</f>
        <v>82,6194</v>
      </c>
      <c r="M50" s="14" t="s">
        <v>1143</v>
      </c>
    </row>
    <row r="52" spans="1:13" ht="15" x14ac:dyDescent="0.2">
      <c r="A52" s="32" t="s">
        <v>13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3" x14ac:dyDescent="0.2">
      <c r="A53" s="9" t="s">
        <v>1145</v>
      </c>
      <c r="B53" s="9" t="s">
        <v>1146</v>
      </c>
      <c r="C53" s="9" t="s">
        <v>1118</v>
      </c>
      <c r="D53" s="9" t="str">
        <f>"0,7207"</f>
        <v>0,7207</v>
      </c>
      <c r="E53" s="9" t="s">
        <v>18</v>
      </c>
      <c r="F53" s="9" t="s">
        <v>19</v>
      </c>
      <c r="G53" s="10" t="s">
        <v>326</v>
      </c>
      <c r="H53" s="10" t="s">
        <v>95</v>
      </c>
      <c r="I53" s="10" t="s">
        <v>33</v>
      </c>
      <c r="J53" s="11"/>
      <c r="K53" s="9" t="str">
        <f>"120,0"</f>
        <v>120,0</v>
      </c>
      <c r="L53" s="10" t="str">
        <f>"86,4840"</f>
        <v>86,4840</v>
      </c>
      <c r="M53" s="9" t="s">
        <v>1147</v>
      </c>
    </row>
    <row r="54" spans="1:13" x14ac:dyDescent="0.2">
      <c r="A54" s="12" t="s">
        <v>1149</v>
      </c>
      <c r="B54" s="12" t="s">
        <v>1150</v>
      </c>
      <c r="C54" s="12" t="s">
        <v>1151</v>
      </c>
      <c r="D54" s="12" t="str">
        <f>"0,7179"</f>
        <v>0,7179</v>
      </c>
      <c r="E54" s="12" t="s">
        <v>18</v>
      </c>
      <c r="F54" s="12" t="s">
        <v>19</v>
      </c>
      <c r="G54" s="17" t="s">
        <v>52</v>
      </c>
      <c r="H54" s="17" t="s">
        <v>594</v>
      </c>
      <c r="I54" s="17" t="s">
        <v>20</v>
      </c>
      <c r="J54" s="13"/>
      <c r="K54" s="12" t="str">
        <f>"150,0"</f>
        <v>150,0</v>
      </c>
      <c r="L54" s="17" t="str">
        <f>"107,6850"</f>
        <v>107,6850</v>
      </c>
      <c r="M54" s="12" t="s">
        <v>54</v>
      </c>
    </row>
    <row r="55" spans="1:13" x14ac:dyDescent="0.2">
      <c r="A55" s="12" t="s">
        <v>1153</v>
      </c>
      <c r="B55" s="12" t="s">
        <v>1154</v>
      </c>
      <c r="C55" s="12" t="s">
        <v>598</v>
      </c>
      <c r="D55" s="12" t="str">
        <f>"0,7139"</f>
        <v>0,7139</v>
      </c>
      <c r="E55" s="12" t="s">
        <v>18</v>
      </c>
      <c r="F55" s="12" t="s">
        <v>19</v>
      </c>
      <c r="G55" s="17" t="s">
        <v>74</v>
      </c>
      <c r="H55" s="17" t="s">
        <v>52</v>
      </c>
      <c r="I55" s="13" t="s">
        <v>20</v>
      </c>
      <c r="J55" s="13"/>
      <c r="K55" s="12" t="str">
        <f>"145,0"</f>
        <v>145,0</v>
      </c>
      <c r="L55" s="17" t="str">
        <f>"103,5155"</f>
        <v>103,5155</v>
      </c>
      <c r="M55" s="12" t="s">
        <v>404</v>
      </c>
    </row>
    <row r="56" spans="1:13" x14ac:dyDescent="0.2">
      <c r="A56" s="12" t="s">
        <v>1156</v>
      </c>
      <c r="B56" s="12" t="s">
        <v>1157</v>
      </c>
      <c r="C56" s="12" t="s">
        <v>1158</v>
      </c>
      <c r="D56" s="12" t="str">
        <f>"0,7352"</f>
        <v>0,7352</v>
      </c>
      <c r="E56" s="12" t="s">
        <v>18</v>
      </c>
      <c r="F56" s="12" t="s">
        <v>19</v>
      </c>
      <c r="G56" s="17" t="s">
        <v>35</v>
      </c>
      <c r="H56" s="17" t="s">
        <v>74</v>
      </c>
      <c r="I56" s="13" t="s">
        <v>20</v>
      </c>
      <c r="J56" s="13"/>
      <c r="K56" s="12" t="str">
        <f>"140,0"</f>
        <v>140,0</v>
      </c>
      <c r="L56" s="17" t="str">
        <f>"102,9280"</f>
        <v>102,9280</v>
      </c>
      <c r="M56" s="12" t="s">
        <v>404</v>
      </c>
    </row>
    <row r="57" spans="1:13" x14ac:dyDescent="0.2">
      <c r="A57" s="12" t="s">
        <v>1160</v>
      </c>
      <c r="B57" s="12" t="s">
        <v>1161</v>
      </c>
      <c r="C57" s="12" t="s">
        <v>1162</v>
      </c>
      <c r="D57" s="12" t="str">
        <f>"0,7146"</f>
        <v>0,7146</v>
      </c>
      <c r="E57" s="12" t="s">
        <v>18</v>
      </c>
      <c r="F57" s="12" t="s">
        <v>19</v>
      </c>
      <c r="G57" s="17" t="s">
        <v>282</v>
      </c>
      <c r="H57" s="17" t="s">
        <v>349</v>
      </c>
      <c r="I57" s="13" t="s">
        <v>74</v>
      </c>
      <c r="J57" s="13"/>
      <c r="K57" s="12" t="str">
        <f>"137,5"</f>
        <v>137,5</v>
      </c>
      <c r="L57" s="17" t="str">
        <f>"98,2575"</f>
        <v>98,2575</v>
      </c>
      <c r="M57" s="12" t="s">
        <v>1163</v>
      </c>
    </row>
    <row r="58" spans="1:13" x14ac:dyDescent="0.2">
      <c r="A58" s="12" t="s">
        <v>1165</v>
      </c>
      <c r="B58" s="12" t="s">
        <v>1166</v>
      </c>
      <c r="C58" s="12" t="s">
        <v>1167</v>
      </c>
      <c r="D58" s="12" t="str">
        <f>"0,7214"</f>
        <v>0,7214</v>
      </c>
      <c r="E58" s="12" t="s">
        <v>18</v>
      </c>
      <c r="F58" s="12" t="s">
        <v>19</v>
      </c>
      <c r="G58" s="17" t="s">
        <v>35</v>
      </c>
      <c r="H58" s="17" t="s">
        <v>349</v>
      </c>
      <c r="I58" s="13"/>
      <c r="J58" s="13"/>
      <c r="K58" s="12" t="str">
        <f>"137,5"</f>
        <v>137,5</v>
      </c>
      <c r="L58" s="17" t="str">
        <f>"103,4578"</f>
        <v>103,4578</v>
      </c>
      <c r="M58" s="12" t="s">
        <v>1168</v>
      </c>
    </row>
    <row r="59" spans="1:13" x14ac:dyDescent="0.2">
      <c r="A59" s="12" t="s">
        <v>1169</v>
      </c>
      <c r="B59" s="12" t="s">
        <v>1170</v>
      </c>
      <c r="C59" s="12" t="s">
        <v>1171</v>
      </c>
      <c r="D59" s="12" t="str">
        <f>"0,7300"</f>
        <v>0,7300</v>
      </c>
      <c r="E59" s="12" t="s">
        <v>18</v>
      </c>
      <c r="F59" s="12" t="s">
        <v>563</v>
      </c>
      <c r="G59" s="17" t="s">
        <v>95</v>
      </c>
      <c r="H59" s="17" t="s">
        <v>356</v>
      </c>
      <c r="I59" s="17" t="s">
        <v>33</v>
      </c>
      <c r="J59" s="13"/>
      <c r="K59" s="12" t="str">
        <f>"120,0"</f>
        <v>120,0</v>
      </c>
      <c r="L59" s="17" t="str">
        <f>"97,4988"</f>
        <v>97,4988</v>
      </c>
      <c r="M59" s="12" t="s">
        <v>54</v>
      </c>
    </row>
    <row r="60" spans="1:13" x14ac:dyDescent="0.2">
      <c r="A60" s="12" t="s">
        <v>1173</v>
      </c>
      <c r="B60" s="12" t="s">
        <v>1174</v>
      </c>
      <c r="C60" s="12" t="s">
        <v>1175</v>
      </c>
      <c r="D60" s="12" t="str">
        <f>"0,7126"</f>
        <v>0,7126</v>
      </c>
      <c r="E60" s="12" t="s">
        <v>18</v>
      </c>
      <c r="F60" s="12" t="s">
        <v>19</v>
      </c>
      <c r="G60" s="17" t="s">
        <v>283</v>
      </c>
      <c r="H60" s="17" t="s">
        <v>284</v>
      </c>
      <c r="I60" s="13" t="s">
        <v>94</v>
      </c>
      <c r="J60" s="13"/>
      <c r="K60" s="12" t="str">
        <f>"102,5"</f>
        <v>102,5</v>
      </c>
      <c r="L60" s="17" t="str">
        <f>"128,2609"</f>
        <v>128,2609</v>
      </c>
      <c r="M60" s="12" t="s">
        <v>1176</v>
      </c>
    </row>
    <row r="61" spans="1:13" x14ac:dyDescent="0.2">
      <c r="A61" s="14" t="s">
        <v>1178</v>
      </c>
      <c r="B61" s="14" t="s">
        <v>1179</v>
      </c>
      <c r="C61" s="14" t="s">
        <v>1162</v>
      </c>
      <c r="D61" s="14" t="str">
        <f>"0,7146"</f>
        <v>0,7146</v>
      </c>
      <c r="E61" s="14" t="s">
        <v>18</v>
      </c>
      <c r="F61" s="14" t="s">
        <v>778</v>
      </c>
      <c r="G61" s="15" t="s">
        <v>23</v>
      </c>
      <c r="H61" s="15" t="s">
        <v>599</v>
      </c>
      <c r="I61" s="16" t="s">
        <v>335</v>
      </c>
      <c r="J61" s="16"/>
      <c r="K61" s="14" t="str">
        <f>"77,5"</f>
        <v>77,5</v>
      </c>
      <c r="L61" s="15" t="str">
        <f>"99,4098"</f>
        <v>99,4098</v>
      </c>
      <c r="M61" s="14" t="s">
        <v>1180</v>
      </c>
    </row>
    <row r="63" spans="1:13" ht="15" x14ac:dyDescent="0.2">
      <c r="A63" s="32" t="s">
        <v>390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1:13" x14ac:dyDescent="0.2">
      <c r="A64" s="9" t="s">
        <v>1182</v>
      </c>
      <c r="B64" s="9" t="s">
        <v>1183</v>
      </c>
      <c r="C64" s="9" t="s">
        <v>1184</v>
      </c>
      <c r="D64" s="9" t="str">
        <f>"0,6724"</f>
        <v>0,6724</v>
      </c>
      <c r="E64" s="9" t="s">
        <v>18</v>
      </c>
      <c r="F64" s="9" t="s">
        <v>19</v>
      </c>
      <c r="G64" s="10" t="s">
        <v>119</v>
      </c>
      <c r="H64" s="11" t="s">
        <v>112</v>
      </c>
      <c r="I64" s="10" t="s">
        <v>112</v>
      </c>
      <c r="J64" s="11"/>
      <c r="K64" s="9" t="str">
        <f>"175,0"</f>
        <v>175,0</v>
      </c>
      <c r="L64" s="10" t="str">
        <f>"117,6700"</f>
        <v>117,6700</v>
      </c>
      <c r="M64" s="9" t="s">
        <v>1185</v>
      </c>
    </row>
    <row r="65" spans="1:13" x14ac:dyDescent="0.2">
      <c r="A65" s="12" t="s">
        <v>1187</v>
      </c>
      <c r="B65" s="12" t="s">
        <v>1188</v>
      </c>
      <c r="C65" s="12" t="s">
        <v>1189</v>
      </c>
      <c r="D65" s="12" t="str">
        <f>"0,6714"</f>
        <v>0,6714</v>
      </c>
      <c r="E65" s="12" t="s">
        <v>18</v>
      </c>
      <c r="F65" s="12" t="s">
        <v>19</v>
      </c>
      <c r="G65" s="17" t="s">
        <v>74</v>
      </c>
      <c r="H65" s="17" t="s">
        <v>594</v>
      </c>
      <c r="I65" s="17" t="s">
        <v>20</v>
      </c>
      <c r="J65" s="13"/>
      <c r="K65" s="12" t="str">
        <f>"150,0"</f>
        <v>150,0</v>
      </c>
      <c r="L65" s="17" t="str">
        <f>"100,7100"</f>
        <v>100,7100</v>
      </c>
      <c r="M65" s="12" t="s">
        <v>1190</v>
      </c>
    </row>
    <row r="66" spans="1:13" x14ac:dyDescent="0.2">
      <c r="A66" s="12" t="s">
        <v>1191</v>
      </c>
      <c r="B66" s="12" t="s">
        <v>1192</v>
      </c>
      <c r="C66" s="12" t="s">
        <v>782</v>
      </c>
      <c r="D66" s="12" t="str">
        <f>"0,6699"</f>
        <v>0,6699</v>
      </c>
      <c r="E66" s="12" t="s">
        <v>18</v>
      </c>
      <c r="F66" s="12" t="s">
        <v>19</v>
      </c>
      <c r="G66" s="17" t="s">
        <v>74</v>
      </c>
      <c r="H66" s="13" t="s">
        <v>20</v>
      </c>
      <c r="I66" s="13" t="s">
        <v>20</v>
      </c>
      <c r="J66" s="13"/>
      <c r="K66" s="12" t="str">
        <f>"140,0"</f>
        <v>140,0</v>
      </c>
      <c r="L66" s="17" t="str">
        <f>"93,7860"</f>
        <v>93,7860</v>
      </c>
      <c r="M66" s="12" t="s">
        <v>1193</v>
      </c>
    </row>
    <row r="67" spans="1:13" x14ac:dyDescent="0.2">
      <c r="A67" s="12" t="s">
        <v>1194</v>
      </c>
      <c r="B67" s="12" t="s">
        <v>1195</v>
      </c>
      <c r="C67" s="12" t="s">
        <v>1196</v>
      </c>
      <c r="D67" s="12" t="str">
        <f>"0,6838"</f>
        <v>0,6838</v>
      </c>
      <c r="E67" s="12" t="s">
        <v>18</v>
      </c>
      <c r="F67" s="12" t="s">
        <v>19</v>
      </c>
      <c r="G67" s="17" t="s">
        <v>34</v>
      </c>
      <c r="H67" s="13" t="s">
        <v>35</v>
      </c>
      <c r="I67" s="13" t="s">
        <v>74</v>
      </c>
      <c r="J67" s="13"/>
      <c r="K67" s="12" t="str">
        <f>"130,0"</f>
        <v>130,0</v>
      </c>
      <c r="L67" s="17" t="str">
        <f>"88,8940"</f>
        <v>88,8940</v>
      </c>
      <c r="M67" s="12" t="s">
        <v>1197</v>
      </c>
    </row>
    <row r="68" spans="1:13" x14ac:dyDescent="0.2">
      <c r="A68" s="12" t="s">
        <v>1198</v>
      </c>
      <c r="B68" s="12" t="s">
        <v>1199</v>
      </c>
      <c r="C68" s="12" t="s">
        <v>1200</v>
      </c>
      <c r="D68" s="12" t="str">
        <f>"0,6709"</f>
        <v>0,6709</v>
      </c>
      <c r="E68" s="12" t="s">
        <v>18</v>
      </c>
      <c r="F68" s="12" t="s">
        <v>19</v>
      </c>
      <c r="G68" s="13" t="s">
        <v>43</v>
      </c>
      <c r="H68" s="13" t="s">
        <v>43</v>
      </c>
      <c r="I68" s="17" t="s">
        <v>34</v>
      </c>
      <c r="J68" s="13"/>
      <c r="K68" s="12" t="str">
        <f>"130,0"</f>
        <v>130,0</v>
      </c>
      <c r="L68" s="17" t="str">
        <f>"87,2170"</f>
        <v>87,2170</v>
      </c>
      <c r="M68" s="12" t="s">
        <v>1201</v>
      </c>
    </row>
    <row r="69" spans="1:13" x14ac:dyDescent="0.2">
      <c r="A69" s="12" t="s">
        <v>1202</v>
      </c>
      <c r="B69" s="12" t="s">
        <v>1203</v>
      </c>
      <c r="C69" s="12" t="s">
        <v>1184</v>
      </c>
      <c r="D69" s="12" t="str">
        <f>"0,6724"</f>
        <v>0,6724</v>
      </c>
      <c r="E69" s="12" t="s">
        <v>18</v>
      </c>
      <c r="F69" s="12" t="s">
        <v>19</v>
      </c>
      <c r="G69" s="17" t="s">
        <v>388</v>
      </c>
      <c r="H69" s="17" t="s">
        <v>281</v>
      </c>
      <c r="I69" s="17" t="s">
        <v>396</v>
      </c>
      <c r="J69" s="13"/>
      <c r="K69" s="12" t="str">
        <f>"127,5"</f>
        <v>127,5</v>
      </c>
      <c r="L69" s="17" t="str">
        <f>"85,7310"</f>
        <v>85,7310</v>
      </c>
      <c r="M69" s="12" t="s">
        <v>1204</v>
      </c>
    </row>
    <row r="70" spans="1:13" x14ac:dyDescent="0.2">
      <c r="A70" s="12" t="s">
        <v>1206</v>
      </c>
      <c r="B70" s="12" t="s">
        <v>1207</v>
      </c>
      <c r="C70" s="12" t="s">
        <v>794</v>
      </c>
      <c r="D70" s="12" t="str">
        <f>"0,6744"</f>
        <v>0,6744</v>
      </c>
      <c r="E70" s="12" t="s">
        <v>18</v>
      </c>
      <c r="F70" s="12" t="s">
        <v>843</v>
      </c>
      <c r="G70" s="17" t="s">
        <v>52</v>
      </c>
      <c r="H70" s="17" t="s">
        <v>20</v>
      </c>
      <c r="I70" s="17" t="s">
        <v>239</v>
      </c>
      <c r="J70" s="13"/>
      <c r="K70" s="12" t="str">
        <f>"155,0"</f>
        <v>155,0</v>
      </c>
      <c r="L70" s="17" t="str">
        <f>"113,1036"</f>
        <v>113,1036</v>
      </c>
      <c r="M70" s="12" t="s">
        <v>1208</v>
      </c>
    </row>
    <row r="71" spans="1:13" x14ac:dyDescent="0.2">
      <c r="A71" s="12" t="s">
        <v>1210</v>
      </c>
      <c r="B71" s="12" t="s">
        <v>1211</v>
      </c>
      <c r="C71" s="12" t="s">
        <v>1212</v>
      </c>
      <c r="D71" s="12" t="str">
        <f>"0,7029"</f>
        <v>0,7029</v>
      </c>
      <c r="E71" s="12" t="s">
        <v>18</v>
      </c>
      <c r="F71" s="12" t="s">
        <v>231</v>
      </c>
      <c r="G71" s="17" t="s">
        <v>35</v>
      </c>
      <c r="H71" s="17" t="s">
        <v>74</v>
      </c>
      <c r="I71" s="17" t="s">
        <v>52</v>
      </c>
      <c r="J71" s="13"/>
      <c r="K71" s="12" t="str">
        <f>"145,0"</f>
        <v>145,0</v>
      </c>
      <c r="L71" s="17" t="str">
        <f>"113,4375"</f>
        <v>113,4375</v>
      </c>
      <c r="M71" s="12" t="s">
        <v>54</v>
      </c>
    </row>
    <row r="72" spans="1:13" x14ac:dyDescent="0.2">
      <c r="A72" s="12" t="s">
        <v>1213</v>
      </c>
      <c r="B72" s="12" t="s">
        <v>1214</v>
      </c>
      <c r="C72" s="12" t="s">
        <v>1215</v>
      </c>
      <c r="D72" s="12" t="str">
        <f>"0,6759"</f>
        <v>0,6759</v>
      </c>
      <c r="E72" s="12" t="s">
        <v>18</v>
      </c>
      <c r="F72" s="12" t="s">
        <v>1216</v>
      </c>
      <c r="G72" s="17" t="s">
        <v>281</v>
      </c>
      <c r="H72" s="17" t="s">
        <v>43</v>
      </c>
      <c r="I72" s="13" t="s">
        <v>34</v>
      </c>
      <c r="J72" s="13"/>
      <c r="K72" s="12" t="str">
        <f>"125,0"</f>
        <v>125,0</v>
      </c>
      <c r="L72" s="17" t="str">
        <f>"105,2714"</f>
        <v>105,2714</v>
      </c>
      <c r="M72" s="12" t="s">
        <v>54</v>
      </c>
    </row>
    <row r="73" spans="1:13" x14ac:dyDescent="0.2">
      <c r="A73" s="14" t="s">
        <v>1218</v>
      </c>
      <c r="B73" s="14" t="s">
        <v>1219</v>
      </c>
      <c r="C73" s="14" t="s">
        <v>1220</v>
      </c>
      <c r="D73" s="14" t="str">
        <f>"0,6922"</f>
        <v>0,6922</v>
      </c>
      <c r="E73" s="14" t="s">
        <v>18</v>
      </c>
      <c r="F73" s="14" t="s">
        <v>843</v>
      </c>
      <c r="G73" s="16" t="s">
        <v>33</v>
      </c>
      <c r="H73" s="16" t="s">
        <v>33</v>
      </c>
      <c r="I73" s="15" t="s">
        <v>33</v>
      </c>
      <c r="J73" s="16"/>
      <c r="K73" s="14" t="str">
        <f>"120,0"</f>
        <v>120,0</v>
      </c>
      <c r="L73" s="15" t="str">
        <f>"115,7082"</f>
        <v>115,7082</v>
      </c>
      <c r="M73" s="14" t="s">
        <v>1221</v>
      </c>
    </row>
    <row r="75" spans="1:13" ht="15" x14ac:dyDescent="0.2">
      <c r="A75" s="32" t="s">
        <v>26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1:13" x14ac:dyDescent="0.2">
      <c r="A76" s="9" t="s">
        <v>1223</v>
      </c>
      <c r="B76" s="9" t="s">
        <v>1224</v>
      </c>
      <c r="C76" s="9" t="s">
        <v>1225</v>
      </c>
      <c r="D76" s="9" t="str">
        <f>"0,6444"</f>
        <v>0,6444</v>
      </c>
      <c r="E76" s="9" t="s">
        <v>18</v>
      </c>
      <c r="F76" s="9" t="s">
        <v>19</v>
      </c>
      <c r="G76" s="10" t="s">
        <v>238</v>
      </c>
      <c r="H76" s="10" t="s">
        <v>76</v>
      </c>
      <c r="I76" s="10" t="s">
        <v>24</v>
      </c>
      <c r="J76" s="11"/>
      <c r="K76" s="9" t="str">
        <f>"170,0"</f>
        <v>170,0</v>
      </c>
      <c r="L76" s="10" t="str">
        <f>"109,5480"</f>
        <v>109,5480</v>
      </c>
      <c r="M76" s="9" t="s">
        <v>1226</v>
      </c>
    </row>
    <row r="77" spans="1:13" x14ac:dyDescent="0.2">
      <c r="A77" s="12" t="s">
        <v>1228</v>
      </c>
      <c r="B77" s="12" t="s">
        <v>1229</v>
      </c>
      <c r="C77" s="12" t="s">
        <v>1230</v>
      </c>
      <c r="D77" s="12" t="str">
        <f>"0,6495"</f>
        <v>0,6495</v>
      </c>
      <c r="E77" s="12" t="s">
        <v>18</v>
      </c>
      <c r="F77" s="12" t="s">
        <v>19</v>
      </c>
      <c r="G77" s="17" t="s">
        <v>20</v>
      </c>
      <c r="H77" s="13" t="s">
        <v>75</v>
      </c>
      <c r="I77" s="17" t="s">
        <v>75</v>
      </c>
      <c r="J77" s="13"/>
      <c r="K77" s="12" t="str">
        <f>"157,5"</f>
        <v>157,5</v>
      </c>
      <c r="L77" s="17" t="str">
        <f>"102,2963"</f>
        <v>102,2963</v>
      </c>
      <c r="M77" s="12" t="s">
        <v>1231</v>
      </c>
    </row>
    <row r="78" spans="1:13" x14ac:dyDescent="0.2">
      <c r="A78" s="12" t="s">
        <v>1233</v>
      </c>
      <c r="B78" s="12" t="s">
        <v>1234</v>
      </c>
      <c r="C78" s="12" t="s">
        <v>807</v>
      </c>
      <c r="D78" s="12" t="str">
        <f>"0,6491"</f>
        <v>0,6491</v>
      </c>
      <c r="E78" s="12" t="s">
        <v>18</v>
      </c>
      <c r="F78" s="12" t="s">
        <v>19</v>
      </c>
      <c r="G78" s="17" t="s">
        <v>74</v>
      </c>
      <c r="H78" s="13" t="s">
        <v>239</v>
      </c>
      <c r="I78" s="17" t="s">
        <v>239</v>
      </c>
      <c r="J78" s="13"/>
      <c r="K78" s="12" t="str">
        <f>"155,0"</f>
        <v>155,0</v>
      </c>
      <c r="L78" s="17" t="str">
        <f>"100,6105"</f>
        <v>100,6105</v>
      </c>
      <c r="M78" s="12" t="s">
        <v>1235</v>
      </c>
    </row>
    <row r="79" spans="1:13" x14ac:dyDescent="0.2">
      <c r="A79" s="12" t="s">
        <v>1237</v>
      </c>
      <c r="B79" s="12" t="s">
        <v>1238</v>
      </c>
      <c r="C79" s="12" t="s">
        <v>1239</v>
      </c>
      <c r="D79" s="12" t="str">
        <f>"0,6475"</f>
        <v>0,6475</v>
      </c>
      <c r="E79" s="12" t="s">
        <v>18</v>
      </c>
      <c r="F79" s="12" t="s">
        <v>625</v>
      </c>
      <c r="G79" s="17" t="s">
        <v>52</v>
      </c>
      <c r="H79" s="17" t="s">
        <v>20</v>
      </c>
      <c r="I79" s="17" t="s">
        <v>239</v>
      </c>
      <c r="J79" s="13"/>
      <c r="K79" s="12" t="str">
        <f>"155,0"</f>
        <v>155,0</v>
      </c>
      <c r="L79" s="17" t="str">
        <f>"100,3625"</f>
        <v>100,3625</v>
      </c>
      <c r="M79" s="12" t="s">
        <v>1240</v>
      </c>
    </row>
    <row r="80" spans="1:13" x14ac:dyDescent="0.2">
      <c r="A80" s="12" t="s">
        <v>1241</v>
      </c>
      <c r="B80" s="12" t="s">
        <v>633</v>
      </c>
      <c r="C80" s="12" t="s">
        <v>634</v>
      </c>
      <c r="D80" s="12" t="str">
        <f>"0,6463"</f>
        <v>0,6463</v>
      </c>
      <c r="E80" s="12" t="s">
        <v>18</v>
      </c>
      <c r="F80" s="12" t="s">
        <v>635</v>
      </c>
      <c r="G80" s="17" t="s">
        <v>20</v>
      </c>
      <c r="H80" s="17" t="s">
        <v>239</v>
      </c>
      <c r="I80" s="13" t="s">
        <v>21</v>
      </c>
      <c r="J80" s="13"/>
      <c r="K80" s="12" t="str">
        <f>"155,0"</f>
        <v>155,0</v>
      </c>
      <c r="L80" s="17" t="str">
        <f>"100,1765"</f>
        <v>100,1765</v>
      </c>
      <c r="M80" s="12" t="s">
        <v>637</v>
      </c>
    </row>
    <row r="81" spans="1:13" x14ac:dyDescent="0.2">
      <c r="A81" s="12" t="s">
        <v>1243</v>
      </c>
      <c r="B81" s="12" t="s">
        <v>1244</v>
      </c>
      <c r="C81" s="12" t="s">
        <v>629</v>
      </c>
      <c r="D81" s="12" t="str">
        <f>"0,6440"</f>
        <v>0,6440</v>
      </c>
      <c r="E81" s="12" t="s">
        <v>18</v>
      </c>
      <c r="F81" s="12" t="s">
        <v>276</v>
      </c>
      <c r="G81" s="17" t="s">
        <v>52</v>
      </c>
      <c r="H81" s="17" t="s">
        <v>239</v>
      </c>
      <c r="I81" s="13" t="s">
        <v>141</v>
      </c>
      <c r="J81" s="13"/>
      <c r="K81" s="12" t="str">
        <f>"155,0"</f>
        <v>155,0</v>
      </c>
      <c r="L81" s="17" t="str">
        <f>"99,8200"</f>
        <v>99,8200</v>
      </c>
      <c r="M81" s="12" t="s">
        <v>1245</v>
      </c>
    </row>
    <row r="82" spans="1:13" x14ac:dyDescent="0.2">
      <c r="A82" s="12" t="s">
        <v>1246</v>
      </c>
      <c r="B82" s="12" t="s">
        <v>1247</v>
      </c>
      <c r="C82" s="12" t="s">
        <v>1248</v>
      </c>
      <c r="D82" s="12" t="str">
        <f>"0,6459"</f>
        <v>0,6459</v>
      </c>
      <c r="E82" s="12" t="s">
        <v>18</v>
      </c>
      <c r="F82" s="12" t="s">
        <v>415</v>
      </c>
      <c r="G82" s="13" t="s">
        <v>74</v>
      </c>
      <c r="H82" s="13" t="s">
        <v>52</v>
      </c>
      <c r="I82" s="17" t="s">
        <v>52</v>
      </c>
      <c r="J82" s="13"/>
      <c r="K82" s="12" t="str">
        <f>"145,0"</f>
        <v>145,0</v>
      </c>
      <c r="L82" s="17" t="str">
        <f>"93,6555"</f>
        <v>93,6555</v>
      </c>
      <c r="M82" s="12" t="s">
        <v>416</v>
      </c>
    </row>
    <row r="83" spans="1:13" x14ac:dyDescent="0.2">
      <c r="A83" s="12" t="s">
        <v>1249</v>
      </c>
      <c r="B83" s="12" t="s">
        <v>1250</v>
      </c>
      <c r="C83" s="12" t="s">
        <v>1251</v>
      </c>
      <c r="D83" s="12" t="str">
        <f>"0,6424"</f>
        <v>0,6424</v>
      </c>
      <c r="E83" s="12" t="s">
        <v>18</v>
      </c>
      <c r="F83" s="12" t="s">
        <v>19</v>
      </c>
      <c r="G83" s="17" t="s">
        <v>35</v>
      </c>
      <c r="H83" s="17" t="s">
        <v>52</v>
      </c>
      <c r="I83" s="13" t="s">
        <v>85</v>
      </c>
      <c r="J83" s="13"/>
      <c r="K83" s="12" t="str">
        <f>"145,0"</f>
        <v>145,0</v>
      </c>
      <c r="L83" s="17" t="str">
        <f>"93,1480"</f>
        <v>93,1480</v>
      </c>
      <c r="M83" s="12" t="s">
        <v>1252</v>
      </c>
    </row>
    <row r="84" spans="1:13" x14ac:dyDescent="0.2">
      <c r="A84" s="12" t="s">
        <v>1253</v>
      </c>
      <c r="B84" s="12" t="s">
        <v>1254</v>
      </c>
      <c r="C84" s="12" t="s">
        <v>408</v>
      </c>
      <c r="D84" s="12" t="str">
        <f>"0,6388"</f>
        <v>0,6388</v>
      </c>
      <c r="E84" s="12" t="s">
        <v>18</v>
      </c>
      <c r="F84" s="12" t="s">
        <v>19</v>
      </c>
      <c r="G84" s="17" t="s">
        <v>74</v>
      </c>
      <c r="H84" s="13" t="s">
        <v>238</v>
      </c>
      <c r="I84" s="13" t="s">
        <v>238</v>
      </c>
      <c r="J84" s="13"/>
      <c r="K84" s="12" t="str">
        <f>"140,0"</f>
        <v>140,0</v>
      </c>
      <c r="L84" s="17" t="str">
        <f>"89,4320"</f>
        <v>89,4320</v>
      </c>
      <c r="M84" s="12" t="s">
        <v>1255</v>
      </c>
    </row>
    <row r="85" spans="1:13" x14ac:dyDescent="0.2">
      <c r="A85" s="12" t="s">
        <v>1256</v>
      </c>
      <c r="B85" s="12" t="s">
        <v>1257</v>
      </c>
      <c r="C85" s="12" t="s">
        <v>1258</v>
      </c>
      <c r="D85" s="12" t="str">
        <f>"0,6519"</f>
        <v>0,6519</v>
      </c>
      <c r="E85" s="12" t="s">
        <v>18</v>
      </c>
      <c r="F85" s="12" t="s">
        <v>19</v>
      </c>
      <c r="G85" s="13" t="s">
        <v>281</v>
      </c>
      <c r="H85" s="13" t="s">
        <v>281</v>
      </c>
      <c r="I85" s="17" t="s">
        <v>281</v>
      </c>
      <c r="J85" s="13"/>
      <c r="K85" s="12" t="str">
        <f>"122,5"</f>
        <v>122,5</v>
      </c>
      <c r="L85" s="17" t="str">
        <f>"79,8577"</f>
        <v>79,8577</v>
      </c>
      <c r="M85" s="12" t="s">
        <v>1036</v>
      </c>
    </row>
    <row r="86" spans="1:13" x14ac:dyDescent="0.2">
      <c r="A86" s="12" t="s">
        <v>1260</v>
      </c>
      <c r="B86" s="12" t="s">
        <v>1261</v>
      </c>
      <c r="C86" s="12" t="s">
        <v>817</v>
      </c>
      <c r="D86" s="12" t="str">
        <f>"0,6447"</f>
        <v>0,6447</v>
      </c>
      <c r="E86" s="12" t="s">
        <v>18</v>
      </c>
      <c r="F86" s="12" t="s">
        <v>19</v>
      </c>
      <c r="G86" s="17" t="s">
        <v>20</v>
      </c>
      <c r="H86" s="17" t="s">
        <v>24</v>
      </c>
      <c r="I86" s="13" t="s">
        <v>112</v>
      </c>
      <c r="J86" s="13"/>
      <c r="K86" s="12" t="str">
        <f>"170,0"</f>
        <v>170,0</v>
      </c>
      <c r="L86" s="17" t="str">
        <f>"109,5990"</f>
        <v>109,5990</v>
      </c>
      <c r="M86" s="12" t="s">
        <v>1262</v>
      </c>
    </row>
    <row r="87" spans="1:13" x14ac:dyDescent="0.2">
      <c r="A87" s="12" t="s">
        <v>1263</v>
      </c>
      <c r="B87" s="12" t="s">
        <v>1264</v>
      </c>
      <c r="C87" s="12" t="s">
        <v>1265</v>
      </c>
      <c r="D87" s="12" t="str">
        <f>"0,6421"</f>
        <v>0,6421</v>
      </c>
      <c r="E87" s="12" t="s">
        <v>18</v>
      </c>
      <c r="F87" s="12" t="s">
        <v>886</v>
      </c>
      <c r="G87" s="13" t="s">
        <v>141</v>
      </c>
      <c r="H87" s="13" t="s">
        <v>141</v>
      </c>
      <c r="I87" s="13" t="s">
        <v>141</v>
      </c>
      <c r="J87" s="13"/>
      <c r="K87" s="12" t="str">
        <f>"0.00"</f>
        <v>0.00</v>
      </c>
      <c r="L87" s="17" t="str">
        <f>"0,0000"</f>
        <v>0,0000</v>
      </c>
      <c r="M87" s="12" t="s">
        <v>1266</v>
      </c>
    </row>
    <row r="88" spans="1:13" x14ac:dyDescent="0.2">
      <c r="A88" s="12" t="s">
        <v>1267</v>
      </c>
      <c r="B88" s="12" t="s">
        <v>1268</v>
      </c>
      <c r="C88" s="12" t="s">
        <v>817</v>
      </c>
      <c r="D88" s="12" t="str">
        <f>"0,6447"</f>
        <v>0,6447</v>
      </c>
      <c r="E88" s="12" t="s">
        <v>18</v>
      </c>
      <c r="F88" s="12" t="s">
        <v>1269</v>
      </c>
      <c r="G88" s="17" t="s">
        <v>74</v>
      </c>
      <c r="H88" s="13" t="s">
        <v>52</v>
      </c>
      <c r="I88" s="13" t="s">
        <v>52</v>
      </c>
      <c r="J88" s="13"/>
      <c r="K88" s="12" t="str">
        <f>"140,0"</f>
        <v>140,0</v>
      </c>
      <c r="L88" s="17" t="str">
        <f>"99,0130"</f>
        <v>99,0130</v>
      </c>
      <c r="M88" s="12" t="s">
        <v>54</v>
      </c>
    </row>
    <row r="89" spans="1:13" x14ac:dyDescent="0.2">
      <c r="A89" s="12" t="s">
        <v>1270</v>
      </c>
      <c r="B89" s="12" t="s">
        <v>1271</v>
      </c>
      <c r="C89" s="12" t="s">
        <v>1272</v>
      </c>
      <c r="D89" s="12" t="str">
        <f>"0,6428"</f>
        <v>0,6428</v>
      </c>
      <c r="E89" s="12" t="s">
        <v>18</v>
      </c>
      <c r="F89" s="12" t="s">
        <v>19</v>
      </c>
      <c r="G89" s="17" t="s">
        <v>388</v>
      </c>
      <c r="H89" s="17" t="s">
        <v>396</v>
      </c>
      <c r="I89" s="17" t="s">
        <v>34</v>
      </c>
      <c r="J89" s="13"/>
      <c r="K89" s="12" t="str">
        <f>"130,0"</f>
        <v>130,0</v>
      </c>
      <c r="L89" s="17" t="str">
        <f>"88,1600"</f>
        <v>88,1600</v>
      </c>
      <c r="M89" s="12" t="s">
        <v>1273</v>
      </c>
    </row>
    <row r="90" spans="1:13" x14ac:dyDescent="0.2">
      <c r="A90" s="12" t="s">
        <v>1275</v>
      </c>
      <c r="B90" s="12" t="s">
        <v>1276</v>
      </c>
      <c r="C90" s="12" t="s">
        <v>629</v>
      </c>
      <c r="D90" s="12" t="str">
        <f>"0,6440"</f>
        <v>0,6440</v>
      </c>
      <c r="E90" s="12" t="s">
        <v>18</v>
      </c>
      <c r="F90" s="12" t="s">
        <v>19</v>
      </c>
      <c r="G90" s="17" t="s">
        <v>239</v>
      </c>
      <c r="H90" s="17" t="s">
        <v>21</v>
      </c>
      <c r="I90" s="13" t="s">
        <v>76</v>
      </c>
      <c r="J90" s="13"/>
      <c r="K90" s="12" t="str">
        <f>"160,0"</f>
        <v>160,0</v>
      </c>
      <c r="L90" s="17" t="str">
        <f>"120,0416"</f>
        <v>120,0416</v>
      </c>
      <c r="M90" s="12" t="s">
        <v>54</v>
      </c>
    </row>
    <row r="91" spans="1:13" x14ac:dyDescent="0.2">
      <c r="A91" s="12" t="s">
        <v>1278</v>
      </c>
      <c r="B91" s="12" t="s">
        <v>1279</v>
      </c>
      <c r="C91" s="12" t="s">
        <v>807</v>
      </c>
      <c r="D91" s="12" t="str">
        <f>"0,6491"</f>
        <v>0,6491</v>
      </c>
      <c r="E91" s="12" t="s">
        <v>18</v>
      </c>
      <c r="F91" s="12" t="s">
        <v>1280</v>
      </c>
      <c r="G91" s="13" t="s">
        <v>20</v>
      </c>
      <c r="H91" s="17" t="s">
        <v>20</v>
      </c>
      <c r="I91" s="13" t="s">
        <v>239</v>
      </c>
      <c r="J91" s="13"/>
      <c r="K91" s="12" t="str">
        <f>"150,0"</f>
        <v>150,0</v>
      </c>
      <c r="L91" s="17" t="str">
        <f>"117,2275"</f>
        <v>117,2275</v>
      </c>
      <c r="M91" s="12" t="s">
        <v>1281</v>
      </c>
    </row>
    <row r="92" spans="1:13" x14ac:dyDescent="0.2">
      <c r="A92" s="12" t="s">
        <v>1282</v>
      </c>
      <c r="B92" s="12" t="s">
        <v>1283</v>
      </c>
      <c r="C92" s="12" t="s">
        <v>1284</v>
      </c>
      <c r="D92" s="12" t="str">
        <f>"0,6391"</f>
        <v>0,6391</v>
      </c>
      <c r="E92" s="12" t="s">
        <v>18</v>
      </c>
      <c r="F92" s="12" t="s">
        <v>19</v>
      </c>
      <c r="G92" s="13" t="s">
        <v>326</v>
      </c>
      <c r="H92" s="13" t="s">
        <v>326</v>
      </c>
      <c r="I92" s="13" t="s">
        <v>326</v>
      </c>
      <c r="J92" s="13"/>
      <c r="K92" s="12" t="str">
        <f>"0.00"</f>
        <v>0.00</v>
      </c>
      <c r="L92" s="17" t="str">
        <f>"0,0000"</f>
        <v>0,0000</v>
      </c>
      <c r="M92" s="12" t="s">
        <v>1285</v>
      </c>
    </row>
    <row r="93" spans="1:13" x14ac:dyDescent="0.2">
      <c r="A93" s="12" t="s">
        <v>1287</v>
      </c>
      <c r="B93" s="12" t="s">
        <v>1288</v>
      </c>
      <c r="C93" s="12" t="s">
        <v>1289</v>
      </c>
      <c r="D93" s="12" t="str">
        <f>"0,6545"</f>
        <v>0,6545</v>
      </c>
      <c r="E93" s="12" t="s">
        <v>18</v>
      </c>
      <c r="F93" s="12" t="s">
        <v>1119</v>
      </c>
      <c r="G93" s="17" t="s">
        <v>34</v>
      </c>
      <c r="H93" s="17" t="s">
        <v>35</v>
      </c>
      <c r="I93" s="13" t="s">
        <v>74</v>
      </c>
      <c r="J93" s="13"/>
      <c r="K93" s="12" t="str">
        <f>"135,0"</f>
        <v>135,0</v>
      </c>
      <c r="L93" s="17" t="str">
        <f>"116,1901"</f>
        <v>116,1901</v>
      </c>
      <c r="M93" s="12" t="s">
        <v>1120</v>
      </c>
    </row>
    <row r="94" spans="1:13" x14ac:dyDescent="0.2">
      <c r="A94" s="12" t="s">
        <v>1291</v>
      </c>
      <c r="B94" s="12" t="s">
        <v>1292</v>
      </c>
      <c r="C94" s="12" t="s">
        <v>1293</v>
      </c>
      <c r="D94" s="12" t="str">
        <f>"0,6413"</f>
        <v>0,6413</v>
      </c>
      <c r="E94" s="12" t="s">
        <v>18</v>
      </c>
      <c r="F94" s="12" t="s">
        <v>19</v>
      </c>
      <c r="G94" s="17" t="s">
        <v>33</v>
      </c>
      <c r="H94" s="13" t="s">
        <v>43</v>
      </c>
      <c r="I94" s="13" t="s">
        <v>43</v>
      </c>
      <c r="J94" s="13"/>
      <c r="K94" s="12" t="str">
        <f>"120,0"</f>
        <v>120,0</v>
      </c>
      <c r="L94" s="17" t="str">
        <f>"107,1997"</f>
        <v>107,1997</v>
      </c>
      <c r="M94" s="12" t="s">
        <v>1294</v>
      </c>
    </row>
    <row r="95" spans="1:13" x14ac:dyDescent="0.2">
      <c r="A95" s="14" t="s">
        <v>1295</v>
      </c>
      <c r="B95" s="14" t="s">
        <v>1296</v>
      </c>
      <c r="C95" s="14" t="s">
        <v>1248</v>
      </c>
      <c r="D95" s="14" t="str">
        <f>"0,6459"</f>
        <v>0,6459</v>
      </c>
      <c r="E95" s="14" t="s">
        <v>18</v>
      </c>
      <c r="F95" s="14" t="s">
        <v>1297</v>
      </c>
      <c r="G95" s="15" t="s">
        <v>337</v>
      </c>
      <c r="H95" s="15" t="s">
        <v>326</v>
      </c>
      <c r="I95" s="15" t="s">
        <v>94</v>
      </c>
      <c r="J95" s="16"/>
      <c r="K95" s="14" t="str">
        <f>"105,0"</f>
        <v>105,0</v>
      </c>
      <c r="L95" s="15" t="str">
        <f>"100,3729"</f>
        <v>100,3729</v>
      </c>
      <c r="M95" s="14" t="s">
        <v>54</v>
      </c>
    </row>
    <row r="97" spans="1:13" ht="15" x14ac:dyDescent="0.2">
      <c r="A97" s="32" t="s">
        <v>55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3" x14ac:dyDescent="0.2">
      <c r="A98" s="9" t="s">
        <v>1299</v>
      </c>
      <c r="B98" s="9" t="s">
        <v>1300</v>
      </c>
      <c r="C98" s="9" t="s">
        <v>1301</v>
      </c>
      <c r="D98" s="9" t="str">
        <f>"0,6174"</f>
        <v>0,6174</v>
      </c>
      <c r="E98" s="9" t="s">
        <v>18</v>
      </c>
      <c r="F98" s="9" t="s">
        <v>348</v>
      </c>
      <c r="G98" s="11" t="s">
        <v>325</v>
      </c>
      <c r="H98" s="10" t="s">
        <v>325</v>
      </c>
      <c r="I98" s="11" t="s">
        <v>326</v>
      </c>
      <c r="J98" s="11"/>
      <c r="K98" s="9" t="str">
        <f>"90,0"</f>
        <v>90,0</v>
      </c>
      <c r="L98" s="10" t="str">
        <f>"55,5660"</f>
        <v>55,5660</v>
      </c>
      <c r="M98" s="9" t="s">
        <v>1302</v>
      </c>
    </row>
    <row r="99" spans="1:13" x14ac:dyDescent="0.2">
      <c r="A99" s="12" t="s">
        <v>1304</v>
      </c>
      <c r="B99" s="12" t="s">
        <v>1305</v>
      </c>
      <c r="C99" s="12" t="s">
        <v>1306</v>
      </c>
      <c r="D99" s="12" t="str">
        <f>"0,6144"</f>
        <v>0,6144</v>
      </c>
      <c r="E99" s="12" t="s">
        <v>18</v>
      </c>
      <c r="F99" s="12" t="s">
        <v>1307</v>
      </c>
      <c r="G99" s="17" t="s">
        <v>94</v>
      </c>
      <c r="H99" s="17" t="s">
        <v>356</v>
      </c>
      <c r="I99" s="17" t="s">
        <v>396</v>
      </c>
      <c r="J99" s="13"/>
      <c r="K99" s="12" t="str">
        <f>"127,5"</f>
        <v>127,5</v>
      </c>
      <c r="L99" s="17" t="str">
        <f>"78,3360"</f>
        <v>78,3360</v>
      </c>
      <c r="M99" s="12" t="s">
        <v>1308</v>
      </c>
    </row>
    <row r="100" spans="1:13" x14ac:dyDescent="0.2">
      <c r="A100" s="12" t="s">
        <v>1310</v>
      </c>
      <c r="B100" s="12" t="s">
        <v>1311</v>
      </c>
      <c r="C100" s="12" t="s">
        <v>1312</v>
      </c>
      <c r="D100" s="12" t="str">
        <f>"0,6250"</f>
        <v>0,6250</v>
      </c>
      <c r="E100" s="12" t="s">
        <v>18</v>
      </c>
      <c r="F100" s="12" t="s">
        <v>19</v>
      </c>
      <c r="G100" s="17" t="s">
        <v>20</v>
      </c>
      <c r="H100" s="13" t="s">
        <v>21</v>
      </c>
      <c r="I100" s="17" t="s">
        <v>21</v>
      </c>
      <c r="J100" s="13"/>
      <c r="K100" s="12" t="str">
        <f>"160,0"</f>
        <v>160,0</v>
      </c>
      <c r="L100" s="17" t="str">
        <f>"100,0000"</f>
        <v>100,0000</v>
      </c>
      <c r="M100" s="12" t="s">
        <v>1313</v>
      </c>
    </row>
    <row r="101" spans="1:13" x14ac:dyDescent="0.2">
      <c r="A101" s="12" t="s">
        <v>1315</v>
      </c>
      <c r="B101" s="12" t="s">
        <v>1316</v>
      </c>
      <c r="C101" s="12" t="s">
        <v>243</v>
      </c>
      <c r="D101" s="12" t="str">
        <f>"0,6091"</f>
        <v>0,6091</v>
      </c>
      <c r="E101" s="12" t="s">
        <v>18</v>
      </c>
      <c r="F101" s="12" t="s">
        <v>1317</v>
      </c>
      <c r="G101" s="17" t="s">
        <v>75</v>
      </c>
      <c r="H101" s="13" t="s">
        <v>76</v>
      </c>
      <c r="I101" s="13" t="s">
        <v>76</v>
      </c>
      <c r="J101" s="13"/>
      <c r="K101" s="12" t="str">
        <f>"157,5"</f>
        <v>157,5</v>
      </c>
      <c r="L101" s="17" t="str">
        <f>"95,9332"</f>
        <v>95,9332</v>
      </c>
      <c r="M101" s="12" t="s">
        <v>1318</v>
      </c>
    </row>
    <row r="102" spans="1:13" x14ac:dyDescent="0.2">
      <c r="A102" s="12" t="s">
        <v>1319</v>
      </c>
      <c r="B102" s="12" t="s">
        <v>1320</v>
      </c>
      <c r="C102" s="12" t="s">
        <v>1321</v>
      </c>
      <c r="D102" s="12" t="str">
        <f>"0,6098"</f>
        <v>0,6098</v>
      </c>
      <c r="E102" s="12" t="s">
        <v>18</v>
      </c>
      <c r="F102" s="12" t="s">
        <v>1322</v>
      </c>
      <c r="G102" s="17" t="s">
        <v>20</v>
      </c>
      <c r="H102" s="13" t="s">
        <v>21</v>
      </c>
      <c r="I102" s="13" t="s">
        <v>76</v>
      </c>
      <c r="J102" s="13"/>
      <c r="K102" s="12" t="str">
        <f>"150,0"</f>
        <v>150,0</v>
      </c>
      <c r="L102" s="17" t="str">
        <f>"91,4700"</f>
        <v>91,4700</v>
      </c>
      <c r="M102" s="12" t="s">
        <v>404</v>
      </c>
    </row>
    <row r="103" spans="1:13" x14ac:dyDescent="0.2">
      <c r="A103" s="12" t="s">
        <v>1323</v>
      </c>
      <c r="B103" s="12" t="s">
        <v>1324</v>
      </c>
      <c r="C103" s="12" t="s">
        <v>1325</v>
      </c>
      <c r="D103" s="12" t="str">
        <f>"0,6223"</f>
        <v>0,6223</v>
      </c>
      <c r="E103" s="12" t="s">
        <v>18</v>
      </c>
      <c r="F103" s="12" t="s">
        <v>843</v>
      </c>
      <c r="G103" s="13" t="s">
        <v>35</v>
      </c>
      <c r="H103" s="13" t="s">
        <v>35</v>
      </c>
      <c r="I103" s="13" t="s">
        <v>35</v>
      </c>
      <c r="J103" s="13"/>
      <c r="K103" s="12" t="str">
        <f>"0.00"</f>
        <v>0.00</v>
      </c>
      <c r="L103" s="17" t="str">
        <f>"0,0000"</f>
        <v>0,0000</v>
      </c>
      <c r="M103" s="12" t="s">
        <v>1326</v>
      </c>
    </row>
    <row r="104" spans="1:13" x14ac:dyDescent="0.2">
      <c r="A104" s="12" t="s">
        <v>1327</v>
      </c>
      <c r="B104" s="12" t="s">
        <v>1328</v>
      </c>
      <c r="C104" s="12" t="s">
        <v>1329</v>
      </c>
      <c r="D104" s="12" t="str">
        <f>"0,6116"</f>
        <v>0,6116</v>
      </c>
      <c r="E104" s="12" t="s">
        <v>18</v>
      </c>
      <c r="F104" s="12" t="s">
        <v>19</v>
      </c>
      <c r="G104" s="17" t="s">
        <v>75</v>
      </c>
      <c r="H104" s="17" t="s">
        <v>76</v>
      </c>
      <c r="I104" s="13" t="s">
        <v>24</v>
      </c>
      <c r="J104" s="13"/>
      <c r="K104" s="12" t="str">
        <f>"165,0"</f>
        <v>165,0</v>
      </c>
      <c r="L104" s="17" t="str">
        <f>"105,2533"</f>
        <v>105,2533</v>
      </c>
      <c r="M104" s="12" t="s">
        <v>54</v>
      </c>
    </row>
    <row r="105" spans="1:13" x14ac:dyDescent="0.2">
      <c r="A105" s="12" t="s">
        <v>1330</v>
      </c>
      <c r="B105" s="12" t="s">
        <v>1331</v>
      </c>
      <c r="C105" s="12" t="s">
        <v>961</v>
      </c>
      <c r="D105" s="12" t="str">
        <f>"0,6163"</f>
        <v>0,6163</v>
      </c>
      <c r="E105" s="12" t="s">
        <v>18</v>
      </c>
      <c r="F105" s="12" t="s">
        <v>625</v>
      </c>
      <c r="G105" s="17" t="s">
        <v>34</v>
      </c>
      <c r="H105" s="17" t="s">
        <v>349</v>
      </c>
      <c r="I105" s="13" t="s">
        <v>74</v>
      </c>
      <c r="J105" s="13"/>
      <c r="K105" s="12" t="str">
        <f>"137,5"</f>
        <v>137,5</v>
      </c>
      <c r="L105" s="17" t="str">
        <f>"88,3851"</f>
        <v>88,3851</v>
      </c>
      <c r="M105" s="12" t="s">
        <v>1332</v>
      </c>
    </row>
    <row r="106" spans="1:13" x14ac:dyDescent="0.2">
      <c r="A106" s="12" t="s">
        <v>1333</v>
      </c>
      <c r="B106" s="12" t="s">
        <v>1334</v>
      </c>
      <c r="C106" s="12" t="s">
        <v>434</v>
      </c>
      <c r="D106" s="12" t="str">
        <f>"0,6131"</f>
        <v>0,6131</v>
      </c>
      <c r="E106" s="12" t="s">
        <v>18</v>
      </c>
      <c r="F106" s="12" t="s">
        <v>1335</v>
      </c>
      <c r="G106" s="13" t="s">
        <v>74</v>
      </c>
      <c r="H106" s="17" t="s">
        <v>52</v>
      </c>
      <c r="I106" s="17" t="s">
        <v>594</v>
      </c>
      <c r="J106" s="13"/>
      <c r="K106" s="12" t="str">
        <f>"147,5"</f>
        <v>147,5</v>
      </c>
      <c r="L106" s="17" t="str">
        <f>"96,5816"</f>
        <v>96,5816</v>
      </c>
      <c r="M106" s="12" t="s">
        <v>1336</v>
      </c>
    </row>
    <row r="107" spans="1:13" x14ac:dyDescent="0.2">
      <c r="A107" s="12" t="s">
        <v>1337</v>
      </c>
      <c r="B107" s="12" t="s">
        <v>1338</v>
      </c>
      <c r="C107" s="12" t="s">
        <v>440</v>
      </c>
      <c r="D107" s="12" t="str">
        <f>"0,6260"</f>
        <v>0,6260</v>
      </c>
      <c r="E107" s="12" t="s">
        <v>18</v>
      </c>
      <c r="F107" s="12" t="s">
        <v>778</v>
      </c>
      <c r="G107" s="17" t="s">
        <v>34</v>
      </c>
      <c r="H107" s="13" t="s">
        <v>35</v>
      </c>
      <c r="I107" s="13" t="s">
        <v>35</v>
      </c>
      <c r="J107" s="13"/>
      <c r="K107" s="12" t="str">
        <f>"130,0"</f>
        <v>130,0</v>
      </c>
      <c r="L107" s="17" t="str">
        <f>"85,8559"</f>
        <v>85,8559</v>
      </c>
      <c r="M107" s="12" t="s">
        <v>1339</v>
      </c>
    </row>
    <row r="108" spans="1:13" x14ac:dyDescent="0.2">
      <c r="A108" s="12" t="s">
        <v>1341</v>
      </c>
      <c r="B108" s="12" t="s">
        <v>1342</v>
      </c>
      <c r="C108" s="12" t="s">
        <v>1306</v>
      </c>
      <c r="D108" s="12" t="str">
        <f>"0,6144"</f>
        <v>0,6144</v>
      </c>
      <c r="E108" s="12" t="s">
        <v>18</v>
      </c>
      <c r="F108" s="12" t="s">
        <v>19</v>
      </c>
      <c r="G108" s="17" t="s">
        <v>52</v>
      </c>
      <c r="H108" s="17" t="s">
        <v>85</v>
      </c>
      <c r="I108" s="17" t="s">
        <v>239</v>
      </c>
      <c r="J108" s="13"/>
      <c r="K108" s="12" t="str">
        <f>"155,0"</f>
        <v>155,0</v>
      </c>
      <c r="L108" s="17" t="str">
        <f>"114,6593"</f>
        <v>114,6593</v>
      </c>
      <c r="M108" s="12" t="s">
        <v>1343</v>
      </c>
    </row>
    <row r="109" spans="1:13" x14ac:dyDescent="0.2">
      <c r="A109" s="12" t="s">
        <v>1344</v>
      </c>
      <c r="B109" s="12" t="s">
        <v>2145</v>
      </c>
      <c r="C109" s="12" t="s">
        <v>83</v>
      </c>
      <c r="D109" s="12" t="str">
        <f>"0,6113"</f>
        <v>0,6113</v>
      </c>
      <c r="E109" s="12" t="s">
        <v>18</v>
      </c>
      <c r="F109" s="12" t="s">
        <v>19</v>
      </c>
      <c r="G109" s="13" t="s">
        <v>34</v>
      </c>
      <c r="H109" s="17" t="s">
        <v>34</v>
      </c>
      <c r="I109" s="13" t="s">
        <v>35</v>
      </c>
      <c r="J109" s="13"/>
      <c r="K109" s="12" t="str">
        <f>"130,0"</f>
        <v>130,0</v>
      </c>
      <c r="L109" s="17" t="str">
        <f>"104,5017"</f>
        <v>104,5017</v>
      </c>
      <c r="M109" s="12" t="s">
        <v>404</v>
      </c>
    </row>
    <row r="110" spans="1:13" x14ac:dyDescent="0.2">
      <c r="A110" s="14" t="s">
        <v>1346</v>
      </c>
      <c r="B110" s="14" t="s">
        <v>1347</v>
      </c>
      <c r="C110" s="14" t="s">
        <v>1348</v>
      </c>
      <c r="D110" s="14" t="str">
        <f>"0,6126"</f>
        <v>0,6126</v>
      </c>
      <c r="E110" s="14" t="s">
        <v>18</v>
      </c>
      <c r="F110" s="14" t="s">
        <v>1349</v>
      </c>
      <c r="G110" s="16" t="s">
        <v>349</v>
      </c>
      <c r="H110" s="15" t="s">
        <v>349</v>
      </c>
      <c r="I110" s="15" t="s">
        <v>238</v>
      </c>
      <c r="J110" s="16"/>
      <c r="K110" s="14" t="str">
        <f>"142,5"</f>
        <v>142,5</v>
      </c>
      <c r="L110" s="15" t="str">
        <f>"114,7936"</f>
        <v>114,7936</v>
      </c>
      <c r="M110" s="14" t="s">
        <v>1350</v>
      </c>
    </row>
    <row r="112" spans="1:13" ht="15" x14ac:dyDescent="0.2">
      <c r="A112" s="32" t="s">
        <v>97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3" x14ac:dyDescent="0.2">
      <c r="A113" s="9" t="s">
        <v>657</v>
      </c>
      <c r="B113" s="9" t="s">
        <v>658</v>
      </c>
      <c r="C113" s="9" t="s">
        <v>659</v>
      </c>
      <c r="D113" s="9" t="str">
        <f>"0,5937"</f>
        <v>0,5937</v>
      </c>
      <c r="E113" s="9" t="s">
        <v>18</v>
      </c>
      <c r="F113" s="9" t="s">
        <v>19</v>
      </c>
      <c r="G113" s="10" t="s">
        <v>42</v>
      </c>
      <c r="H113" s="10" t="s">
        <v>53</v>
      </c>
      <c r="I113" s="11" t="s">
        <v>660</v>
      </c>
      <c r="J113" s="11"/>
      <c r="K113" s="9" t="str">
        <f>"200,0"</f>
        <v>200,0</v>
      </c>
      <c r="L113" s="10" t="str">
        <f>"118,7400"</f>
        <v>118,7400</v>
      </c>
      <c r="M113" s="9" t="s">
        <v>661</v>
      </c>
    </row>
    <row r="114" spans="1:13" x14ac:dyDescent="0.2">
      <c r="A114" s="12" t="s">
        <v>1352</v>
      </c>
      <c r="B114" s="12" t="s">
        <v>1353</v>
      </c>
      <c r="C114" s="12" t="s">
        <v>1354</v>
      </c>
      <c r="D114" s="12" t="str">
        <f>"0,6024"</f>
        <v>0,6024</v>
      </c>
      <c r="E114" s="12" t="s">
        <v>18</v>
      </c>
      <c r="F114" s="12" t="s">
        <v>1322</v>
      </c>
      <c r="G114" s="17" t="s">
        <v>49</v>
      </c>
      <c r="H114" s="13" t="s">
        <v>42</v>
      </c>
      <c r="I114" s="13" t="s">
        <v>42</v>
      </c>
      <c r="J114" s="13"/>
      <c r="K114" s="12" t="str">
        <f>"185,0"</f>
        <v>185,0</v>
      </c>
      <c r="L114" s="17" t="str">
        <f>"111,4440"</f>
        <v>111,4440</v>
      </c>
      <c r="M114" s="12" t="s">
        <v>1355</v>
      </c>
    </row>
    <row r="115" spans="1:13" x14ac:dyDescent="0.2">
      <c r="A115" s="12" t="s">
        <v>1357</v>
      </c>
      <c r="B115" s="12" t="s">
        <v>1358</v>
      </c>
      <c r="C115" s="12" t="s">
        <v>1359</v>
      </c>
      <c r="D115" s="12" t="str">
        <f>"0,5919"</f>
        <v>0,5919</v>
      </c>
      <c r="E115" s="12" t="s">
        <v>18</v>
      </c>
      <c r="F115" s="12" t="s">
        <v>231</v>
      </c>
      <c r="G115" s="17" t="s">
        <v>24</v>
      </c>
      <c r="H115" s="17" t="s">
        <v>403</v>
      </c>
      <c r="I115" s="13" t="s">
        <v>135</v>
      </c>
      <c r="J115" s="13"/>
      <c r="K115" s="12" t="str">
        <f>"177,5"</f>
        <v>177,5</v>
      </c>
      <c r="L115" s="17" t="str">
        <f>"105,0622"</f>
        <v>105,0622</v>
      </c>
      <c r="M115" s="12" t="s">
        <v>1360</v>
      </c>
    </row>
    <row r="116" spans="1:13" x14ac:dyDescent="0.2">
      <c r="A116" s="12" t="s">
        <v>1362</v>
      </c>
      <c r="B116" s="12" t="s">
        <v>1363</v>
      </c>
      <c r="C116" s="12" t="s">
        <v>1364</v>
      </c>
      <c r="D116" s="12" t="str">
        <f>"0,5962"</f>
        <v>0,5962</v>
      </c>
      <c r="E116" s="12" t="s">
        <v>18</v>
      </c>
      <c r="F116" s="12" t="s">
        <v>1317</v>
      </c>
      <c r="G116" s="17" t="s">
        <v>76</v>
      </c>
      <c r="H116" s="17" t="s">
        <v>24</v>
      </c>
      <c r="I116" s="13" t="s">
        <v>403</v>
      </c>
      <c r="J116" s="13"/>
      <c r="K116" s="12" t="str">
        <f>"170,0"</f>
        <v>170,0</v>
      </c>
      <c r="L116" s="17" t="str">
        <f>"101,3540"</f>
        <v>101,3540</v>
      </c>
      <c r="M116" s="12" t="s">
        <v>221</v>
      </c>
    </row>
    <row r="117" spans="1:13" x14ac:dyDescent="0.2">
      <c r="A117" s="12" t="s">
        <v>1365</v>
      </c>
      <c r="B117" s="12" t="s">
        <v>1366</v>
      </c>
      <c r="C117" s="12" t="s">
        <v>1367</v>
      </c>
      <c r="D117" s="12" t="str">
        <f>"0,5964"</f>
        <v>0,5964</v>
      </c>
      <c r="E117" s="12" t="s">
        <v>18</v>
      </c>
      <c r="F117" s="12" t="s">
        <v>19</v>
      </c>
      <c r="G117" s="13" t="s">
        <v>20</v>
      </c>
      <c r="H117" s="17" t="s">
        <v>20</v>
      </c>
      <c r="I117" s="13" t="s">
        <v>21</v>
      </c>
      <c r="J117" s="13"/>
      <c r="K117" s="12" t="str">
        <f>"150,0"</f>
        <v>150,0</v>
      </c>
      <c r="L117" s="17" t="str">
        <f>"89,4600"</f>
        <v>89,4600</v>
      </c>
      <c r="M117" s="12" t="s">
        <v>54</v>
      </c>
    </row>
    <row r="118" spans="1:13" x14ac:dyDescent="0.2">
      <c r="A118" s="12" t="s">
        <v>1369</v>
      </c>
      <c r="B118" s="12" t="s">
        <v>1331</v>
      </c>
      <c r="C118" s="12" t="s">
        <v>1370</v>
      </c>
      <c r="D118" s="12" t="str">
        <f>"0,5970"</f>
        <v>0,5970</v>
      </c>
      <c r="E118" s="12" t="s">
        <v>18</v>
      </c>
      <c r="F118" s="12" t="s">
        <v>843</v>
      </c>
      <c r="G118" s="17" t="s">
        <v>135</v>
      </c>
      <c r="H118" s="17" t="s">
        <v>1371</v>
      </c>
      <c r="I118" s="13" t="s">
        <v>42</v>
      </c>
      <c r="J118" s="13"/>
      <c r="K118" s="12" t="str">
        <f>"187,5"</f>
        <v>187,5</v>
      </c>
      <c r="L118" s="17" t="str">
        <f>"116,7508"</f>
        <v>116,7508</v>
      </c>
      <c r="M118" s="12" t="s">
        <v>901</v>
      </c>
    </row>
    <row r="119" spans="1:13" x14ac:dyDescent="0.2">
      <c r="A119" s="12" t="s">
        <v>1373</v>
      </c>
      <c r="B119" s="12" t="s">
        <v>1374</v>
      </c>
      <c r="C119" s="12" t="s">
        <v>1375</v>
      </c>
      <c r="D119" s="12" t="str">
        <f>"0,5990"</f>
        <v>0,5990</v>
      </c>
      <c r="E119" s="12" t="s">
        <v>18</v>
      </c>
      <c r="F119" s="12" t="s">
        <v>19</v>
      </c>
      <c r="G119" s="17" t="s">
        <v>21</v>
      </c>
      <c r="H119" s="17" t="s">
        <v>24</v>
      </c>
      <c r="I119" s="17" t="s">
        <v>112</v>
      </c>
      <c r="J119" s="13"/>
      <c r="K119" s="12" t="str">
        <f>"175,0"</f>
        <v>175,0</v>
      </c>
      <c r="L119" s="17" t="str">
        <f>"109,3325"</f>
        <v>109,3325</v>
      </c>
      <c r="M119" s="12" t="s">
        <v>1376</v>
      </c>
    </row>
    <row r="120" spans="1:13" x14ac:dyDescent="0.2">
      <c r="A120" s="12" t="s">
        <v>1378</v>
      </c>
      <c r="B120" s="12" t="s">
        <v>1379</v>
      </c>
      <c r="C120" s="12" t="s">
        <v>1380</v>
      </c>
      <c r="D120" s="12" t="str">
        <f>"0,5954"</f>
        <v>0,5954</v>
      </c>
      <c r="E120" s="12" t="s">
        <v>18</v>
      </c>
      <c r="F120" s="12" t="s">
        <v>843</v>
      </c>
      <c r="G120" s="17" t="s">
        <v>76</v>
      </c>
      <c r="H120" s="17" t="s">
        <v>24</v>
      </c>
      <c r="I120" s="17" t="s">
        <v>112</v>
      </c>
      <c r="J120" s="13"/>
      <c r="K120" s="12" t="str">
        <f>"175,0"</f>
        <v>175,0</v>
      </c>
      <c r="L120" s="17" t="str">
        <f>"107,4250"</f>
        <v>107,4250</v>
      </c>
      <c r="M120" s="12" t="s">
        <v>1221</v>
      </c>
    </row>
    <row r="121" spans="1:13" x14ac:dyDescent="0.2">
      <c r="A121" s="12" t="s">
        <v>1382</v>
      </c>
      <c r="B121" s="12" t="s">
        <v>1383</v>
      </c>
      <c r="C121" s="12" t="s">
        <v>1384</v>
      </c>
      <c r="D121" s="12" t="str">
        <f>"0,5933"</f>
        <v>0,5933</v>
      </c>
      <c r="E121" s="12" t="s">
        <v>18</v>
      </c>
      <c r="F121" s="12" t="s">
        <v>19</v>
      </c>
      <c r="G121" s="17" t="s">
        <v>63</v>
      </c>
      <c r="H121" s="17" t="s">
        <v>49</v>
      </c>
      <c r="I121" s="17" t="s">
        <v>1371</v>
      </c>
      <c r="J121" s="13" t="s">
        <v>1385</v>
      </c>
      <c r="K121" s="12" t="str">
        <f>"187,5"</f>
        <v>187,5</v>
      </c>
      <c r="L121" s="17" t="str">
        <f>"123,8143"</f>
        <v>123,8143</v>
      </c>
      <c r="M121" s="12" t="s">
        <v>404</v>
      </c>
    </row>
    <row r="122" spans="1:13" x14ac:dyDescent="0.2">
      <c r="A122" s="12" t="s">
        <v>1387</v>
      </c>
      <c r="B122" s="12" t="s">
        <v>1388</v>
      </c>
      <c r="C122" s="12" t="s">
        <v>1389</v>
      </c>
      <c r="D122" s="12" t="str">
        <f>"0,5909"</f>
        <v>0,5909</v>
      </c>
      <c r="E122" s="12" t="s">
        <v>18</v>
      </c>
      <c r="F122" s="12" t="s">
        <v>563</v>
      </c>
      <c r="G122" s="17" t="s">
        <v>24</v>
      </c>
      <c r="H122" s="13" t="s">
        <v>112</v>
      </c>
      <c r="I122" s="13" t="s">
        <v>112</v>
      </c>
      <c r="J122" s="13"/>
      <c r="K122" s="12" t="str">
        <f>"170,0"</f>
        <v>170,0</v>
      </c>
      <c r="L122" s="17" t="str">
        <f>"111,8042"</f>
        <v>111,8042</v>
      </c>
      <c r="M122" s="12" t="s">
        <v>1067</v>
      </c>
    </row>
    <row r="123" spans="1:13" x14ac:dyDescent="0.2">
      <c r="A123" s="12" t="s">
        <v>1390</v>
      </c>
      <c r="B123" s="12" t="s">
        <v>1391</v>
      </c>
      <c r="C123" s="12" t="s">
        <v>1392</v>
      </c>
      <c r="D123" s="12" t="str">
        <f>"0,5939"</f>
        <v>0,5939</v>
      </c>
      <c r="E123" s="12" t="s">
        <v>18</v>
      </c>
      <c r="F123" s="12" t="s">
        <v>1393</v>
      </c>
      <c r="G123" s="17" t="s">
        <v>20</v>
      </c>
      <c r="H123" s="17" t="s">
        <v>239</v>
      </c>
      <c r="I123" s="17" t="s">
        <v>21</v>
      </c>
      <c r="J123" s="13"/>
      <c r="K123" s="12" t="str">
        <f>"160,0"</f>
        <v>160,0</v>
      </c>
      <c r="L123" s="17" t="str">
        <f>"105,7617"</f>
        <v>105,7617</v>
      </c>
      <c r="M123" s="12" t="s">
        <v>1394</v>
      </c>
    </row>
    <row r="124" spans="1:13" x14ac:dyDescent="0.2">
      <c r="A124" s="12" t="s">
        <v>1396</v>
      </c>
      <c r="B124" s="12" t="s">
        <v>1397</v>
      </c>
      <c r="C124" s="12" t="s">
        <v>1389</v>
      </c>
      <c r="D124" s="12" t="str">
        <f>"0,5909"</f>
        <v>0,5909</v>
      </c>
      <c r="E124" s="12" t="s">
        <v>18</v>
      </c>
      <c r="F124" s="12" t="s">
        <v>19</v>
      </c>
      <c r="G124" s="17" t="s">
        <v>142</v>
      </c>
      <c r="H124" s="17" t="s">
        <v>403</v>
      </c>
      <c r="I124" s="13" t="s">
        <v>135</v>
      </c>
      <c r="J124" s="13"/>
      <c r="K124" s="12" t="str">
        <f>"177,5"</f>
        <v>177,5</v>
      </c>
      <c r="L124" s="17" t="str">
        <f>"118,5198"</f>
        <v>118,5198</v>
      </c>
      <c r="M124" s="12" t="s">
        <v>1398</v>
      </c>
    </row>
    <row r="125" spans="1:13" x14ac:dyDescent="0.2">
      <c r="A125" s="12" t="s">
        <v>1400</v>
      </c>
      <c r="B125" s="12" t="s">
        <v>1401</v>
      </c>
      <c r="C125" s="12" t="s">
        <v>254</v>
      </c>
      <c r="D125" s="12" t="str">
        <f>"0,5903"</f>
        <v>0,5903</v>
      </c>
      <c r="E125" s="12" t="s">
        <v>18</v>
      </c>
      <c r="F125" s="12" t="s">
        <v>19</v>
      </c>
      <c r="G125" s="17" t="s">
        <v>21</v>
      </c>
      <c r="H125" s="13" t="s">
        <v>119</v>
      </c>
      <c r="I125" s="13" t="s">
        <v>119</v>
      </c>
      <c r="J125" s="13"/>
      <c r="K125" s="12" t="str">
        <f>"160,0"</f>
        <v>160,0</v>
      </c>
      <c r="L125" s="17" t="str">
        <f>"106,7262"</f>
        <v>106,7262</v>
      </c>
      <c r="M125" s="12" t="s">
        <v>54</v>
      </c>
    </row>
    <row r="126" spans="1:13" x14ac:dyDescent="0.2">
      <c r="A126" s="12" t="s">
        <v>1402</v>
      </c>
      <c r="B126" s="12" t="s">
        <v>1403</v>
      </c>
      <c r="C126" s="12" t="s">
        <v>1404</v>
      </c>
      <c r="D126" s="12" t="str">
        <f>"0,5996"</f>
        <v>0,5996</v>
      </c>
      <c r="E126" s="12" t="s">
        <v>18</v>
      </c>
      <c r="F126" s="12" t="s">
        <v>1335</v>
      </c>
      <c r="G126" s="17" t="s">
        <v>34</v>
      </c>
      <c r="H126" s="17" t="s">
        <v>35</v>
      </c>
      <c r="I126" s="13"/>
      <c r="J126" s="13"/>
      <c r="K126" s="12" t="str">
        <f>"135,0"</f>
        <v>135,0</v>
      </c>
      <c r="L126" s="17" t="str">
        <f>"99,1589"</f>
        <v>99,1589</v>
      </c>
      <c r="M126" s="12" t="s">
        <v>404</v>
      </c>
    </row>
    <row r="127" spans="1:13" x14ac:dyDescent="0.2">
      <c r="A127" s="12" t="s">
        <v>1405</v>
      </c>
      <c r="B127" s="12" t="s">
        <v>1406</v>
      </c>
      <c r="C127" s="12" t="s">
        <v>1359</v>
      </c>
      <c r="D127" s="12" t="str">
        <f>"0,5919"</f>
        <v>0,5919</v>
      </c>
      <c r="E127" s="12" t="s">
        <v>18</v>
      </c>
      <c r="F127" s="12" t="s">
        <v>1407</v>
      </c>
      <c r="G127" s="13" t="s">
        <v>34</v>
      </c>
      <c r="H127" s="13" t="s">
        <v>34</v>
      </c>
      <c r="I127" s="17" t="s">
        <v>34</v>
      </c>
      <c r="J127" s="13"/>
      <c r="K127" s="12" t="str">
        <f>"130,0"</f>
        <v>130,0</v>
      </c>
      <c r="L127" s="17" t="str">
        <f>"103,1090"</f>
        <v>103,1090</v>
      </c>
      <c r="M127" s="12" t="s">
        <v>1408</v>
      </c>
    </row>
    <row r="128" spans="1:13" x14ac:dyDescent="0.2">
      <c r="A128" s="14" t="s">
        <v>1410</v>
      </c>
      <c r="B128" s="14" t="s">
        <v>1411</v>
      </c>
      <c r="C128" s="14" t="s">
        <v>1359</v>
      </c>
      <c r="D128" s="14" t="str">
        <f>"0,5919"</f>
        <v>0,5919</v>
      </c>
      <c r="E128" s="14" t="s">
        <v>18</v>
      </c>
      <c r="F128" s="14" t="s">
        <v>1119</v>
      </c>
      <c r="G128" s="15" t="s">
        <v>74</v>
      </c>
      <c r="H128" s="15" t="s">
        <v>52</v>
      </c>
      <c r="I128" s="16" t="s">
        <v>20</v>
      </c>
      <c r="J128" s="16"/>
      <c r="K128" s="14" t="str">
        <f>"145,0"</f>
        <v>145,0</v>
      </c>
      <c r="L128" s="15" t="str">
        <f>"129,6823"</f>
        <v>129,6823</v>
      </c>
      <c r="M128" s="14" t="s">
        <v>54</v>
      </c>
    </row>
    <row r="130" spans="1:13" ht="15" x14ac:dyDescent="0.2">
      <c r="A130" s="32" t="s">
        <v>121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</row>
    <row r="131" spans="1:13" x14ac:dyDescent="0.2">
      <c r="A131" s="9" t="s">
        <v>1413</v>
      </c>
      <c r="B131" s="9" t="s">
        <v>1414</v>
      </c>
      <c r="C131" s="9" t="s">
        <v>1415</v>
      </c>
      <c r="D131" s="9" t="str">
        <f>"0,5771"</f>
        <v>0,5771</v>
      </c>
      <c r="E131" s="9" t="s">
        <v>18</v>
      </c>
      <c r="F131" s="9" t="s">
        <v>813</v>
      </c>
      <c r="G131" s="10" t="s">
        <v>53</v>
      </c>
      <c r="H131" s="10" t="s">
        <v>31</v>
      </c>
      <c r="I131" s="10" t="s">
        <v>51</v>
      </c>
      <c r="J131" s="11"/>
      <c r="K131" s="9" t="str">
        <f>"215,0"</f>
        <v>215,0</v>
      </c>
      <c r="L131" s="10" t="str">
        <f>"124,0765"</f>
        <v>124,0765</v>
      </c>
      <c r="M131" s="9" t="s">
        <v>404</v>
      </c>
    </row>
    <row r="132" spans="1:13" x14ac:dyDescent="0.2">
      <c r="A132" s="12" t="s">
        <v>1417</v>
      </c>
      <c r="B132" s="12" t="s">
        <v>859</v>
      </c>
      <c r="C132" s="12" t="s">
        <v>1418</v>
      </c>
      <c r="D132" s="12" t="str">
        <f>"0,5744"</f>
        <v>0,5744</v>
      </c>
      <c r="E132" s="12" t="s">
        <v>18</v>
      </c>
      <c r="F132" s="12" t="s">
        <v>1322</v>
      </c>
      <c r="G132" s="17" t="s">
        <v>53</v>
      </c>
      <c r="H132" s="17" t="s">
        <v>50</v>
      </c>
      <c r="I132" s="13" t="s">
        <v>127</v>
      </c>
      <c r="J132" s="13"/>
      <c r="K132" s="12" t="str">
        <f>"205,0"</f>
        <v>205,0</v>
      </c>
      <c r="L132" s="17" t="str">
        <f>"117,7520"</f>
        <v>117,7520</v>
      </c>
      <c r="M132" s="12" t="s">
        <v>1419</v>
      </c>
    </row>
    <row r="133" spans="1:13" x14ac:dyDescent="0.2">
      <c r="A133" s="12" t="s">
        <v>1421</v>
      </c>
      <c r="B133" s="12" t="s">
        <v>1422</v>
      </c>
      <c r="C133" s="12" t="s">
        <v>1423</v>
      </c>
      <c r="D133" s="12" t="str">
        <f>"0,5701"</f>
        <v>0,5701</v>
      </c>
      <c r="E133" s="12" t="s">
        <v>18</v>
      </c>
      <c r="F133" s="12" t="s">
        <v>19</v>
      </c>
      <c r="G133" s="17" t="s">
        <v>49</v>
      </c>
      <c r="H133" s="17" t="s">
        <v>53</v>
      </c>
      <c r="I133" s="13" t="s">
        <v>50</v>
      </c>
      <c r="J133" s="13"/>
      <c r="K133" s="12" t="str">
        <f>"200,0"</f>
        <v>200,0</v>
      </c>
      <c r="L133" s="17" t="str">
        <f>"114,0200"</f>
        <v>114,0200</v>
      </c>
      <c r="M133" s="12" t="s">
        <v>1424</v>
      </c>
    </row>
    <row r="134" spans="1:13" x14ac:dyDescent="0.2">
      <c r="A134" s="12" t="s">
        <v>1426</v>
      </c>
      <c r="B134" s="12" t="s">
        <v>1427</v>
      </c>
      <c r="C134" s="12" t="s">
        <v>1428</v>
      </c>
      <c r="D134" s="12" t="str">
        <f>"0,5801"</f>
        <v>0,5801</v>
      </c>
      <c r="E134" s="12" t="s">
        <v>18</v>
      </c>
      <c r="F134" s="12" t="s">
        <v>1429</v>
      </c>
      <c r="G134" s="17" t="s">
        <v>403</v>
      </c>
      <c r="H134" s="17" t="s">
        <v>1371</v>
      </c>
      <c r="I134" s="17" t="s">
        <v>850</v>
      </c>
      <c r="J134" s="13"/>
      <c r="K134" s="12" t="str">
        <f>"197,5"</f>
        <v>197,5</v>
      </c>
      <c r="L134" s="17" t="str">
        <f>"114,5697"</f>
        <v>114,5697</v>
      </c>
      <c r="M134" s="12" t="s">
        <v>54</v>
      </c>
    </row>
    <row r="135" spans="1:13" x14ac:dyDescent="0.2">
      <c r="A135" s="12" t="s">
        <v>1431</v>
      </c>
      <c r="B135" s="12" t="s">
        <v>1432</v>
      </c>
      <c r="C135" s="12" t="s">
        <v>1433</v>
      </c>
      <c r="D135" s="12" t="str">
        <f>"0,5866"</f>
        <v>0,5866</v>
      </c>
      <c r="E135" s="12" t="s">
        <v>18</v>
      </c>
      <c r="F135" s="12" t="s">
        <v>1322</v>
      </c>
      <c r="G135" s="17" t="s">
        <v>42</v>
      </c>
      <c r="H135" s="17" t="s">
        <v>427</v>
      </c>
      <c r="I135" s="13" t="s">
        <v>850</v>
      </c>
      <c r="J135" s="13"/>
      <c r="K135" s="12" t="str">
        <f>"195,0"</f>
        <v>195,0</v>
      </c>
      <c r="L135" s="17" t="str">
        <f>"114,3870"</f>
        <v>114,3870</v>
      </c>
      <c r="M135" s="12" t="s">
        <v>54</v>
      </c>
    </row>
    <row r="136" spans="1:13" x14ac:dyDescent="0.2">
      <c r="A136" s="12" t="s">
        <v>1435</v>
      </c>
      <c r="B136" s="12" t="s">
        <v>1436</v>
      </c>
      <c r="C136" s="12" t="s">
        <v>675</v>
      </c>
      <c r="D136" s="12" t="str">
        <f>"0,5733"</f>
        <v>0,5733</v>
      </c>
      <c r="E136" s="12" t="s">
        <v>18</v>
      </c>
      <c r="F136" s="12" t="s">
        <v>620</v>
      </c>
      <c r="G136" s="17" t="s">
        <v>135</v>
      </c>
      <c r="H136" s="13" t="s">
        <v>49</v>
      </c>
      <c r="I136" s="13" t="s">
        <v>49</v>
      </c>
      <c r="J136" s="13"/>
      <c r="K136" s="12" t="str">
        <f>"180,0"</f>
        <v>180,0</v>
      </c>
      <c r="L136" s="17" t="str">
        <f>"103,1940"</f>
        <v>103,1940</v>
      </c>
      <c r="M136" s="12" t="s">
        <v>54</v>
      </c>
    </row>
    <row r="137" spans="1:13" x14ac:dyDescent="0.2">
      <c r="A137" s="12" t="s">
        <v>1413</v>
      </c>
      <c r="B137" s="12" t="s">
        <v>1437</v>
      </c>
      <c r="C137" s="12" t="s">
        <v>1415</v>
      </c>
      <c r="D137" s="12" t="str">
        <f>"0,5771"</f>
        <v>0,5771</v>
      </c>
      <c r="E137" s="12" t="s">
        <v>18</v>
      </c>
      <c r="F137" s="12" t="s">
        <v>813</v>
      </c>
      <c r="G137" s="17" t="s">
        <v>53</v>
      </c>
      <c r="H137" s="17" t="s">
        <v>31</v>
      </c>
      <c r="I137" s="17" t="s">
        <v>51</v>
      </c>
      <c r="J137" s="13"/>
      <c r="K137" s="12" t="str">
        <f>"215,0"</f>
        <v>215,0</v>
      </c>
      <c r="L137" s="17" t="str">
        <f>"124,0765"</f>
        <v>124,0765</v>
      </c>
      <c r="M137" s="12" t="s">
        <v>404</v>
      </c>
    </row>
    <row r="138" spans="1:13" x14ac:dyDescent="0.2">
      <c r="A138" s="12" t="s">
        <v>1438</v>
      </c>
      <c r="B138" s="12" t="s">
        <v>1437</v>
      </c>
      <c r="C138" s="12" t="s">
        <v>1415</v>
      </c>
      <c r="D138" s="12" t="str">
        <f>"0,5771"</f>
        <v>0,5771</v>
      </c>
      <c r="E138" s="12" t="s">
        <v>18</v>
      </c>
      <c r="F138" s="12" t="s">
        <v>813</v>
      </c>
      <c r="G138" s="17" t="s">
        <v>53</v>
      </c>
      <c r="H138" s="17" t="s">
        <v>31</v>
      </c>
      <c r="I138" s="17" t="s">
        <v>51</v>
      </c>
      <c r="J138" s="13"/>
      <c r="K138" s="12" t="str">
        <f>"215,0"</f>
        <v>215,0</v>
      </c>
      <c r="L138" s="17" t="str">
        <f>"124,0765"</f>
        <v>124,0765</v>
      </c>
      <c r="M138" s="12" t="s">
        <v>404</v>
      </c>
    </row>
    <row r="139" spans="1:13" x14ac:dyDescent="0.2">
      <c r="A139" s="12" t="s">
        <v>1421</v>
      </c>
      <c r="B139" s="12" t="s">
        <v>1439</v>
      </c>
      <c r="C139" s="12" t="s">
        <v>1423</v>
      </c>
      <c r="D139" s="12" t="str">
        <f>"0,5701"</f>
        <v>0,5701</v>
      </c>
      <c r="E139" s="12" t="s">
        <v>18</v>
      </c>
      <c r="F139" s="12" t="s">
        <v>19</v>
      </c>
      <c r="G139" s="17" t="s">
        <v>49</v>
      </c>
      <c r="H139" s="17" t="s">
        <v>53</v>
      </c>
      <c r="I139" s="13" t="s">
        <v>50</v>
      </c>
      <c r="J139" s="13"/>
      <c r="K139" s="12" t="str">
        <f>"200,0"</f>
        <v>200,0</v>
      </c>
      <c r="L139" s="17" t="str">
        <f>"115,1602"</f>
        <v>115,1602</v>
      </c>
      <c r="M139" s="12" t="s">
        <v>1424</v>
      </c>
    </row>
    <row r="140" spans="1:13" x14ac:dyDescent="0.2">
      <c r="A140" s="12" t="s">
        <v>1441</v>
      </c>
      <c r="B140" s="12" t="s">
        <v>1442</v>
      </c>
      <c r="C140" s="12" t="s">
        <v>1443</v>
      </c>
      <c r="D140" s="12" t="str">
        <f>"0,5714"</f>
        <v>0,5714</v>
      </c>
      <c r="E140" s="12" t="s">
        <v>18</v>
      </c>
      <c r="F140" s="12" t="s">
        <v>1216</v>
      </c>
      <c r="G140" s="17" t="s">
        <v>63</v>
      </c>
      <c r="H140" s="17" t="s">
        <v>1371</v>
      </c>
      <c r="I140" s="13" t="s">
        <v>64</v>
      </c>
      <c r="J140" s="13"/>
      <c r="K140" s="12" t="str">
        <f>"187,5"</f>
        <v>187,5</v>
      </c>
      <c r="L140" s="17" t="str">
        <f>"109,2802"</f>
        <v>109,2802</v>
      </c>
      <c r="M140" s="12" t="s">
        <v>54</v>
      </c>
    </row>
    <row r="141" spans="1:13" x14ac:dyDescent="0.2">
      <c r="A141" s="14" t="s">
        <v>1445</v>
      </c>
      <c r="B141" s="14" t="s">
        <v>1446</v>
      </c>
      <c r="C141" s="14" t="s">
        <v>1447</v>
      </c>
      <c r="D141" s="14" t="str">
        <f>"0,5711"</f>
        <v>0,5711</v>
      </c>
      <c r="E141" s="14" t="s">
        <v>18</v>
      </c>
      <c r="F141" s="14" t="s">
        <v>19</v>
      </c>
      <c r="G141" s="15" t="s">
        <v>24</v>
      </c>
      <c r="H141" s="15" t="s">
        <v>112</v>
      </c>
      <c r="I141" s="16" t="s">
        <v>403</v>
      </c>
      <c r="J141" s="16"/>
      <c r="K141" s="14" t="str">
        <f>"175,0"</f>
        <v>175,0</v>
      </c>
      <c r="L141" s="15" t="str">
        <f>"122,4296"</f>
        <v>122,4296</v>
      </c>
      <c r="M141" s="14" t="s">
        <v>54</v>
      </c>
    </row>
    <row r="143" spans="1:13" ht="15" x14ac:dyDescent="0.2">
      <c r="E143" s="18" t="s">
        <v>151</v>
      </c>
    </row>
    <row r="144" spans="1:13" ht="15" x14ac:dyDescent="0.2">
      <c r="E144" s="18" t="s">
        <v>152</v>
      </c>
    </row>
    <row r="145" spans="1:5" ht="15" x14ac:dyDescent="0.2">
      <c r="E145" s="18" t="s">
        <v>153</v>
      </c>
    </row>
    <row r="146" spans="1:5" ht="15" x14ac:dyDescent="0.2">
      <c r="E146" s="18" t="s">
        <v>154</v>
      </c>
    </row>
    <row r="147" spans="1:5" ht="15" x14ac:dyDescent="0.2">
      <c r="E147" s="18" t="s">
        <v>154</v>
      </c>
    </row>
    <row r="148" spans="1:5" ht="15" x14ac:dyDescent="0.2">
      <c r="E148" s="18" t="s">
        <v>155</v>
      </c>
    </row>
    <row r="149" spans="1:5" ht="15" x14ac:dyDescent="0.2">
      <c r="E149" s="18"/>
    </row>
    <row r="151" spans="1:5" ht="18" x14ac:dyDescent="0.25">
      <c r="A151" s="19" t="s">
        <v>156</v>
      </c>
      <c r="B151" s="19"/>
    </row>
    <row r="152" spans="1:5" ht="15" x14ac:dyDescent="0.2">
      <c r="A152" s="20" t="s">
        <v>157</v>
      </c>
      <c r="B152" s="20"/>
    </row>
    <row r="153" spans="1:5" ht="14.25" x14ac:dyDescent="0.2">
      <c r="A153" s="22"/>
      <c r="B153" s="23" t="s">
        <v>468</v>
      </c>
    </row>
    <row r="154" spans="1:5" ht="15" x14ac:dyDescent="0.2">
      <c r="A154" s="24" t="s">
        <v>159</v>
      </c>
      <c r="B154" s="24" t="s">
        <v>160</v>
      </c>
      <c r="C154" s="24" t="s">
        <v>161</v>
      </c>
      <c r="D154" s="24" t="s">
        <v>162</v>
      </c>
      <c r="E154" s="24" t="s">
        <v>163</v>
      </c>
    </row>
    <row r="155" spans="1:5" x14ac:dyDescent="0.2">
      <c r="A155" s="21" t="s">
        <v>1106</v>
      </c>
      <c r="B155" s="4" t="s">
        <v>291</v>
      </c>
      <c r="C155" s="4" t="s">
        <v>165</v>
      </c>
      <c r="D155" s="4" t="s">
        <v>529</v>
      </c>
      <c r="E155" s="25" t="s">
        <v>1448</v>
      </c>
    </row>
    <row r="156" spans="1:5" x14ac:dyDescent="0.2">
      <c r="A156" s="21" t="s">
        <v>1076</v>
      </c>
      <c r="B156" s="4" t="s">
        <v>291</v>
      </c>
      <c r="C156" s="4" t="s">
        <v>472</v>
      </c>
      <c r="D156" s="4" t="s">
        <v>376</v>
      </c>
      <c r="E156" s="25" t="s">
        <v>1449</v>
      </c>
    </row>
    <row r="158" spans="1:5" ht="14.25" x14ac:dyDescent="0.2">
      <c r="A158" s="22"/>
      <c r="B158" s="23" t="s">
        <v>470</v>
      </c>
    </row>
    <row r="159" spans="1:5" ht="15" x14ac:dyDescent="0.2">
      <c r="A159" s="24" t="s">
        <v>159</v>
      </c>
      <c r="B159" s="24" t="s">
        <v>160</v>
      </c>
      <c r="C159" s="24" t="s">
        <v>161</v>
      </c>
      <c r="D159" s="24" t="s">
        <v>162</v>
      </c>
      <c r="E159" s="24" t="s">
        <v>163</v>
      </c>
    </row>
    <row r="160" spans="1:5" x14ac:dyDescent="0.2">
      <c r="A160" s="21" t="s">
        <v>1080</v>
      </c>
      <c r="B160" s="4" t="s">
        <v>471</v>
      </c>
      <c r="C160" s="4" t="s">
        <v>472</v>
      </c>
      <c r="D160" s="4" t="s">
        <v>564</v>
      </c>
      <c r="E160" s="25" t="s">
        <v>1450</v>
      </c>
    </row>
    <row r="161" spans="1:5" x14ac:dyDescent="0.2">
      <c r="A161" s="21" t="s">
        <v>1064</v>
      </c>
      <c r="B161" s="4" t="s">
        <v>471</v>
      </c>
      <c r="C161" s="4" t="s">
        <v>481</v>
      </c>
      <c r="D161" s="4" t="s">
        <v>343</v>
      </c>
      <c r="E161" s="25" t="s">
        <v>1451</v>
      </c>
    </row>
    <row r="162" spans="1:5" x14ac:dyDescent="0.2">
      <c r="A162" s="21" t="s">
        <v>1037</v>
      </c>
      <c r="B162" s="4" t="s">
        <v>471</v>
      </c>
      <c r="C162" s="4" t="s">
        <v>287</v>
      </c>
      <c r="D162" s="4" t="s">
        <v>364</v>
      </c>
      <c r="E162" s="25" t="s">
        <v>1452</v>
      </c>
    </row>
    <row r="164" spans="1:5" ht="14.25" x14ac:dyDescent="0.2">
      <c r="A164" s="22"/>
      <c r="B164" s="23" t="s">
        <v>169</v>
      </c>
    </row>
    <row r="165" spans="1:5" ht="15" x14ac:dyDescent="0.2">
      <c r="A165" s="24" t="s">
        <v>159</v>
      </c>
      <c r="B165" s="24" t="s">
        <v>160</v>
      </c>
      <c r="C165" s="24" t="s">
        <v>161</v>
      </c>
      <c r="D165" s="24" t="s">
        <v>162</v>
      </c>
      <c r="E165" s="24" t="s">
        <v>163</v>
      </c>
    </row>
    <row r="166" spans="1:5" x14ac:dyDescent="0.2">
      <c r="A166" s="21" t="s">
        <v>1084</v>
      </c>
      <c r="B166" s="4" t="s">
        <v>169</v>
      </c>
      <c r="C166" s="4" t="s">
        <v>472</v>
      </c>
      <c r="D166" s="4" t="s">
        <v>283</v>
      </c>
      <c r="E166" s="25" t="s">
        <v>1453</v>
      </c>
    </row>
    <row r="167" spans="1:5" x14ac:dyDescent="0.2">
      <c r="A167" s="21" t="s">
        <v>1008</v>
      </c>
      <c r="B167" s="4" t="s">
        <v>169</v>
      </c>
      <c r="C167" s="4" t="s">
        <v>475</v>
      </c>
      <c r="D167" s="4" t="s">
        <v>564</v>
      </c>
      <c r="E167" s="25" t="s">
        <v>1454</v>
      </c>
    </row>
    <row r="168" spans="1:5" x14ac:dyDescent="0.2">
      <c r="A168" s="21" t="s">
        <v>1023</v>
      </c>
      <c r="B168" s="4" t="s">
        <v>169</v>
      </c>
      <c r="C168" s="4" t="s">
        <v>686</v>
      </c>
      <c r="D168" s="4" t="s">
        <v>343</v>
      </c>
      <c r="E168" s="25" t="s">
        <v>1455</v>
      </c>
    </row>
    <row r="169" spans="1:5" x14ac:dyDescent="0.2">
      <c r="A169" s="21" t="s">
        <v>1111</v>
      </c>
      <c r="B169" s="4" t="s">
        <v>169</v>
      </c>
      <c r="C169" s="4" t="s">
        <v>165</v>
      </c>
      <c r="D169" s="4" t="s">
        <v>204</v>
      </c>
      <c r="E169" s="25" t="s">
        <v>1456</v>
      </c>
    </row>
    <row r="170" spans="1:5" x14ac:dyDescent="0.2">
      <c r="A170" s="21" t="s">
        <v>1013</v>
      </c>
      <c r="B170" s="4" t="s">
        <v>169</v>
      </c>
      <c r="C170" s="4" t="s">
        <v>475</v>
      </c>
      <c r="D170" s="4" t="s">
        <v>334</v>
      </c>
      <c r="E170" s="25" t="s">
        <v>1457</v>
      </c>
    </row>
    <row r="171" spans="1:5" x14ac:dyDescent="0.2">
      <c r="A171" s="21" t="s">
        <v>1029</v>
      </c>
      <c r="B171" s="4" t="s">
        <v>169</v>
      </c>
      <c r="C171" s="4" t="s">
        <v>686</v>
      </c>
      <c r="D171" s="4" t="s">
        <v>327</v>
      </c>
      <c r="E171" s="25" t="s">
        <v>1458</v>
      </c>
    </row>
    <row r="172" spans="1:5" x14ac:dyDescent="0.2">
      <c r="A172" s="21" t="s">
        <v>1115</v>
      </c>
      <c r="B172" s="4" t="s">
        <v>169</v>
      </c>
      <c r="C172" s="4" t="s">
        <v>165</v>
      </c>
      <c r="D172" s="4" t="s">
        <v>22</v>
      </c>
      <c r="E172" s="25" t="s">
        <v>1459</v>
      </c>
    </row>
    <row r="173" spans="1:5" x14ac:dyDescent="0.2">
      <c r="A173" s="21" t="s">
        <v>1042</v>
      </c>
      <c r="B173" s="4" t="s">
        <v>169</v>
      </c>
      <c r="C173" s="4" t="s">
        <v>287</v>
      </c>
      <c r="D173" s="4" t="s">
        <v>327</v>
      </c>
      <c r="E173" s="25" t="s">
        <v>1460</v>
      </c>
    </row>
    <row r="174" spans="1:5" x14ac:dyDescent="0.2">
      <c r="A174" s="21" t="s">
        <v>1048</v>
      </c>
      <c r="B174" s="4" t="s">
        <v>169</v>
      </c>
      <c r="C174" s="4" t="s">
        <v>287</v>
      </c>
      <c r="D174" s="4" t="s">
        <v>327</v>
      </c>
      <c r="E174" s="25" t="s">
        <v>1461</v>
      </c>
    </row>
    <row r="175" spans="1:5" x14ac:dyDescent="0.2">
      <c r="A175" s="21" t="s">
        <v>1088</v>
      </c>
      <c r="B175" s="4" t="s">
        <v>169</v>
      </c>
      <c r="C175" s="4" t="s">
        <v>472</v>
      </c>
      <c r="D175" s="4" t="s">
        <v>343</v>
      </c>
      <c r="E175" s="25" t="s">
        <v>1462</v>
      </c>
    </row>
    <row r="176" spans="1:5" x14ac:dyDescent="0.2">
      <c r="A176" s="21" t="s">
        <v>1052</v>
      </c>
      <c r="B176" s="4" t="s">
        <v>169</v>
      </c>
      <c r="C176" s="4" t="s">
        <v>287</v>
      </c>
      <c r="D176" s="4" t="s">
        <v>334</v>
      </c>
      <c r="E176" s="25" t="s">
        <v>1463</v>
      </c>
    </row>
    <row r="177" spans="1:5" x14ac:dyDescent="0.2">
      <c r="A177" s="21" t="s">
        <v>1092</v>
      </c>
      <c r="B177" s="4" t="s">
        <v>169</v>
      </c>
      <c r="C177" s="4" t="s">
        <v>472</v>
      </c>
      <c r="D177" s="4" t="s">
        <v>370</v>
      </c>
      <c r="E177" s="25" t="s">
        <v>1464</v>
      </c>
    </row>
    <row r="179" spans="1:5" ht="14.25" x14ac:dyDescent="0.2">
      <c r="A179" s="22"/>
      <c r="B179" s="23" t="s">
        <v>158</v>
      </c>
    </row>
    <row r="180" spans="1:5" ht="15" x14ac:dyDescent="0.2">
      <c r="A180" s="24" t="s">
        <v>159</v>
      </c>
      <c r="B180" s="24" t="s">
        <v>160</v>
      </c>
      <c r="C180" s="24" t="s">
        <v>161</v>
      </c>
      <c r="D180" s="24" t="s">
        <v>162</v>
      </c>
      <c r="E180" s="24" t="s">
        <v>163</v>
      </c>
    </row>
    <row r="181" spans="1:5" x14ac:dyDescent="0.2">
      <c r="A181" s="21" t="s">
        <v>1101</v>
      </c>
      <c r="B181" s="4" t="s">
        <v>480</v>
      </c>
      <c r="C181" s="4" t="s">
        <v>472</v>
      </c>
      <c r="D181" s="4" t="s">
        <v>564</v>
      </c>
      <c r="E181" s="25" t="s">
        <v>1465</v>
      </c>
    </row>
    <row r="182" spans="1:5" x14ac:dyDescent="0.2">
      <c r="A182" s="21" t="s">
        <v>1097</v>
      </c>
      <c r="B182" s="4" t="s">
        <v>164</v>
      </c>
      <c r="C182" s="4" t="s">
        <v>472</v>
      </c>
      <c r="D182" s="4" t="s">
        <v>204</v>
      </c>
      <c r="E182" s="25" t="s">
        <v>1466</v>
      </c>
    </row>
    <row r="183" spans="1:5" x14ac:dyDescent="0.2">
      <c r="A183" s="21" t="s">
        <v>1071</v>
      </c>
      <c r="B183" s="4" t="s">
        <v>164</v>
      </c>
      <c r="C183" s="4" t="s">
        <v>481</v>
      </c>
      <c r="D183" s="4" t="s">
        <v>357</v>
      </c>
      <c r="E183" s="25" t="s">
        <v>1467</v>
      </c>
    </row>
    <row r="184" spans="1:5" x14ac:dyDescent="0.2">
      <c r="A184" s="21" t="s">
        <v>1056</v>
      </c>
      <c r="B184" s="4" t="s">
        <v>315</v>
      </c>
      <c r="C184" s="4" t="s">
        <v>287</v>
      </c>
      <c r="D184" s="4" t="s">
        <v>364</v>
      </c>
      <c r="E184" s="25" t="s">
        <v>1468</v>
      </c>
    </row>
    <row r="185" spans="1:5" x14ac:dyDescent="0.2">
      <c r="A185" s="21" t="s">
        <v>1018</v>
      </c>
      <c r="B185" s="4" t="s">
        <v>164</v>
      </c>
      <c r="C185" s="4" t="s">
        <v>475</v>
      </c>
      <c r="D185" s="4" t="s">
        <v>327</v>
      </c>
      <c r="E185" s="25" t="s">
        <v>1469</v>
      </c>
    </row>
    <row r="186" spans="1:5" x14ac:dyDescent="0.2">
      <c r="A186" s="21" t="s">
        <v>1060</v>
      </c>
      <c r="B186" s="4" t="s">
        <v>480</v>
      </c>
      <c r="C186" s="4" t="s">
        <v>287</v>
      </c>
      <c r="D186" s="4" t="s">
        <v>327</v>
      </c>
      <c r="E186" s="25" t="s">
        <v>1470</v>
      </c>
    </row>
    <row r="189" spans="1:5" ht="15" x14ac:dyDescent="0.2">
      <c r="A189" s="20" t="s">
        <v>168</v>
      </c>
      <c r="B189" s="20"/>
    </row>
    <row r="190" spans="1:5" ht="14.25" x14ac:dyDescent="0.2">
      <c r="A190" s="22"/>
      <c r="B190" s="23" t="s">
        <v>290</v>
      </c>
    </row>
    <row r="191" spans="1:5" ht="15" x14ac:dyDescent="0.2">
      <c r="A191" s="24" t="s">
        <v>159</v>
      </c>
      <c r="B191" s="24" t="s">
        <v>160</v>
      </c>
      <c r="C191" s="24" t="s">
        <v>161</v>
      </c>
      <c r="D191" s="24" t="s">
        <v>162</v>
      </c>
      <c r="E191" s="24" t="s">
        <v>163</v>
      </c>
    </row>
    <row r="192" spans="1:5" x14ac:dyDescent="0.2">
      <c r="A192" s="21" t="s">
        <v>1298</v>
      </c>
      <c r="B192" s="4" t="s">
        <v>291</v>
      </c>
      <c r="C192" s="4" t="s">
        <v>170</v>
      </c>
      <c r="D192" s="4" t="s">
        <v>325</v>
      </c>
      <c r="E192" s="25" t="s">
        <v>1471</v>
      </c>
    </row>
    <row r="193" spans="1:5" x14ac:dyDescent="0.2">
      <c r="A193" s="21" t="s">
        <v>1121</v>
      </c>
      <c r="B193" s="4" t="s">
        <v>291</v>
      </c>
      <c r="C193" s="4" t="s">
        <v>481</v>
      </c>
      <c r="D193" s="4" t="s">
        <v>376</v>
      </c>
      <c r="E193" s="25" t="s">
        <v>1472</v>
      </c>
    </row>
    <row r="194" spans="1:5" x14ac:dyDescent="0.2">
      <c r="A194" s="21" t="s">
        <v>1126</v>
      </c>
      <c r="B194" s="4" t="s">
        <v>291</v>
      </c>
      <c r="C194" s="4" t="s">
        <v>481</v>
      </c>
      <c r="D194" s="4" t="s">
        <v>328</v>
      </c>
      <c r="E194" s="25" t="s">
        <v>1473</v>
      </c>
    </row>
    <row r="196" spans="1:5" ht="14.25" x14ac:dyDescent="0.2">
      <c r="A196" s="22"/>
      <c r="B196" s="23" t="s">
        <v>1474</v>
      </c>
    </row>
    <row r="197" spans="1:5" ht="15" x14ac:dyDescent="0.2">
      <c r="A197" s="24" t="s">
        <v>159</v>
      </c>
      <c r="B197" s="24" t="s">
        <v>160</v>
      </c>
      <c r="C197" s="24" t="s">
        <v>161</v>
      </c>
      <c r="D197" s="24" t="s">
        <v>162</v>
      </c>
      <c r="E197" s="24" t="s">
        <v>163</v>
      </c>
    </row>
    <row r="198" spans="1:5" x14ac:dyDescent="0.2">
      <c r="A198" s="21" t="s">
        <v>1144</v>
      </c>
      <c r="B198" s="4" t="s">
        <v>471</v>
      </c>
      <c r="C198" s="4" t="s">
        <v>165</v>
      </c>
      <c r="D198" s="4" t="s">
        <v>33</v>
      </c>
      <c r="E198" s="25" t="s">
        <v>1475</v>
      </c>
    </row>
    <row r="199" spans="1:5" x14ac:dyDescent="0.2">
      <c r="A199" s="21" t="s">
        <v>1129</v>
      </c>
      <c r="B199" s="4" t="s">
        <v>471</v>
      </c>
      <c r="C199" s="4" t="s">
        <v>472</v>
      </c>
      <c r="D199" s="4" t="s">
        <v>284</v>
      </c>
      <c r="E199" s="25" t="s">
        <v>1476</v>
      </c>
    </row>
    <row r="200" spans="1:5" x14ac:dyDescent="0.2">
      <c r="A200" s="21" t="s">
        <v>1303</v>
      </c>
      <c r="B200" s="4" t="s">
        <v>471</v>
      </c>
      <c r="C200" s="4" t="s">
        <v>170</v>
      </c>
      <c r="D200" s="4" t="s">
        <v>396</v>
      </c>
      <c r="E200" s="25" t="s">
        <v>1477</v>
      </c>
    </row>
    <row r="202" spans="1:5" ht="14.25" x14ac:dyDescent="0.2">
      <c r="A202" s="22"/>
      <c r="B202" s="23" t="s">
        <v>169</v>
      </c>
    </row>
    <row r="203" spans="1:5" ht="15" x14ac:dyDescent="0.2">
      <c r="A203" s="24" t="s">
        <v>159</v>
      </c>
      <c r="B203" s="24" t="s">
        <v>160</v>
      </c>
      <c r="C203" s="24" t="s">
        <v>161</v>
      </c>
      <c r="D203" s="24" t="s">
        <v>162</v>
      </c>
      <c r="E203" s="24" t="s">
        <v>163</v>
      </c>
    </row>
    <row r="204" spans="1:5" x14ac:dyDescent="0.2">
      <c r="A204" s="21" t="s">
        <v>1412</v>
      </c>
      <c r="B204" s="4" t="s">
        <v>169</v>
      </c>
      <c r="C204" s="4" t="s">
        <v>173</v>
      </c>
      <c r="D204" s="4" t="s">
        <v>51</v>
      </c>
      <c r="E204" s="25" t="s">
        <v>1478</v>
      </c>
    </row>
    <row r="205" spans="1:5" x14ac:dyDescent="0.2">
      <c r="A205" s="21" t="s">
        <v>656</v>
      </c>
      <c r="B205" s="4" t="s">
        <v>169</v>
      </c>
      <c r="C205" s="4" t="s">
        <v>182</v>
      </c>
      <c r="D205" s="4" t="s">
        <v>53</v>
      </c>
      <c r="E205" s="25" t="s">
        <v>1479</v>
      </c>
    </row>
    <row r="206" spans="1:5" x14ac:dyDescent="0.2">
      <c r="A206" s="21" t="s">
        <v>1416</v>
      </c>
      <c r="B206" s="4" t="s">
        <v>169</v>
      </c>
      <c r="C206" s="4" t="s">
        <v>173</v>
      </c>
      <c r="D206" s="4" t="s">
        <v>50</v>
      </c>
      <c r="E206" s="25" t="s">
        <v>1480</v>
      </c>
    </row>
    <row r="207" spans="1:5" x14ac:dyDescent="0.2">
      <c r="A207" s="21" t="s">
        <v>1181</v>
      </c>
      <c r="B207" s="4" t="s">
        <v>169</v>
      </c>
      <c r="C207" s="4" t="s">
        <v>497</v>
      </c>
      <c r="D207" s="4" t="s">
        <v>112</v>
      </c>
      <c r="E207" s="25" t="s">
        <v>1481</v>
      </c>
    </row>
    <row r="208" spans="1:5" x14ac:dyDescent="0.2">
      <c r="A208" s="21" t="s">
        <v>1425</v>
      </c>
      <c r="B208" s="4" t="s">
        <v>169</v>
      </c>
      <c r="C208" s="4" t="s">
        <v>173</v>
      </c>
      <c r="D208" s="4" t="s">
        <v>850</v>
      </c>
      <c r="E208" s="25" t="s">
        <v>1482</v>
      </c>
    </row>
    <row r="209" spans="1:5" x14ac:dyDescent="0.2">
      <c r="A209" s="21" t="s">
        <v>1430</v>
      </c>
      <c r="B209" s="4" t="s">
        <v>169</v>
      </c>
      <c r="C209" s="4" t="s">
        <v>173</v>
      </c>
      <c r="D209" s="4" t="s">
        <v>427</v>
      </c>
      <c r="E209" s="25" t="s">
        <v>1483</v>
      </c>
    </row>
    <row r="210" spans="1:5" x14ac:dyDescent="0.2">
      <c r="A210" s="21" t="s">
        <v>1420</v>
      </c>
      <c r="B210" s="4" t="s">
        <v>169</v>
      </c>
      <c r="C210" s="4" t="s">
        <v>173</v>
      </c>
      <c r="D210" s="4" t="s">
        <v>53</v>
      </c>
      <c r="E210" s="25" t="s">
        <v>1484</v>
      </c>
    </row>
    <row r="211" spans="1:5" x14ac:dyDescent="0.2">
      <c r="A211" s="21" t="s">
        <v>1351</v>
      </c>
      <c r="B211" s="4" t="s">
        <v>169</v>
      </c>
      <c r="C211" s="4" t="s">
        <v>182</v>
      </c>
      <c r="D211" s="4" t="s">
        <v>49</v>
      </c>
      <c r="E211" s="25" t="s">
        <v>1485</v>
      </c>
    </row>
    <row r="212" spans="1:5" x14ac:dyDescent="0.2">
      <c r="A212" s="21" t="s">
        <v>1222</v>
      </c>
      <c r="B212" s="4" t="s">
        <v>169</v>
      </c>
      <c r="C212" s="4" t="s">
        <v>187</v>
      </c>
      <c r="D212" s="4" t="s">
        <v>24</v>
      </c>
      <c r="E212" s="25" t="s">
        <v>1486</v>
      </c>
    </row>
    <row r="213" spans="1:5" x14ac:dyDescent="0.2">
      <c r="A213" s="21" t="s">
        <v>1148</v>
      </c>
      <c r="B213" s="4" t="s">
        <v>169</v>
      </c>
      <c r="C213" s="4" t="s">
        <v>165</v>
      </c>
      <c r="D213" s="4" t="s">
        <v>20</v>
      </c>
      <c r="E213" s="25" t="s">
        <v>1487</v>
      </c>
    </row>
    <row r="214" spans="1:5" x14ac:dyDescent="0.2">
      <c r="A214" s="21" t="s">
        <v>1356</v>
      </c>
      <c r="B214" s="4" t="s">
        <v>169</v>
      </c>
      <c r="C214" s="4" t="s">
        <v>182</v>
      </c>
      <c r="D214" s="4" t="s">
        <v>403</v>
      </c>
      <c r="E214" s="25" t="s">
        <v>1488</v>
      </c>
    </row>
    <row r="215" spans="1:5" x14ac:dyDescent="0.2">
      <c r="A215" s="21" t="s">
        <v>1152</v>
      </c>
      <c r="B215" s="4" t="s">
        <v>169</v>
      </c>
      <c r="C215" s="4" t="s">
        <v>165</v>
      </c>
      <c r="D215" s="4" t="s">
        <v>52</v>
      </c>
      <c r="E215" s="25" t="s">
        <v>1489</v>
      </c>
    </row>
    <row r="216" spans="1:5" x14ac:dyDescent="0.2">
      <c r="A216" s="21" t="s">
        <v>1434</v>
      </c>
      <c r="B216" s="4" t="s">
        <v>169</v>
      </c>
      <c r="C216" s="4" t="s">
        <v>173</v>
      </c>
      <c r="D216" s="4" t="s">
        <v>135</v>
      </c>
      <c r="E216" s="25" t="s">
        <v>1490</v>
      </c>
    </row>
    <row r="217" spans="1:5" x14ac:dyDescent="0.2">
      <c r="A217" s="21" t="s">
        <v>1155</v>
      </c>
      <c r="B217" s="4" t="s">
        <v>169</v>
      </c>
      <c r="C217" s="4" t="s">
        <v>165</v>
      </c>
      <c r="D217" s="4" t="s">
        <v>74</v>
      </c>
      <c r="E217" s="25" t="s">
        <v>1491</v>
      </c>
    </row>
    <row r="218" spans="1:5" x14ac:dyDescent="0.2">
      <c r="A218" s="21" t="s">
        <v>1227</v>
      </c>
      <c r="B218" s="4" t="s">
        <v>169</v>
      </c>
      <c r="C218" s="4" t="s">
        <v>187</v>
      </c>
      <c r="D218" s="4" t="s">
        <v>75</v>
      </c>
      <c r="E218" s="25" t="s">
        <v>1492</v>
      </c>
    </row>
    <row r="219" spans="1:5" x14ac:dyDescent="0.2">
      <c r="A219" s="21" t="s">
        <v>1361</v>
      </c>
      <c r="B219" s="4" t="s">
        <v>169</v>
      </c>
      <c r="C219" s="4" t="s">
        <v>182</v>
      </c>
      <c r="D219" s="4" t="s">
        <v>24</v>
      </c>
      <c r="E219" s="25" t="s">
        <v>1493</v>
      </c>
    </row>
    <row r="220" spans="1:5" x14ac:dyDescent="0.2">
      <c r="A220" s="21" t="s">
        <v>1186</v>
      </c>
      <c r="B220" s="4" t="s">
        <v>169</v>
      </c>
      <c r="C220" s="4" t="s">
        <v>497</v>
      </c>
      <c r="D220" s="4" t="s">
        <v>20</v>
      </c>
      <c r="E220" s="25" t="s">
        <v>1494</v>
      </c>
    </row>
    <row r="221" spans="1:5" x14ac:dyDescent="0.2">
      <c r="A221" s="21" t="s">
        <v>1232</v>
      </c>
      <c r="B221" s="4" t="s">
        <v>169</v>
      </c>
      <c r="C221" s="4" t="s">
        <v>187</v>
      </c>
      <c r="D221" s="4" t="s">
        <v>239</v>
      </c>
      <c r="E221" s="25" t="s">
        <v>1495</v>
      </c>
    </row>
    <row r="222" spans="1:5" x14ac:dyDescent="0.2">
      <c r="A222" s="21" t="s">
        <v>1236</v>
      </c>
      <c r="B222" s="4" t="s">
        <v>169</v>
      </c>
      <c r="C222" s="4" t="s">
        <v>187</v>
      </c>
      <c r="D222" s="4" t="s">
        <v>239</v>
      </c>
      <c r="E222" s="25" t="s">
        <v>1496</v>
      </c>
    </row>
    <row r="223" spans="1:5" x14ac:dyDescent="0.2">
      <c r="A223" s="21" t="s">
        <v>631</v>
      </c>
      <c r="B223" s="4" t="s">
        <v>169</v>
      </c>
      <c r="C223" s="4" t="s">
        <v>187</v>
      </c>
      <c r="D223" s="4" t="s">
        <v>239</v>
      </c>
      <c r="E223" s="25" t="s">
        <v>1497</v>
      </c>
    </row>
    <row r="224" spans="1:5" x14ac:dyDescent="0.2">
      <c r="A224" s="21" t="s">
        <v>1309</v>
      </c>
      <c r="B224" s="4" t="s">
        <v>169</v>
      </c>
      <c r="C224" s="4" t="s">
        <v>170</v>
      </c>
      <c r="D224" s="4" t="s">
        <v>21</v>
      </c>
      <c r="E224" s="25" t="s">
        <v>1498</v>
      </c>
    </row>
    <row r="225" spans="1:5" x14ac:dyDescent="0.2">
      <c r="A225" s="21" t="s">
        <v>1242</v>
      </c>
      <c r="B225" s="4" t="s">
        <v>169</v>
      </c>
      <c r="C225" s="4" t="s">
        <v>187</v>
      </c>
      <c r="D225" s="4" t="s">
        <v>239</v>
      </c>
      <c r="E225" s="25" t="s">
        <v>1499</v>
      </c>
    </row>
    <row r="226" spans="1:5" x14ac:dyDescent="0.2">
      <c r="A226" s="21" t="s">
        <v>1159</v>
      </c>
      <c r="B226" s="4" t="s">
        <v>169</v>
      </c>
      <c r="C226" s="4" t="s">
        <v>165</v>
      </c>
      <c r="D226" s="4" t="s">
        <v>349</v>
      </c>
      <c r="E226" s="25" t="s">
        <v>1500</v>
      </c>
    </row>
    <row r="227" spans="1:5" x14ac:dyDescent="0.2">
      <c r="A227" s="21" t="s">
        <v>1314</v>
      </c>
      <c r="B227" s="4" t="s">
        <v>169</v>
      </c>
      <c r="C227" s="4" t="s">
        <v>170</v>
      </c>
      <c r="D227" s="4" t="s">
        <v>75</v>
      </c>
      <c r="E227" s="25" t="s">
        <v>1501</v>
      </c>
    </row>
    <row r="229" spans="1:5" ht="14.25" x14ac:dyDescent="0.2">
      <c r="A229" s="22"/>
      <c r="B229" s="23" t="s">
        <v>158</v>
      </c>
    </row>
    <row r="230" spans="1:5" ht="15" x14ac:dyDescent="0.2">
      <c r="A230" s="24" t="s">
        <v>159</v>
      </c>
      <c r="B230" s="24" t="s">
        <v>160</v>
      </c>
      <c r="C230" s="24" t="s">
        <v>161</v>
      </c>
      <c r="D230" s="24" t="s">
        <v>162</v>
      </c>
      <c r="E230" s="24" t="s">
        <v>163</v>
      </c>
    </row>
    <row r="231" spans="1:5" x14ac:dyDescent="0.2">
      <c r="A231" s="21" t="s">
        <v>1409</v>
      </c>
      <c r="B231" s="4" t="s">
        <v>195</v>
      </c>
      <c r="C231" s="4" t="s">
        <v>182</v>
      </c>
      <c r="D231" s="4" t="s">
        <v>52</v>
      </c>
      <c r="E231" s="25" t="s">
        <v>1502</v>
      </c>
    </row>
    <row r="232" spans="1:5" x14ac:dyDescent="0.2">
      <c r="A232" s="21" t="s">
        <v>1172</v>
      </c>
      <c r="B232" s="4" t="s">
        <v>935</v>
      </c>
      <c r="C232" s="4" t="s">
        <v>165</v>
      </c>
      <c r="D232" s="4" t="s">
        <v>284</v>
      </c>
      <c r="E232" s="25" t="s">
        <v>1503</v>
      </c>
    </row>
    <row r="233" spans="1:5" x14ac:dyDescent="0.2">
      <c r="A233" s="21" t="s">
        <v>1412</v>
      </c>
      <c r="B233" s="4" t="s">
        <v>164</v>
      </c>
      <c r="C233" s="4" t="s">
        <v>173</v>
      </c>
      <c r="D233" s="4" t="s">
        <v>51</v>
      </c>
      <c r="E233" s="25" t="s">
        <v>1478</v>
      </c>
    </row>
    <row r="234" spans="1:5" x14ac:dyDescent="0.2">
      <c r="A234" s="21" t="s">
        <v>1412</v>
      </c>
      <c r="B234" s="4" t="s">
        <v>164</v>
      </c>
      <c r="C234" s="4" t="s">
        <v>173</v>
      </c>
      <c r="D234" s="4" t="s">
        <v>51</v>
      </c>
      <c r="E234" s="25" t="s">
        <v>1478</v>
      </c>
    </row>
    <row r="235" spans="1:5" x14ac:dyDescent="0.2">
      <c r="A235" s="21" t="s">
        <v>1381</v>
      </c>
      <c r="B235" s="4" t="s">
        <v>315</v>
      </c>
      <c r="C235" s="4" t="s">
        <v>182</v>
      </c>
      <c r="D235" s="4" t="s">
        <v>1371</v>
      </c>
      <c r="E235" s="25" t="s">
        <v>1504</v>
      </c>
    </row>
    <row r="236" spans="1:5" x14ac:dyDescent="0.2">
      <c r="A236" s="21" t="s">
        <v>1444</v>
      </c>
      <c r="B236" s="4" t="s">
        <v>937</v>
      </c>
      <c r="C236" s="4" t="s">
        <v>173</v>
      </c>
      <c r="D236" s="4" t="s">
        <v>112</v>
      </c>
      <c r="E236" s="25" t="s">
        <v>1505</v>
      </c>
    </row>
    <row r="237" spans="1:5" x14ac:dyDescent="0.2">
      <c r="A237" s="21" t="s">
        <v>1274</v>
      </c>
      <c r="B237" s="4" t="s">
        <v>480</v>
      </c>
      <c r="C237" s="4" t="s">
        <v>187</v>
      </c>
      <c r="D237" s="4" t="s">
        <v>21</v>
      </c>
      <c r="E237" s="25" t="s">
        <v>1506</v>
      </c>
    </row>
    <row r="238" spans="1:5" x14ac:dyDescent="0.2">
      <c r="A238" s="21" t="s">
        <v>1395</v>
      </c>
      <c r="B238" s="4" t="s">
        <v>480</v>
      </c>
      <c r="C238" s="4" t="s">
        <v>182</v>
      </c>
      <c r="D238" s="4" t="s">
        <v>403</v>
      </c>
      <c r="E238" s="25" t="s">
        <v>1507</v>
      </c>
    </row>
    <row r="239" spans="1:5" x14ac:dyDescent="0.2">
      <c r="A239" s="21" t="s">
        <v>1277</v>
      </c>
      <c r="B239" s="4" t="s">
        <v>480</v>
      </c>
      <c r="C239" s="4" t="s">
        <v>187</v>
      </c>
      <c r="D239" s="4" t="s">
        <v>20</v>
      </c>
      <c r="E239" s="25" t="s">
        <v>1508</v>
      </c>
    </row>
    <row r="240" spans="1:5" x14ac:dyDescent="0.2">
      <c r="A240" s="21" t="s">
        <v>1368</v>
      </c>
      <c r="B240" s="4" t="s">
        <v>164</v>
      </c>
      <c r="C240" s="4" t="s">
        <v>182</v>
      </c>
      <c r="D240" s="4" t="s">
        <v>1371</v>
      </c>
      <c r="E240" s="25" t="s">
        <v>1509</v>
      </c>
    </row>
    <row r="241" spans="1:5" x14ac:dyDescent="0.2">
      <c r="A241" s="21" t="s">
        <v>1286</v>
      </c>
      <c r="B241" s="4" t="s">
        <v>937</v>
      </c>
      <c r="C241" s="4" t="s">
        <v>187</v>
      </c>
      <c r="D241" s="4" t="s">
        <v>35</v>
      </c>
      <c r="E241" s="25" t="s">
        <v>1510</v>
      </c>
    </row>
    <row r="242" spans="1:5" x14ac:dyDescent="0.2">
      <c r="A242" s="21" t="s">
        <v>1217</v>
      </c>
      <c r="B242" s="4" t="s">
        <v>939</v>
      </c>
      <c r="C242" s="4" t="s">
        <v>497</v>
      </c>
      <c r="D242" s="4" t="s">
        <v>33</v>
      </c>
      <c r="E242" s="25" t="s">
        <v>1511</v>
      </c>
    </row>
    <row r="243" spans="1:5" x14ac:dyDescent="0.2">
      <c r="A243" s="21" t="s">
        <v>1420</v>
      </c>
      <c r="B243" s="4" t="s">
        <v>164</v>
      </c>
      <c r="C243" s="4" t="s">
        <v>173</v>
      </c>
      <c r="D243" s="4" t="s">
        <v>53</v>
      </c>
      <c r="E243" s="25" t="s">
        <v>1512</v>
      </c>
    </row>
    <row r="244" spans="1:5" x14ac:dyDescent="0.2">
      <c r="A244" s="21" t="s">
        <v>1345</v>
      </c>
      <c r="B244" s="4" t="s">
        <v>937</v>
      </c>
      <c r="C244" s="4" t="s">
        <v>170</v>
      </c>
      <c r="D244" s="4" t="s">
        <v>238</v>
      </c>
      <c r="E244" s="25" t="s">
        <v>1513</v>
      </c>
    </row>
    <row r="245" spans="1:5" x14ac:dyDescent="0.2">
      <c r="A245" s="21" t="s">
        <v>1340</v>
      </c>
      <c r="B245" s="4" t="s">
        <v>480</v>
      </c>
      <c r="C245" s="4" t="s">
        <v>170</v>
      </c>
      <c r="D245" s="4" t="s">
        <v>239</v>
      </c>
      <c r="E245" s="25" t="s">
        <v>1514</v>
      </c>
    </row>
    <row r="246" spans="1:5" x14ac:dyDescent="0.2">
      <c r="A246" s="21" t="s">
        <v>1209</v>
      </c>
      <c r="B246" s="4" t="s">
        <v>937</v>
      </c>
      <c r="C246" s="4" t="s">
        <v>497</v>
      </c>
      <c r="D246" s="4" t="s">
        <v>52</v>
      </c>
      <c r="E246" s="25" t="s">
        <v>1515</v>
      </c>
    </row>
    <row r="247" spans="1:5" x14ac:dyDescent="0.2">
      <c r="A247" s="21" t="s">
        <v>1205</v>
      </c>
      <c r="B247" s="4" t="s">
        <v>315</v>
      </c>
      <c r="C247" s="4" t="s">
        <v>497</v>
      </c>
      <c r="D247" s="4" t="s">
        <v>239</v>
      </c>
      <c r="E247" s="25" t="s">
        <v>1516</v>
      </c>
    </row>
    <row r="248" spans="1:5" x14ac:dyDescent="0.2">
      <c r="A248" s="21" t="s">
        <v>1386</v>
      </c>
      <c r="B248" s="4" t="s">
        <v>315</v>
      </c>
      <c r="C248" s="4" t="s">
        <v>182</v>
      </c>
      <c r="D248" s="4" t="s">
        <v>24</v>
      </c>
      <c r="E248" s="25" t="s">
        <v>1517</v>
      </c>
    </row>
    <row r="249" spans="1:5" x14ac:dyDescent="0.2">
      <c r="A249" s="21" t="s">
        <v>1259</v>
      </c>
      <c r="B249" s="4" t="s">
        <v>164</v>
      </c>
      <c r="C249" s="4" t="s">
        <v>187</v>
      </c>
      <c r="D249" s="4" t="s">
        <v>24</v>
      </c>
      <c r="E249" s="25" t="s">
        <v>1518</v>
      </c>
    </row>
    <row r="250" spans="1:5" x14ac:dyDescent="0.2">
      <c r="A250" s="21" t="s">
        <v>1372</v>
      </c>
      <c r="B250" s="4" t="s">
        <v>164</v>
      </c>
      <c r="C250" s="4" t="s">
        <v>182</v>
      </c>
      <c r="D250" s="4" t="s">
        <v>112</v>
      </c>
      <c r="E250" s="25" t="s">
        <v>1519</v>
      </c>
    </row>
    <row r="251" spans="1:5" x14ac:dyDescent="0.2">
      <c r="A251" s="21" t="s">
        <v>1440</v>
      </c>
      <c r="B251" s="4" t="s">
        <v>164</v>
      </c>
      <c r="C251" s="4" t="s">
        <v>173</v>
      </c>
      <c r="D251" s="4" t="s">
        <v>1371</v>
      </c>
      <c r="E251" s="25" t="s">
        <v>1520</v>
      </c>
    </row>
    <row r="252" spans="1:5" x14ac:dyDescent="0.2">
      <c r="A252" s="21" t="s">
        <v>1377</v>
      </c>
      <c r="B252" s="4" t="s">
        <v>164</v>
      </c>
      <c r="C252" s="4" t="s">
        <v>182</v>
      </c>
      <c r="D252" s="4" t="s">
        <v>112</v>
      </c>
      <c r="E252" s="25" t="s">
        <v>1521</v>
      </c>
    </row>
    <row r="253" spans="1:5" x14ac:dyDescent="0.2">
      <c r="A253" s="21" t="s">
        <v>1290</v>
      </c>
      <c r="B253" s="4" t="s">
        <v>939</v>
      </c>
      <c r="C253" s="4" t="s">
        <v>187</v>
      </c>
      <c r="D253" s="4" t="s">
        <v>33</v>
      </c>
      <c r="E253" s="25" t="s">
        <v>1522</v>
      </c>
    </row>
    <row r="254" spans="1:5" x14ac:dyDescent="0.2">
      <c r="A254" s="21" t="s">
        <v>1399</v>
      </c>
      <c r="B254" s="4" t="s">
        <v>480</v>
      </c>
      <c r="C254" s="4" t="s">
        <v>182</v>
      </c>
      <c r="D254" s="4" t="s">
        <v>21</v>
      </c>
      <c r="E254" s="25" t="s">
        <v>1523</v>
      </c>
    </row>
  </sheetData>
  <mergeCells count="25">
    <mergeCell ref="A1:M2"/>
    <mergeCell ref="A3:A4"/>
    <mergeCell ref="B3:B4"/>
    <mergeCell ref="C3:C4"/>
    <mergeCell ref="D3:D4"/>
    <mergeCell ref="E3:E4"/>
    <mergeCell ref="F3:F4"/>
    <mergeCell ref="G3:J3"/>
    <mergeCell ref="A52:L52"/>
    <mergeCell ref="K3:K4"/>
    <mergeCell ref="L3:L4"/>
    <mergeCell ref="M3:M4"/>
    <mergeCell ref="A5:L5"/>
    <mergeCell ref="A10:L10"/>
    <mergeCell ref="A15:L15"/>
    <mergeCell ref="A23:L23"/>
    <mergeCell ref="A28:L28"/>
    <mergeCell ref="A37:L37"/>
    <mergeCell ref="A42:L42"/>
    <mergeCell ref="A46:L46"/>
    <mergeCell ref="A63:L63"/>
    <mergeCell ref="A75:L75"/>
    <mergeCell ref="A97:L97"/>
    <mergeCell ref="A112:L112"/>
    <mergeCell ref="A130:L1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6" style="4" customWidth="1"/>
    <col min="4" max="4" width="8.42578125" style="4" bestFit="1" customWidth="1"/>
    <col min="5" max="5" width="22.7109375" style="4" bestFit="1" customWidth="1"/>
    <col min="6" max="6" width="26.42578125" style="4" bestFit="1" customWidth="1"/>
    <col min="7" max="9" width="5.5703125" style="3" bestFit="1" customWidth="1"/>
    <col min="10" max="10" width="4.85546875" style="3" bestFit="1" customWidth="1"/>
    <col min="11" max="11" width="12.7109375" style="4" customWidth="1"/>
    <col min="12" max="12" width="11.85546875" style="3" customWidth="1"/>
    <col min="13" max="13" width="14.85546875" style="4" bestFit="1" customWidth="1"/>
    <col min="14" max="16384" width="9.140625" style="3"/>
  </cols>
  <sheetData>
    <row r="1" spans="1:13" s="2" customFormat="1" ht="29.1" customHeight="1" x14ac:dyDescent="0.2">
      <c r="A1" s="36" t="s">
        <v>2139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12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6" t="s">
        <v>1938</v>
      </c>
      <c r="B6" s="6" t="s">
        <v>1939</v>
      </c>
      <c r="C6" s="6" t="s">
        <v>1293</v>
      </c>
      <c r="D6" s="6" t="str">
        <f>"0,6413"</f>
        <v>0,6413</v>
      </c>
      <c r="E6" s="6" t="s">
        <v>18</v>
      </c>
      <c r="F6" s="6" t="s">
        <v>1940</v>
      </c>
      <c r="G6" s="8" t="s">
        <v>102</v>
      </c>
      <c r="H6" s="7" t="s">
        <v>78</v>
      </c>
      <c r="I6" s="7" t="s">
        <v>78</v>
      </c>
      <c r="J6" s="7"/>
      <c r="K6" s="6" t="str">
        <f>"250,0"</f>
        <v>250,0</v>
      </c>
      <c r="L6" s="8" t="str">
        <f>"160,3250"</f>
        <v>160,3250</v>
      </c>
      <c r="M6" s="6" t="s">
        <v>1941</v>
      </c>
    </row>
    <row r="8" spans="1:13" ht="15" x14ac:dyDescent="0.2">
      <c r="E8" s="18" t="s">
        <v>151</v>
      </c>
    </row>
    <row r="9" spans="1:13" ht="15" x14ac:dyDescent="0.2">
      <c r="E9" s="18" t="s">
        <v>152</v>
      </c>
    </row>
    <row r="10" spans="1:13" ht="15" x14ac:dyDescent="0.2">
      <c r="E10" s="18" t="s">
        <v>153</v>
      </c>
    </row>
    <row r="11" spans="1:13" ht="15" x14ac:dyDescent="0.2">
      <c r="E11" s="18" t="s">
        <v>154</v>
      </c>
    </row>
    <row r="12" spans="1:13" ht="15" x14ac:dyDescent="0.2">
      <c r="E12" s="18" t="s">
        <v>154</v>
      </c>
    </row>
    <row r="13" spans="1:13" ht="15" x14ac:dyDescent="0.2">
      <c r="E13" s="18" t="s">
        <v>155</v>
      </c>
    </row>
    <row r="14" spans="1:13" ht="15" x14ac:dyDescent="0.2">
      <c r="E14" s="18"/>
    </row>
    <row r="16" spans="1:13" ht="18" x14ac:dyDescent="0.25">
      <c r="A16" s="19" t="s">
        <v>156</v>
      </c>
      <c r="B16" s="19"/>
    </row>
    <row r="17" spans="1:5" ht="15" x14ac:dyDescent="0.2">
      <c r="A17" s="20" t="s">
        <v>168</v>
      </c>
      <c r="B17" s="20"/>
    </row>
    <row r="18" spans="1:5" ht="14.25" x14ac:dyDescent="0.2">
      <c r="A18" s="22"/>
      <c r="B18" s="23" t="s">
        <v>169</v>
      </c>
    </row>
    <row r="19" spans="1:5" ht="15" x14ac:dyDescent="0.2">
      <c r="A19" s="24" t="s">
        <v>159</v>
      </c>
      <c r="B19" s="24" t="s">
        <v>160</v>
      </c>
      <c r="C19" s="24" t="s">
        <v>161</v>
      </c>
      <c r="D19" s="24" t="s">
        <v>162</v>
      </c>
      <c r="E19" s="24" t="s">
        <v>163</v>
      </c>
    </row>
    <row r="20" spans="1:5" x14ac:dyDescent="0.2">
      <c r="A20" s="21" t="s">
        <v>1937</v>
      </c>
      <c r="B20" s="4" t="s">
        <v>169</v>
      </c>
      <c r="C20" s="4" t="s">
        <v>187</v>
      </c>
      <c r="D20" s="4" t="s">
        <v>102</v>
      </c>
      <c r="E20" s="25" t="s">
        <v>1942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workbookViewId="0">
      <selection activeCell="C3" sqref="C3:C4"/>
    </sheetView>
  </sheetViews>
  <sheetFormatPr defaultColWidth="9.140625" defaultRowHeight="12.75" x14ac:dyDescent="0.2"/>
  <cols>
    <col min="1" max="1" width="26.28515625" style="4" bestFit="1" customWidth="1"/>
    <col min="2" max="2" width="29.7109375" style="4" bestFit="1" customWidth="1"/>
    <col min="3" max="3" width="15.42578125" style="4" customWidth="1"/>
    <col min="4" max="4" width="8.42578125" style="4" bestFit="1" customWidth="1"/>
    <col min="5" max="5" width="22.7109375" style="4" bestFit="1" customWidth="1"/>
    <col min="6" max="6" width="31.5703125" style="4" bestFit="1" customWidth="1"/>
    <col min="7" max="10" width="5.5703125" style="3" bestFit="1" customWidth="1"/>
    <col min="11" max="11" width="13.140625" style="4" customWidth="1"/>
    <col min="12" max="12" width="8.5703125" style="3" bestFit="1" customWidth="1"/>
    <col min="13" max="13" width="22.85546875" style="4" bestFit="1" customWidth="1"/>
    <col min="14" max="16384" width="9.140625" style="3"/>
  </cols>
  <sheetData>
    <row r="1" spans="1:13" s="2" customFormat="1" ht="29.1" customHeight="1" x14ac:dyDescent="0.2">
      <c r="A1" s="36" t="s">
        <v>2140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12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320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9" t="s">
        <v>1009</v>
      </c>
      <c r="B6" s="9" t="s">
        <v>1010</v>
      </c>
      <c r="C6" s="9" t="s">
        <v>1011</v>
      </c>
      <c r="D6" s="9" t="str">
        <f>"1,3449"</f>
        <v>1,3449</v>
      </c>
      <c r="E6" s="9" t="s">
        <v>18</v>
      </c>
      <c r="F6" s="9" t="s">
        <v>625</v>
      </c>
      <c r="G6" s="10" t="s">
        <v>34</v>
      </c>
      <c r="H6" s="10" t="s">
        <v>35</v>
      </c>
      <c r="I6" s="11" t="s">
        <v>238</v>
      </c>
      <c r="J6" s="11"/>
      <c r="K6" s="9" t="str">
        <f>"135,0"</f>
        <v>135,0</v>
      </c>
      <c r="L6" s="10" t="str">
        <f>"181,5615"</f>
        <v>181,5615</v>
      </c>
      <c r="M6" s="9" t="s">
        <v>1012</v>
      </c>
    </row>
    <row r="7" spans="1:13" x14ac:dyDescent="0.2">
      <c r="A7" s="14" t="s">
        <v>1659</v>
      </c>
      <c r="B7" s="14" t="s">
        <v>532</v>
      </c>
      <c r="C7" s="14" t="s">
        <v>324</v>
      </c>
      <c r="D7" s="14" t="str">
        <f>"1,3244"</f>
        <v>1,3244</v>
      </c>
      <c r="E7" s="14" t="s">
        <v>18</v>
      </c>
      <c r="F7" s="14" t="s">
        <v>19</v>
      </c>
      <c r="G7" s="15" t="s">
        <v>95</v>
      </c>
      <c r="H7" s="15" t="s">
        <v>356</v>
      </c>
      <c r="I7" s="15" t="s">
        <v>33</v>
      </c>
      <c r="J7" s="16"/>
      <c r="K7" s="14" t="str">
        <f>"120,0"</f>
        <v>120,0</v>
      </c>
      <c r="L7" s="15" t="str">
        <f>"158,9280"</f>
        <v>158,9280</v>
      </c>
      <c r="M7" s="14" t="s">
        <v>534</v>
      </c>
    </row>
    <row r="9" spans="1:13" ht="15" x14ac:dyDescent="0.2">
      <c r="A9" s="32" t="s">
        <v>537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 x14ac:dyDescent="0.2">
      <c r="A10" s="9" t="s">
        <v>1661</v>
      </c>
      <c r="B10" s="9" t="s">
        <v>1662</v>
      </c>
      <c r="C10" s="9" t="s">
        <v>1663</v>
      </c>
      <c r="D10" s="9" t="str">
        <f>"1,2808"</f>
        <v>1,2808</v>
      </c>
      <c r="E10" s="9" t="s">
        <v>18</v>
      </c>
      <c r="F10" s="9" t="s">
        <v>19</v>
      </c>
      <c r="G10" s="10" t="s">
        <v>23</v>
      </c>
      <c r="H10" s="10" t="s">
        <v>335</v>
      </c>
      <c r="I10" s="10" t="s">
        <v>533</v>
      </c>
      <c r="J10" s="10" t="s">
        <v>325</v>
      </c>
      <c r="K10" s="9" t="str">
        <f>"85,0"</f>
        <v>85,0</v>
      </c>
      <c r="L10" s="10" t="str">
        <f>"108,8680"</f>
        <v>108,8680</v>
      </c>
      <c r="M10" s="9" t="s">
        <v>744</v>
      </c>
    </row>
    <row r="11" spans="1:13" x14ac:dyDescent="0.2">
      <c r="A11" s="14" t="s">
        <v>1665</v>
      </c>
      <c r="B11" s="14" t="s">
        <v>1666</v>
      </c>
      <c r="C11" s="14" t="s">
        <v>1667</v>
      </c>
      <c r="D11" s="14" t="str">
        <f>"1,2541"</f>
        <v>1,2541</v>
      </c>
      <c r="E11" s="14" t="s">
        <v>18</v>
      </c>
      <c r="F11" s="14" t="s">
        <v>19</v>
      </c>
      <c r="G11" s="15" t="s">
        <v>95</v>
      </c>
      <c r="H11" s="15" t="s">
        <v>388</v>
      </c>
      <c r="I11" s="15" t="s">
        <v>33</v>
      </c>
      <c r="J11" s="16"/>
      <c r="K11" s="14" t="str">
        <f>"120,0"</f>
        <v>120,0</v>
      </c>
      <c r="L11" s="15" t="str">
        <f>"150,4920"</f>
        <v>150,4920</v>
      </c>
      <c r="M11" s="14" t="s">
        <v>1668</v>
      </c>
    </row>
    <row r="13" spans="1:13" ht="15" x14ac:dyDescent="0.2">
      <c r="A13" s="32" t="s">
        <v>199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3" x14ac:dyDescent="0.2">
      <c r="A14" s="9" t="s">
        <v>550</v>
      </c>
      <c r="B14" s="9" t="s">
        <v>551</v>
      </c>
      <c r="C14" s="9" t="s">
        <v>552</v>
      </c>
      <c r="D14" s="9" t="str">
        <f>"1,1849"</f>
        <v>1,1849</v>
      </c>
      <c r="E14" s="9" t="s">
        <v>18</v>
      </c>
      <c r="F14" s="9" t="s">
        <v>553</v>
      </c>
      <c r="G14" s="10" t="s">
        <v>349</v>
      </c>
      <c r="H14" s="11" t="s">
        <v>20</v>
      </c>
      <c r="I14" s="10" t="s">
        <v>20</v>
      </c>
      <c r="J14" s="10" t="s">
        <v>85</v>
      </c>
      <c r="K14" s="9" t="str">
        <f>"150,0"</f>
        <v>150,0</v>
      </c>
      <c r="L14" s="10" t="str">
        <f>"177,7350"</f>
        <v>177,7350</v>
      </c>
      <c r="M14" s="9" t="s">
        <v>554</v>
      </c>
    </row>
    <row r="15" spans="1:13" x14ac:dyDescent="0.2">
      <c r="A15" s="12" t="s">
        <v>1670</v>
      </c>
      <c r="B15" s="12" t="s">
        <v>1671</v>
      </c>
      <c r="C15" s="12" t="s">
        <v>333</v>
      </c>
      <c r="D15" s="12" t="str">
        <f>"1,1766"</f>
        <v>1,1766</v>
      </c>
      <c r="E15" s="12" t="s">
        <v>18</v>
      </c>
      <c r="F15" s="12" t="s">
        <v>363</v>
      </c>
      <c r="G15" s="17" t="s">
        <v>388</v>
      </c>
      <c r="H15" s="17" t="s">
        <v>43</v>
      </c>
      <c r="I15" s="17" t="s">
        <v>34</v>
      </c>
      <c r="J15" s="13"/>
      <c r="K15" s="12" t="str">
        <f>"130,0"</f>
        <v>130,0</v>
      </c>
      <c r="L15" s="17" t="str">
        <f>"152,9580"</f>
        <v>152,9580</v>
      </c>
      <c r="M15" s="12" t="s">
        <v>221</v>
      </c>
    </row>
    <row r="16" spans="1:13" x14ac:dyDescent="0.2">
      <c r="A16" s="14" t="s">
        <v>1673</v>
      </c>
      <c r="B16" s="14" t="s">
        <v>1674</v>
      </c>
      <c r="C16" s="14" t="s">
        <v>333</v>
      </c>
      <c r="D16" s="14" t="str">
        <f>"1,1766"</f>
        <v>1,1766</v>
      </c>
      <c r="E16" s="14" t="s">
        <v>18</v>
      </c>
      <c r="F16" s="14" t="s">
        <v>1675</v>
      </c>
      <c r="G16" s="15" t="s">
        <v>94</v>
      </c>
      <c r="H16" s="15" t="s">
        <v>95</v>
      </c>
      <c r="I16" s="15" t="s">
        <v>356</v>
      </c>
      <c r="J16" s="16"/>
      <c r="K16" s="14" t="str">
        <f>"115,0"</f>
        <v>115,0</v>
      </c>
      <c r="L16" s="15" t="str">
        <f>"135,3090"</f>
        <v>135,3090</v>
      </c>
      <c r="M16" s="14" t="s">
        <v>1676</v>
      </c>
    </row>
    <row r="18" spans="1:13" ht="15" x14ac:dyDescent="0.2">
      <c r="A18" s="32" t="s">
        <v>351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3" x14ac:dyDescent="0.2">
      <c r="A19" s="9" t="s">
        <v>1678</v>
      </c>
      <c r="B19" s="9" t="s">
        <v>1679</v>
      </c>
      <c r="C19" s="9" t="s">
        <v>1566</v>
      </c>
      <c r="D19" s="9" t="str">
        <f>"1,1266"</f>
        <v>1,1266</v>
      </c>
      <c r="E19" s="9" t="s">
        <v>18</v>
      </c>
      <c r="F19" s="9" t="s">
        <v>19</v>
      </c>
      <c r="G19" s="10" t="s">
        <v>33</v>
      </c>
      <c r="H19" s="10" t="s">
        <v>34</v>
      </c>
      <c r="I19" s="11" t="s">
        <v>35</v>
      </c>
      <c r="J19" s="11"/>
      <c r="K19" s="9" t="str">
        <f>"130,0"</f>
        <v>130,0</v>
      </c>
      <c r="L19" s="10" t="str">
        <f>"146,4580"</f>
        <v>146,4580</v>
      </c>
      <c r="M19" s="9" t="s">
        <v>1680</v>
      </c>
    </row>
    <row r="20" spans="1:13" x14ac:dyDescent="0.2">
      <c r="A20" s="12" t="s">
        <v>1682</v>
      </c>
      <c r="B20" s="12" t="s">
        <v>1683</v>
      </c>
      <c r="C20" s="12" t="s">
        <v>1070</v>
      </c>
      <c r="D20" s="12" t="str">
        <f>"1,1207"</f>
        <v>1,1207</v>
      </c>
      <c r="E20" s="12" t="s">
        <v>347</v>
      </c>
      <c r="F20" s="12" t="s">
        <v>19</v>
      </c>
      <c r="G20" s="17" t="s">
        <v>43</v>
      </c>
      <c r="H20" s="13" t="s">
        <v>34</v>
      </c>
      <c r="I20" s="13" t="s">
        <v>34</v>
      </c>
      <c r="J20" s="13"/>
      <c r="K20" s="12" t="str">
        <f>"125,0"</f>
        <v>125,0</v>
      </c>
      <c r="L20" s="17" t="str">
        <f>"140,0875"</f>
        <v>140,0875</v>
      </c>
      <c r="M20" s="12" t="s">
        <v>534</v>
      </c>
    </row>
    <row r="21" spans="1:13" x14ac:dyDescent="0.2">
      <c r="A21" s="12" t="s">
        <v>1685</v>
      </c>
      <c r="B21" s="12" t="s">
        <v>1686</v>
      </c>
      <c r="C21" s="12" t="s">
        <v>1687</v>
      </c>
      <c r="D21" s="12" t="str">
        <f>"1,1371"</f>
        <v>1,1371</v>
      </c>
      <c r="E21" s="12" t="s">
        <v>18</v>
      </c>
      <c r="F21" s="12" t="s">
        <v>19</v>
      </c>
      <c r="G21" s="17" t="s">
        <v>94</v>
      </c>
      <c r="H21" s="17" t="s">
        <v>266</v>
      </c>
      <c r="I21" s="17" t="s">
        <v>33</v>
      </c>
      <c r="J21" s="13"/>
      <c r="K21" s="12" t="str">
        <f>"120,0"</f>
        <v>120,0</v>
      </c>
      <c r="L21" s="17" t="str">
        <f>"136,4520"</f>
        <v>136,4520</v>
      </c>
      <c r="M21" s="12" t="s">
        <v>404</v>
      </c>
    </row>
    <row r="22" spans="1:13" x14ac:dyDescent="0.2">
      <c r="A22" s="14" t="s">
        <v>1689</v>
      </c>
      <c r="B22" s="14" t="s">
        <v>1690</v>
      </c>
      <c r="C22" s="14" t="s">
        <v>1074</v>
      </c>
      <c r="D22" s="14" t="str">
        <f>"1,1251"</f>
        <v>1,1251</v>
      </c>
      <c r="E22" s="14" t="s">
        <v>18</v>
      </c>
      <c r="F22" s="14" t="s">
        <v>363</v>
      </c>
      <c r="G22" s="15" t="s">
        <v>533</v>
      </c>
      <c r="H22" s="15" t="s">
        <v>337</v>
      </c>
      <c r="I22" s="15" t="s">
        <v>284</v>
      </c>
      <c r="J22" s="16"/>
      <c r="K22" s="14" t="str">
        <f>"102,5"</f>
        <v>102,5</v>
      </c>
      <c r="L22" s="15" t="str">
        <f>"115,3228"</f>
        <v>115,3228</v>
      </c>
      <c r="M22" s="14" t="s">
        <v>233</v>
      </c>
    </row>
    <row r="24" spans="1:13" ht="15" x14ac:dyDescent="0.2">
      <c r="A24" s="32" t="s">
        <v>358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3" x14ac:dyDescent="0.2">
      <c r="A25" s="9" t="s">
        <v>1692</v>
      </c>
      <c r="B25" s="9" t="s">
        <v>1693</v>
      </c>
      <c r="C25" s="9" t="s">
        <v>1132</v>
      </c>
      <c r="D25" s="9" t="str">
        <f>"1,0261"</f>
        <v>1,0261</v>
      </c>
      <c r="E25" s="9" t="s">
        <v>18</v>
      </c>
      <c r="F25" s="9" t="s">
        <v>1694</v>
      </c>
      <c r="G25" s="10" t="s">
        <v>94</v>
      </c>
      <c r="H25" s="10" t="s">
        <v>266</v>
      </c>
      <c r="I25" s="10" t="s">
        <v>33</v>
      </c>
      <c r="J25" s="11"/>
      <c r="K25" s="9" t="str">
        <f>"120,0"</f>
        <v>120,0</v>
      </c>
      <c r="L25" s="10" t="str">
        <f>"123,1320"</f>
        <v>123,1320</v>
      </c>
      <c r="M25" s="9" t="s">
        <v>1695</v>
      </c>
    </row>
    <row r="26" spans="1:13" x14ac:dyDescent="0.2">
      <c r="A26" s="12" t="s">
        <v>1697</v>
      </c>
      <c r="B26" s="12" t="s">
        <v>1358</v>
      </c>
      <c r="C26" s="12" t="s">
        <v>1698</v>
      </c>
      <c r="D26" s="12" t="str">
        <f>"1,0539"</f>
        <v>1,0539</v>
      </c>
      <c r="E26" s="12" t="s">
        <v>18</v>
      </c>
      <c r="F26" s="12" t="s">
        <v>1046</v>
      </c>
      <c r="G26" s="17" t="s">
        <v>283</v>
      </c>
      <c r="H26" s="17" t="s">
        <v>284</v>
      </c>
      <c r="I26" s="17" t="s">
        <v>285</v>
      </c>
      <c r="J26" s="13"/>
      <c r="K26" s="12" t="str">
        <f>"107,5"</f>
        <v>107,5</v>
      </c>
      <c r="L26" s="17" t="str">
        <f>"113,2943"</f>
        <v>113,2943</v>
      </c>
      <c r="M26" s="12" t="s">
        <v>1699</v>
      </c>
    </row>
    <row r="27" spans="1:13" x14ac:dyDescent="0.2">
      <c r="A27" s="12" t="s">
        <v>1701</v>
      </c>
      <c r="B27" s="12" t="s">
        <v>1702</v>
      </c>
      <c r="C27" s="12" t="s">
        <v>1703</v>
      </c>
      <c r="D27" s="12" t="str">
        <f>"1,0294"</f>
        <v>1,0294</v>
      </c>
      <c r="E27" s="12" t="s">
        <v>18</v>
      </c>
      <c r="F27" s="12" t="s">
        <v>19</v>
      </c>
      <c r="G27" s="13" t="s">
        <v>285</v>
      </c>
      <c r="H27" s="17" t="s">
        <v>285</v>
      </c>
      <c r="I27" s="13" t="s">
        <v>33</v>
      </c>
      <c r="J27" s="13"/>
      <c r="K27" s="12" t="str">
        <f>"107,5"</f>
        <v>107,5</v>
      </c>
      <c r="L27" s="17" t="str">
        <f>"110,6605"</f>
        <v>110,6605</v>
      </c>
      <c r="M27" s="12" t="s">
        <v>54</v>
      </c>
    </row>
    <row r="28" spans="1:13" x14ac:dyDescent="0.2">
      <c r="A28" s="12" t="s">
        <v>1705</v>
      </c>
      <c r="B28" s="12" t="s">
        <v>1706</v>
      </c>
      <c r="C28" s="12" t="s">
        <v>1707</v>
      </c>
      <c r="D28" s="12" t="str">
        <f>"1,0374"</f>
        <v>1,0374</v>
      </c>
      <c r="E28" s="12" t="s">
        <v>18</v>
      </c>
      <c r="F28" s="12" t="s">
        <v>778</v>
      </c>
      <c r="G28" s="17" t="s">
        <v>283</v>
      </c>
      <c r="H28" s="17" t="s">
        <v>285</v>
      </c>
      <c r="I28" s="13" t="s">
        <v>356</v>
      </c>
      <c r="J28" s="13"/>
      <c r="K28" s="12" t="str">
        <f>"107,5"</f>
        <v>107,5</v>
      </c>
      <c r="L28" s="17" t="str">
        <f>"113,7509"</f>
        <v>113,7509</v>
      </c>
      <c r="M28" s="12" t="s">
        <v>1339</v>
      </c>
    </row>
    <row r="29" spans="1:13" x14ac:dyDescent="0.2">
      <c r="A29" s="12" t="s">
        <v>1709</v>
      </c>
      <c r="B29" s="12" t="s">
        <v>1710</v>
      </c>
      <c r="C29" s="12" t="s">
        <v>1711</v>
      </c>
      <c r="D29" s="12" t="str">
        <f>"1,0408"</f>
        <v>1,0408</v>
      </c>
      <c r="E29" s="12" t="s">
        <v>18</v>
      </c>
      <c r="F29" s="12" t="s">
        <v>19</v>
      </c>
      <c r="G29" s="17" t="s">
        <v>335</v>
      </c>
      <c r="H29" s="17" t="s">
        <v>325</v>
      </c>
      <c r="I29" s="13" t="s">
        <v>337</v>
      </c>
      <c r="J29" s="13"/>
      <c r="K29" s="12" t="str">
        <f>"90,0"</f>
        <v>90,0</v>
      </c>
      <c r="L29" s="17" t="str">
        <f>"95,5454"</f>
        <v>95,5454</v>
      </c>
      <c r="M29" s="12" t="s">
        <v>1712</v>
      </c>
    </row>
    <row r="30" spans="1:13" x14ac:dyDescent="0.2">
      <c r="A30" s="14" t="s">
        <v>1713</v>
      </c>
      <c r="B30" s="14" t="s">
        <v>580</v>
      </c>
      <c r="C30" s="14" t="s">
        <v>581</v>
      </c>
      <c r="D30" s="14" t="str">
        <f>"1,0272"</f>
        <v>1,0272</v>
      </c>
      <c r="E30" s="14" t="s">
        <v>18</v>
      </c>
      <c r="F30" s="14" t="s">
        <v>19</v>
      </c>
      <c r="G30" s="15" t="s">
        <v>34</v>
      </c>
      <c r="H30" s="15" t="s">
        <v>35</v>
      </c>
      <c r="I30" s="15" t="s">
        <v>349</v>
      </c>
      <c r="J30" s="16"/>
      <c r="K30" s="14" t="str">
        <f>"137,5"</f>
        <v>137,5</v>
      </c>
      <c r="L30" s="15" t="str">
        <f>"185,7306"</f>
        <v>185,7306</v>
      </c>
      <c r="M30" s="14" t="s">
        <v>548</v>
      </c>
    </row>
    <row r="32" spans="1:13" ht="15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3" x14ac:dyDescent="0.2">
      <c r="A33" s="6" t="s">
        <v>1715</v>
      </c>
      <c r="B33" s="6" t="s">
        <v>1716</v>
      </c>
      <c r="C33" s="6" t="s">
        <v>1717</v>
      </c>
      <c r="D33" s="6" t="str">
        <f>"0,8912"</f>
        <v>0,8912</v>
      </c>
      <c r="E33" s="6" t="s">
        <v>18</v>
      </c>
      <c r="F33" s="6" t="s">
        <v>19</v>
      </c>
      <c r="G33" s="8" t="s">
        <v>95</v>
      </c>
      <c r="H33" s="8" t="s">
        <v>43</v>
      </c>
      <c r="I33" s="8" t="s">
        <v>35</v>
      </c>
      <c r="J33" s="7"/>
      <c r="K33" s="6" t="str">
        <f>"135,0"</f>
        <v>135,0</v>
      </c>
      <c r="L33" s="8" t="str">
        <f>"120,3120"</f>
        <v>120,3120</v>
      </c>
      <c r="M33" s="6" t="s">
        <v>1718</v>
      </c>
    </row>
    <row r="35" spans="1:13" ht="15" x14ac:dyDescent="0.2">
      <c r="A35" s="32" t="s">
        <v>1719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3" x14ac:dyDescent="0.2">
      <c r="A36" s="6" t="s">
        <v>1721</v>
      </c>
      <c r="B36" s="6" t="s">
        <v>1722</v>
      </c>
      <c r="C36" s="6" t="s">
        <v>1723</v>
      </c>
      <c r="D36" s="6" t="str">
        <f>"0,8464"</f>
        <v>0,8464</v>
      </c>
      <c r="E36" s="6" t="s">
        <v>18</v>
      </c>
      <c r="F36" s="6" t="s">
        <v>456</v>
      </c>
      <c r="G36" s="8" t="s">
        <v>43</v>
      </c>
      <c r="H36" s="8" t="s">
        <v>349</v>
      </c>
      <c r="I36" s="8" t="s">
        <v>75</v>
      </c>
      <c r="J36" s="7"/>
      <c r="K36" s="6" t="str">
        <f>"157,5"</f>
        <v>157,5</v>
      </c>
      <c r="L36" s="8" t="str">
        <f>"133,3080"</f>
        <v>133,3080</v>
      </c>
      <c r="M36" s="6" t="s">
        <v>1339</v>
      </c>
    </row>
    <row r="38" spans="1:13" ht="15" x14ac:dyDescent="0.2">
      <c r="A38" s="32" t="s">
        <v>351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3" x14ac:dyDescent="0.2">
      <c r="A39" s="6" t="s">
        <v>1725</v>
      </c>
      <c r="B39" s="6" t="s">
        <v>1726</v>
      </c>
      <c r="C39" s="6" t="s">
        <v>1727</v>
      </c>
      <c r="D39" s="6" t="str">
        <f>"0,9088"</f>
        <v>0,9088</v>
      </c>
      <c r="E39" s="6" t="s">
        <v>18</v>
      </c>
      <c r="F39" s="6" t="s">
        <v>19</v>
      </c>
      <c r="G39" s="7" t="s">
        <v>239</v>
      </c>
      <c r="H39" s="8" t="s">
        <v>75</v>
      </c>
      <c r="I39" s="8" t="s">
        <v>76</v>
      </c>
      <c r="J39" s="7"/>
      <c r="K39" s="6" t="str">
        <f>"165,0"</f>
        <v>165,0</v>
      </c>
      <c r="L39" s="8" t="str">
        <f>"149,9520"</f>
        <v>149,9520</v>
      </c>
      <c r="M39" s="6" t="s">
        <v>1728</v>
      </c>
    </row>
    <row r="41" spans="1:13" ht="15" x14ac:dyDescent="0.2">
      <c r="A41" s="32" t="s">
        <v>358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3" x14ac:dyDescent="0.2">
      <c r="A42" s="9" t="s">
        <v>1730</v>
      </c>
      <c r="B42" s="9" t="s">
        <v>1731</v>
      </c>
      <c r="C42" s="9" t="s">
        <v>1732</v>
      </c>
      <c r="D42" s="9" t="str">
        <f>"0,8014"</f>
        <v>0,8014</v>
      </c>
      <c r="E42" s="9" t="s">
        <v>18</v>
      </c>
      <c r="F42" s="9" t="s">
        <v>1694</v>
      </c>
      <c r="G42" s="10" t="s">
        <v>356</v>
      </c>
      <c r="H42" s="10" t="s">
        <v>43</v>
      </c>
      <c r="I42" s="10" t="s">
        <v>35</v>
      </c>
      <c r="J42" s="11"/>
      <c r="K42" s="9" t="str">
        <f>"135,0"</f>
        <v>135,0</v>
      </c>
      <c r="L42" s="10" t="str">
        <f>"108,1890"</f>
        <v>108,1890</v>
      </c>
      <c r="M42" s="9" t="s">
        <v>1695</v>
      </c>
    </row>
    <row r="43" spans="1:13" x14ac:dyDescent="0.2">
      <c r="A43" s="12" t="s">
        <v>1734</v>
      </c>
      <c r="B43" s="12" t="s">
        <v>1735</v>
      </c>
      <c r="C43" s="12" t="s">
        <v>1736</v>
      </c>
      <c r="D43" s="12" t="str">
        <f>"0,8223"</f>
        <v>0,8223</v>
      </c>
      <c r="E43" s="12" t="s">
        <v>18</v>
      </c>
      <c r="F43" s="12" t="s">
        <v>363</v>
      </c>
      <c r="G43" s="17" t="s">
        <v>533</v>
      </c>
      <c r="H43" s="17" t="s">
        <v>325</v>
      </c>
      <c r="I43" s="17" t="s">
        <v>326</v>
      </c>
      <c r="J43" s="13"/>
      <c r="K43" s="12" t="str">
        <f>"100,0"</f>
        <v>100,0</v>
      </c>
      <c r="L43" s="17" t="str">
        <f>"82,2300"</f>
        <v>82,2300</v>
      </c>
      <c r="M43" s="12" t="s">
        <v>1737</v>
      </c>
    </row>
    <row r="44" spans="1:13" x14ac:dyDescent="0.2">
      <c r="A44" s="14" t="s">
        <v>1739</v>
      </c>
      <c r="B44" s="14" t="s">
        <v>1740</v>
      </c>
      <c r="C44" s="14" t="s">
        <v>748</v>
      </c>
      <c r="D44" s="14" t="str">
        <f>"0,7747"</f>
        <v>0,7747</v>
      </c>
      <c r="E44" s="14" t="s">
        <v>18</v>
      </c>
      <c r="F44" s="14" t="s">
        <v>813</v>
      </c>
      <c r="G44" s="15" t="s">
        <v>135</v>
      </c>
      <c r="H44" s="15" t="s">
        <v>427</v>
      </c>
      <c r="I44" s="16" t="s">
        <v>50</v>
      </c>
      <c r="J44" s="16"/>
      <c r="K44" s="14" t="str">
        <f>"195,0"</f>
        <v>195,0</v>
      </c>
      <c r="L44" s="15" t="str">
        <f>"151,0665"</f>
        <v>151,0665</v>
      </c>
      <c r="M44" s="14" t="s">
        <v>221</v>
      </c>
    </row>
    <row r="46" spans="1:13" ht="15" x14ac:dyDescent="0.2">
      <c r="A46" s="32" t="s">
        <v>13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3" x14ac:dyDescent="0.2">
      <c r="A47" s="9" t="s">
        <v>1742</v>
      </c>
      <c r="B47" s="9" t="s">
        <v>1743</v>
      </c>
      <c r="C47" s="9" t="s">
        <v>1744</v>
      </c>
      <c r="D47" s="9" t="str">
        <f>"0,7264"</f>
        <v>0,7264</v>
      </c>
      <c r="E47" s="9" t="s">
        <v>18</v>
      </c>
      <c r="F47" s="9" t="s">
        <v>1745</v>
      </c>
      <c r="G47" s="10" t="s">
        <v>20</v>
      </c>
      <c r="H47" s="10" t="s">
        <v>76</v>
      </c>
      <c r="I47" s="10" t="s">
        <v>135</v>
      </c>
      <c r="J47" s="11"/>
      <c r="K47" s="9" t="str">
        <f>"180,0"</f>
        <v>180,0</v>
      </c>
      <c r="L47" s="10" t="str">
        <f>"130,7520"</f>
        <v>130,7520</v>
      </c>
      <c r="M47" s="9" t="s">
        <v>1746</v>
      </c>
    </row>
    <row r="48" spans="1:13" x14ac:dyDescent="0.2">
      <c r="A48" s="12" t="s">
        <v>1748</v>
      </c>
      <c r="B48" s="12" t="s">
        <v>1749</v>
      </c>
      <c r="C48" s="12" t="s">
        <v>1171</v>
      </c>
      <c r="D48" s="12" t="str">
        <f>"0,7300"</f>
        <v>0,7300</v>
      </c>
      <c r="E48" s="12" t="s">
        <v>18</v>
      </c>
      <c r="F48" s="12" t="s">
        <v>1750</v>
      </c>
      <c r="G48" s="17" t="s">
        <v>76</v>
      </c>
      <c r="H48" s="13" t="s">
        <v>135</v>
      </c>
      <c r="I48" s="13" t="s">
        <v>135</v>
      </c>
      <c r="J48" s="13"/>
      <c r="K48" s="12" t="str">
        <f>"165,0"</f>
        <v>165,0</v>
      </c>
      <c r="L48" s="17" t="str">
        <f>"120,4500"</f>
        <v>120,4500</v>
      </c>
      <c r="M48" s="12" t="s">
        <v>1751</v>
      </c>
    </row>
    <row r="49" spans="1:13" x14ac:dyDescent="0.2">
      <c r="A49" s="12" t="s">
        <v>1752</v>
      </c>
      <c r="B49" s="12" t="s">
        <v>597</v>
      </c>
      <c r="C49" s="12" t="s">
        <v>598</v>
      </c>
      <c r="D49" s="12" t="str">
        <f>"0,7139"</f>
        <v>0,7139</v>
      </c>
      <c r="E49" s="12" t="s">
        <v>18</v>
      </c>
      <c r="F49" s="12" t="s">
        <v>19</v>
      </c>
      <c r="G49" s="17" t="s">
        <v>35</v>
      </c>
      <c r="H49" s="13" t="s">
        <v>594</v>
      </c>
      <c r="I49" s="17" t="s">
        <v>85</v>
      </c>
      <c r="J49" s="13"/>
      <c r="K49" s="12" t="str">
        <f>"152,5"</f>
        <v>152,5</v>
      </c>
      <c r="L49" s="17" t="str">
        <f>"108,8698"</f>
        <v>108,8698</v>
      </c>
      <c r="M49" s="12" t="s">
        <v>600</v>
      </c>
    </row>
    <row r="50" spans="1:13" x14ac:dyDescent="0.2">
      <c r="A50" s="12" t="s">
        <v>1754</v>
      </c>
      <c r="B50" s="12" t="s">
        <v>1755</v>
      </c>
      <c r="C50" s="12" t="s">
        <v>1756</v>
      </c>
      <c r="D50" s="12" t="str">
        <f>"0,7159"</f>
        <v>0,7159</v>
      </c>
      <c r="E50" s="12" t="s">
        <v>18</v>
      </c>
      <c r="F50" s="12" t="s">
        <v>19</v>
      </c>
      <c r="G50" s="17" t="s">
        <v>50</v>
      </c>
      <c r="H50" s="17" t="s">
        <v>605</v>
      </c>
      <c r="I50" s="13"/>
      <c r="J50" s="13"/>
      <c r="K50" s="12" t="str">
        <f>"217,5"</f>
        <v>217,5</v>
      </c>
      <c r="L50" s="17" t="str">
        <f>"164,2722"</f>
        <v>164,2722</v>
      </c>
      <c r="M50" s="12" t="s">
        <v>1757</v>
      </c>
    </row>
    <row r="51" spans="1:13" x14ac:dyDescent="0.2">
      <c r="A51" s="14" t="s">
        <v>1758</v>
      </c>
      <c r="B51" s="14" t="s">
        <v>1179</v>
      </c>
      <c r="C51" s="14" t="s">
        <v>1162</v>
      </c>
      <c r="D51" s="14" t="str">
        <f>"0,7146"</f>
        <v>0,7146</v>
      </c>
      <c r="E51" s="14" t="s">
        <v>18</v>
      </c>
      <c r="F51" s="14" t="s">
        <v>778</v>
      </c>
      <c r="G51" s="15" t="s">
        <v>74</v>
      </c>
      <c r="H51" s="15" t="s">
        <v>52</v>
      </c>
      <c r="I51" s="15" t="s">
        <v>20</v>
      </c>
      <c r="J51" s="16"/>
      <c r="K51" s="14" t="str">
        <f>"150,0"</f>
        <v>150,0</v>
      </c>
      <c r="L51" s="15" t="str">
        <f>"192,4061"</f>
        <v>192,4061</v>
      </c>
      <c r="M51" s="14" t="s">
        <v>1180</v>
      </c>
    </row>
    <row r="53" spans="1:13" ht="15" x14ac:dyDescent="0.2">
      <c r="A53" s="32" t="s">
        <v>390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3" x14ac:dyDescent="0.2">
      <c r="A54" s="9" t="s">
        <v>1760</v>
      </c>
      <c r="B54" s="9" t="s">
        <v>1761</v>
      </c>
      <c r="C54" s="9" t="s">
        <v>1762</v>
      </c>
      <c r="D54" s="9" t="str">
        <f>"0,7036"</f>
        <v>0,7036</v>
      </c>
      <c r="E54" s="9" t="s">
        <v>18</v>
      </c>
      <c r="F54" s="9" t="s">
        <v>363</v>
      </c>
      <c r="G54" s="10" t="s">
        <v>533</v>
      </c>
      <c r="H54" s="10" t="s">
        <v>337</v>
      </c>
      <c r="I54" s="10" t="s">
        <v>95</v>
      </c>
      <c r="J54" s="11"/>
      <c r="K54" s="9" t="str">
        <f>"110,0"</f>
        <v>110,0</v>
      </c>
      <c r="L54" s="10" t="str">
        <f>"77,3960"</f>
        <v>77,3960</v>
      </c>
      <c r="M54" s="9" t="s">
        <v>233</v>
      </c>
    </row>
    <row r="55" spans="1:13" x14ac:dyDescent="0.2">
      <c r="A55" s="12" t="s">
        <v>1764</v>
      </c>
      <c r="B55" s="12" t="s">
        <v>1765</v>
      </c>
      <c r="C55" s="12" t="s">
        <v>1220</v>
      </c>
      <c r="D55" s="12" t="str">
        <f>"0,6922"</f>
        <v>0,6922</v>
      </c>
      <c r="E55" s="12" t="s">
        <v>18</v>
      </c>
      <c r="F55" s="12" t="s">
        <v>778</v>
      </c>
      <c r="G55" s="17" t="s">
        <v>112</v>
      </c>
      <c r="H55" s="13" t="s">
        <v>1371</v>
      </c>
      <c r="I55" s="17" t="s">
        <v>1371</v>
      </c>
      <c r="J55" s="13"/>
      <c r="K55" s="12" t="str">
        <f>"187,5"</f>
        <v>187,5</v>
      </c>
      <c r="L55" s="17" t="str">
        <f>"129,7875"</f>
        <v>129,7875</v>
      </c>
      <c r="M55" s="12" t="s">
        <v>1339</v>
      </c>
    </row>
    <row r="56" spans="1:13" x14ac:dyDescent="0.2">
      <c r="A56" s="12" t="s">
        <v>1767</v>
      </c>
      <c r="B56" s="12" t="s">
        <v>1768</v>
      </c>
      <c r="C56" s="12" t="s">
        <v>1215</v>
      </c>
      <c r="D56" s="12" t="str">
        <f>"0,6759"</f>
        <v>0,6759</v>
      </c>
      <c r="E56" s="12" t="s">
        <v>18</v>
      </c>
      <c r="F56" s="12" t="s">
        <v>1745</v>
      </c>
      <c r="G56" s="17" t="s">
        <v>421</v>
      </c>
      <c r="H56" s="17" t="s">
        <v>102</v>
      </c>
      <c r="I56" s="13" t="s">
        <v>77</v>
      </c>
      <c r="J56" s="13"/>
      <c r="K56" s="12" t="str">
        <f>"250,0"</f>
        <v>250,0</v>
      </c>
      <c r="L56" s="17" t="str">
        <f>"168,9750"</f>
        <v>168,9750</v>
      </c>
      <c r="M56" s="12" t="s">
        <v>1769</v>
      </c>
    </row>
    <row r="57" spans="1:13" x14ac:dyDescent="0.2">
      <c r="A57" s="12" t="s">
        <v>1771</v>
      </c>
      <c r="B57" s="12" t="s">
        <v>1772</v>
      </c>
      <c r="C57" s="12" t="s">
        <v>1184</v>
      </c>
      <c r="D57" s="12" t="str">
        <f>"0,6724"</f>
        <v>0,6724</v>
      </c>
      <c r="E57" s="12" t="s">
        <v>18</v>
      </c>
      <c r="F57" s="12" t="s">
        <v>970</v>
      </c>
      <c r="G57" s="17" t="s">
        <v>31</v>
      </c>
      <c r="H57" s="13" t="s">
        <v>32</v>
      </c>
      <c r="I57" s="13" t="s">
        <v>32</v>
      </c>
      <c r="J57" s="13"/>
      <c r="K57" s="12" t="str">
        <f>"210,0"</f>
        <v>210,0</v>
      </c>
      <c r="L57" s="17" t="str">
        <f>"141,2040"</f>
        <v>141,2040</v>
      </c>
      <c r="M57" s="12" t="s">
        <v>1773</v>
      </c>
    </row>
    <row r="58" spans="1:13" x14ac:dyDescent="0.2">
      <c r="A58" s="12" t="s">
        <v>1775</v>
      </c>
      <c r="B58" s="12" t="s">
        <v>1776</v>
      </c>
      <c r="C58" s="12" t="s">
        <v>1777</v>
      </c>
      <c r="D58" s="12" t="str">
        <f>"0,6719"</f>
        <v>0,6719</v>
      </c>
      <c r="E58" s="12" t="s">
        <v>18</v>
      </c>
      <c r="F58" s="12" t="s">
        <v>19</v>
      </c>
      <c r="G58" s="17" t="s">
        <v>135</v>
      </c>
      <c r="H58" s="17" t="s">
        <v>1371</v>
      </c>
      <c r="I58" s="17" t="s">
        <v>53</v>
      </c>
      <c r="J58" s="13"/>
      <c r="K58" s="12" t="str">
        <f>"200,0"</f>
        <v>200,0</v>
      </c>
      <c r="L58" s="17" t="str">
        <f>"134,3800"</f>
        <v>134,3800</v>
      </c>
      <c r="M58" s="12" t="s">
        <v>1778</v>
      </c>
    </row>
    <row r="59" spans="1:13" x14ac:dyDescent="0.2">
      <c r="A59" s="14" t="s">
        <v>1780</v>
      </c>
      <c r="B59" s="14" t="s">
        <v>1781</v>
      </c>
      <c r="C59" s="14" t="s">
        <v>1782</v>
      </c>
      <c r="D59" s="14" t="str">
        <f>"0,6749"</f>
        <v>0,6749</v>
      </c>
      <c r="E59" s="14" t="s">
        <v>18</v>
      </c>
      <c r="F59" s="14" t="s">
        <v>19</v>
      </c>
      <c r="G59" s="15" t="s">
        <v>86</v>
      </c>
      <c r="H59" s="15" t="s">
        <v>381</v>
      </c>
      <c r="I59" s="16" t="s">
        <v>36</v>
      </c>
      <c r="J59" s="16"/>
      <c r="K59" s="14" t="str">
        <f>"227,5"</f>
        <v>227,5</v>
      </c>
      <c r="L59" s="15" t="str">
        <f>"166,1300"</f>
        <v>166,1300</v>
      </c>
      <c r="M59" s="14" t="s">
        <v>54</v>
      </c>
    </row>
    <row r="61" spans="1:13" ht="15" x14ac:dyDescent="0.2">
      <c r="A61" s="32" t="s">
        <v>26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3" x14ac:dyDescent="0.2">
      <c r="A62" s="9" t="s">
        <v>1784</v>
      </c>
      <c r="B62" s="9" t="s">
        <v>1785</v>
      </c>
      <c r="C62" s="9" t="s">
        <v>1786</v>
      </c>
      <c r="D62" s="9" t="str">
        <f>"0,6406"</f>
        <v>0,6406</v>
      </c>
      <c r="E62" s="9" t="s">
        <v>18</v>
      </c>
      <c r="F62" s="9" t="s">
        <v>363</v>
      </c>
      <c r="G62" s="10" t="s">
        <v>34</v>
      </c>
      <c r="H62" s="10" t="s">
        <v>74</v>
      </c>
      <c r="I62" s="10" t="s">
        <v>20</v>
      </c>
      <c r="J62" s="11"/>
      <c r="K62" s="9" t="str">
        <f>"150,0"</f>
        <v>150,0</v>
      </c>
      <c r="L62" s="10" t="str">
        <f>"96,0900"</f>
        <v>96,0900</v>
      </c>
      <c r="M62" s="9" t="s">
        <v>233</v>
      </c>
    </row>
    <row r="63" spans="1:13" x14ac:dyDescent="0.2">
      <c r="A63" s="12" t="s">
        <v>1788</v>
      </c>
      <c r="B63" s="12" t="s">
        <v>1789</v>
      </c>
      <c r="C63" s="12" t="s">
        <v>1225</v>
      </c>
      <c r="D63" s="12" t="str">
        <f>"0,6444"</f>
        <v>0,6444</v>
      </c>
      <c r="E63" s="12" t="s">
        <v>18</v>
      </c>
      <c r="F63" s="12" t="s">
        <v>1790</v>
      </c>
      <c r="G63" s="17" t="s">
        <v>31</v>
      </c>
      <c r="H63" s="17" t="s">
        <v>381</v>
      </c>
      <c r="I63" s="17" t="s">
        <v>37</v>
      </c>
      <c r="J63" s="13"/>
      <c r="K63" s="12" t="str">
        <f>"240,0"</f>
        <v>240,0</v>
      </c>
      <c r="L63" s="17" t="str">
        <f>"154,6560"</f>
        <v>154,6560</v>
      </c>
      <c r="M63" s="12" t="s">
        <v>1791</v>
      </c>
    </row>
    <row r="64" spans="1:13" x14ac:dyDescent="0.2">
      <c r="A64" s="12" t="s">
        <v>1793</v>
      </c>
      <c r="B64" s="12" t="s">
        <v>1794</v>
      </c>
      <c r="C64" s="12" t="s">
        <v>1592</v>
      </c>
      <c r="D64" s="12" t="str">
        <f>"0,6417"</f>
        <v>0,6417</v>
      </c>
      <c r="E64" s="12" t="s">
        <v>18</v>
      </c>
      <c r="F64" s="12" t="s">
        <v>19</v>
      </c>
      <c r="G64" s="17" t="s">
        <v>36</v>
      </c>
      <c r="H64" s="17" t="s">
        <v>37</v>
      </c>
      <c r="I64" s="13" t="s">
        <v>71</v>
      </c>
      <c r="J64" s="13"/>
      <c r="K64" s="12" t="str">
        <f>"240,0"</f>
        <v>240,0</v>
      </c>
      <c r="L64" s="17" t="str">
        <f>"154,0080"</f>
        <v>154,0080</v>
      </c>
      <c r="M64" s="12" t="s">
        <v>1795</v>
      </c>
    </row>
    <row r="65" spans="1:13" x14ac:dyDescent="0.2">
      <c r="A65" s="12" t="s">
        <v>1797</v>
      </c>
      <c r="B65" s="12" t="s">
        <v>1798</v>
      </c>
      <c r="C65" s="12" t="s">
        <v>1592</v>
      </c>
      <c r="D65" s="12" t="str">
        <f>"0,6417"</f>
        <v>0,6417</v>
      </c>
      <c r="E65" s="12" t="s">
        <v>18</v>
      </c>
      <c r="F65" s="12" t="s">
        <v>19</v>
      </c>
      <c r="G65" s="17" t="s">
        <v>37</v>
      </c>
      <c r="H65" s="13" t="s">
        <v>77</v>
      </c>
      <c r="I65" s="13"/>
      <c r="J65" s="13"/>
      <c r="K65" s="12" t="str">
        <f>"240,0"</f>
        <v>240,0</v>
      </c>
      <c r="L65" s="17" t="str">
        <f>"154,0080"</f>
        <v>154,0080</v>
      </c>
      <c r="M65" s="12" t="s">
        <v>221</v>
      </c>
    </row>
    <row r="66" spans="1:13" x14ac:dyDescent="0.2">
      <c r="A66" s="12" t="s">
        <v>1800</v>
      </c>
      <c r="B66" s="12" t="s">
        <v>1801</v>
      </c>
      <c r="C66" s="12" t="s">
        <v>41</v>
      </c>
      <c r="D66" s="12" t="str">
        <f>"0,6384"</f>
        <v>0,6384</v>
      </c>
      <c r="E66" s="12" t="s">
        <v>18</v>
      </c>
      <c r="F66" s="12" t="s">
        <v>19</v>
      </c>
      <c r="G66" s="17" t="s">
        <v>37</v>
      </c>
      <c r="H66" s="13" t="s">
        <v>102</v>
      </c>
      <c r="I66" s="13" t="s">
        <v>102</v>
      </c>
      <c r="J66" s="13"/>
      <c r="K66" s="12" t="str">
        <f>"240,0"</f>
        <v>240,0</v>
      </c>
      <c r="L66" s="17" t="str">
        <f>"153,2160"</f>
        <v>153,2160</v>
      </c>
      <c r="M66" s="12" t="s">
        <v>1802</v>
      </c>
    </row>
    <row r="67" spans="1:13" x14ac:dyDescent="0.2">
      <c r="A67" s="12" t="s">
        <v>1804</v>
      </c>
      <c r="B67" s="12" t="s">
        <v>1805</v>
      </c>
      <c r="C67" s="12" t="s">
        <v>1806</v>
      </c>
      <c r="D67" s="12" t="str">
        <f>"0,6398"</f>
        <v>0,6398</v>
      </c>
      <c r="E67" s="12" t="s">
        <v>18</v>
      </c>
      <c r="F67" s="12" t="s">
        <v>1807</v>
      </c>
      <c r="G67" s="17" t="s">
        <v>31</v>
      </c>
      <c r="H67" s="13" t="s">
        <v>381</v>
      </c>
      <c r="I67" s="17" t="s">
        <v>381</v>
      </c>
      <c r="J67" s="13"/>
      <c r="K67" s="12" t="str">
        <f>"227,5"</f>
        <v>227,5</v>
      </c>
      <c r="L67" s="17" t="str">
        <f>"145,5545"</f>
        <v>145,5545</v>
      </c>
      <c r="M67" s="12" t="s">
        <v>1604</v>
      </c>
    </row>
    <row r="68" spans="1:13" x14ac:dyDescent="0.2">
      <c r="A68" s="12" t="s">
        <v>1809</v>
      </c>
      <c r="B68" s="12" t="s">
        <v>1810</v>
      </c>
      <c r="C68" s="12" t="s">
        <v>1811</v>
      </c>
      <c r="D68" s="12" t="str">
        <f>"0,6515"</f>
        <v>0,6515</v>
      </c>
      <c r="E68" s="12" t="s">
        <v>18</v>
      </c>
      <c r="F68" s="12" t="s">
        <v>1812</v>
      </c>
      <c r="G68" s="17" t="s">
        <v>427</v>
      </c>
      <c r="H68" s="13" t="s">
        <v>435</v>
      </c>
      <c r="I68" s="13" t="s">
        <v>435</v>
      </c>
      <c r="J68" s="13"/>
      <c r="K68" s="12" t="str">
        <f>"195,0"</f>
        <v>195,0</v>
      </c>
      <c r="L68" s="17" t="str">
        <f>"127,0425"</f>
        <v>127,0425</v>
      </c>
      <c r="M68" s="12" t="s">
        <v>1813</v>
      </c>
    </row>
    <row r="69" spans="1:13" x14ac:dyDescent="0.2">
      <c r="A69" s="12" t="s">
        <v>1815</v>
      </c>
      <c r="B69" s="12" t="s">
        <v>1816</v>
      </c>
      <c r="C69" s="12" t="s">
        <v>1817</v>
      </c>
      <c r="D69" s="12" t="str">
        <f>"0,6467"</f>
        <v>0,6467</v>
      </c>
      <c r="E69" s="12" t="s">
        <v>18</v>
      </c>
      <c r="F69" s="12" t="s">
        <v>1307</v>
      </c>
      <c r="G69" s="17" t="s">
        <v>21</v>
      </c>
      <c r="H69" s="17" t="s">
        <v>63</v>
      </c>
      <c r="I69" s="17" t="s">
        <v>42</v>
      </c>
      <c r="J69" s="13"/>
      <c r="K69" s="12" t="str">
        <f>"190,0"</f>
        <v>190,0</v>
      </c>
      <c r="L69" s="17" t="str">
        <f>"132,9486"</f>
        <v>132,9486</v>
      </c>
      <c r="M69" s="12" t="s">
        <v>1818</v>
      </c>
    </row>
    <row r="70" spans="1:13" x14ac:dyDescent="0.2">
      <c r="A70" s="14" t="s">
        <v>1820</v>
      </c>
      <c r="B70" s="14" t="s">
        <v>1821</v>
      </c>
      <c r="C70" s="14" t="s">
        <v>1822</v>
      </c>
      <c r="D70" s="14" t="str">
        <f>"0,6670"</f>
        <v>0,6670</v>
      </c>
      <c r="E70" s="14" t="s">
        <v>18</v>
      </c>
      <c r="F70" s="14" t="s">
        <v>19</v>
      </c>
      <c r="G70" s="15" t="s">
        <v>53</v>
      </c>
      <c r="H70" s="16" t="s">
        <v>127</v>
      </c>
      <c r="I70" s="16" t="s">
        <v>127</v>
      </c>
      <c r="J70" s="16"/>
      <c r="K70" s="14" t="str">
        <f>"200,0"</f>
        <v>200,0</v>
      </c>
      <c r="L70" s="15" t="str">
        <f>"155,4110"</f>
        <v>155,4110</v>
      </c>
      <c r="M70" s="14" t="s">
        <v>1823</v>
      </c>
    </row>
    <row r="72" spans="1:13" ht="15" x14ac:dyDescent="0.2">
      <c r="A72" s="32" t="s">
        <v>55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1:13" x14ac:dyDescent="0.2">
      <c r="A73" s="9" t="s">
        <v>1825</v>
      </c>
      <c r="B73" s="9" t="s">
        <v>1826</v>
      </c>
      <c r="C73" s="9" t="s">
        <v>641</v>
      </c>
      <c r="D73" s="9" t="str">
        <f>"0,6147"</f>
        <v>0,6147</v>
      </c>
      <c r="E73" s="9" t="s">
        <v>18</v>
      </c>
      <c r="F73" s="9" t="s">
        <v>19</v>
      </c>
      <c r="G73" s="10" t="s">
        <v>72</v>
      </c>
      <c r="H73" s="10" t="s">
        <v>143</v>
      </c>
      <c r="I73" s="11" t="s">
        <v>60</v>
      </c>
      <c r="J73" s="11"/>
      <c r="K73" s="9" t="str">
        <f>"272,5"</f>
        <v>272,5</v>
      </c>
      <c r="L73" s="10" t="str">
        <f>"167,5058"</f>
        <v>167,5058</v>
      </c>
      <c r="M73" s="9" t="s">
        <v>1176</v>
      </c>
    </row>
    <row r="74" spans="1:13" x14ac:dyDescent="0.2">
      <c r="A74" s="12" t="s">
        <v>1828</v>
      </c>
      <c r="B74" s="12" t="s">
        <v>1829</v>
      </c>
      <c r="C74" s="12" t="s">
        <v>1348</v>
      </c>
      <c r="D74" s="12" t="str">
        <f>"0,6126"</f>
        <v>0,6126</v>
      </c>
      <c r="E74" s="12" t="s">
        <v>18</v>
      </c>
      <c r="F74" s="12" t="s">
        <v>1349</v>
      </c>
      <c r="G74" s="17" t="s">
        <v>37</v>
      </c>
      <c r="H74" s="17" t="s">
        <v>77</v>
      </c>
      <c r="I74" s="17" t="s">
        <v>143</v>
      </c>
      <c r="J74" s="13"/>
      <c r="K74" s="12" t="str">
        <f>"272,5"</f>
        <v>272,5</v>
      </c>
      <c r="L74" s="17" t="str">
        <f>"166,9335"</f>
        <v>166,9335</v>
      </c>
      <c r="M74" s="12" t="s">
        <v>1830</v>
      </c>
    </row>
    <row r="75" spans="1:13" x14ac:dyDescent="0.2">
      <c r="A75" s="12" t="s">
        <v>1832</v>
      </c>
      <c r="B75" s="12" t="s">
        <v>1833</v>
      </c>
      <c r="C75" s="12" t="s">
        <v>237</v>
      </c>
      <c r="D75" s="12" t="str">
        <f>"0,6158"</f>
        <v>0,6158</v>
      </c>
      <c r="E75" s="12" t="s">
        <v>906</v>
      </c>
      <c r="F75" s="12" t="s">
        <v>843</v>
      </c>
      <c r="G75" s="17" t="s">
        <v>78</v>
      </c>
      <c r="H75" s="13" t="s">
        <v>143</v>
      </c>
      <c r="I75" s="13"/>
      <c r="J75" s="13"/>
      <c r="K75" s="12" t="str">
        <f>"265,0"</f>
        <v>265,0</v>
      </c>
      <c r="L75" s="17" t="str">
        <f>"163,1870"</f>
        <v>163,1870</v>
      </c>
      <c r="M75" s="12" t="s">
        <v>844</v>
      </c>
    </row>
    <row r="76" spans="1:13" x14ac:dyDescent="0.2">
      <c r="A76" s="12" t="s">
        <v>1835</v>
      </c>
      <c r="B76" s="12" t="s">
        <v>1836</v>
      </c>
      <c r="C76" s="12" t="s">
        <v>1005</v>
      </c>
      <c r="D76" s="12" t="str">
        <f>"0,6235"</f>
        <v>0,6235</v>
      </c>
      <c r="E76" s="12" t="s">
        <v>18</v>
      </c>
      <c r="F76" s="12" t="s">
        <v>19</v>
      </c>
      <c r="G76" s="17" t="s">
        <v>32</v>
      </c>
      <c r="H76" s="17" t="s">
        <v>87</v>
      </c>
      <c r="I76" s="13" t="s">
        <v>730</v>
      </c>
      <c r="J76" s="13"/>
      <c r="K76" s="12" t="str">
        <f>"237,5"</f>
        <v>237,5</v>
      </c>
      <c r="L76" s="17" t="str">
        <f>"148,0812"</f>
        <v>148,0812</v>
      </c>
      <c r="M76" s="12" t="s">
        <v>1837</v>
      </c>
    </row>
    <row r="77" spans="1:13" x14ac:dyDescent="0.2">
      <c r="A77" s="12" t="s">
        <v>1839</v>
      </c>
      <c r="B77" s="12" t="s">
        <v>1840</v>
      </c>
      <c r="C77" s="12" t="s">
        <v>1841</v>
      </c>
      <c r="D77" s="12" t="str">
        <f>"0,6191"</f>
        <v>0,6191</v>
      </c>
      <c r="E77" s="12" t="s">
        <v>18</v>
      </c>
      <c r="F77" s="12" t="s">
        <v>1842</v>
      </c>
      <c r="G77" s="17" t="s">
        <v>397</v>
      </c>
      <c r="H77" s="13" t="s">
        <v>421</v>
      </c>
      <c r="I77" s="13" t="s">
        <v>37</v>
      </c>
      <c r="J77" s="13"/>
      <c r="K77" s="12" t="str">
        <f>"225,0"</f>
        <v>225,0</v>
      </c>
      <c r="L77" s="17" t="str">
        <f>"139,2975"</f>
        <v>139,2975</v>
      </c>
      <c r="M77" s="12" t="s">
        <v>1843</v>
      </c>
    </row>
    <row r="78" spans="1:13" x14ac:dyDescent="0.2">
      <c r="A78" s="12" t="s">
        <v>1845</v>
      </c>
      <c r="B78" s="12" t="s">
        <v>1846</v>
      </c>
      <c r="C78" s="12" t="s">
        <v>1847</v>
      </c>
      <c r="D78" s="12" t="str">
        <f>"0,6169"</f>
        <v>0,6169</v>
      </c>
      <c r="E78" s="12" t="s">
        <v>18</v>
      </c>
      <c r="F78" s="12" t="s">
        <v>19</v>
      </c>
      <c r="G78" s="13" t="s">
        <v>127</v>
      </c>
      <c r="H78" s="17" t="s">
        <v>127</v>
      </c>
      <c r="I78" s="17" t="s">
        <v>31</v>
      </c>
      <c r="J78" s="13"/>
      <c r="K78" s="12" t="str">
        <f>"210,0"</f>
        <v>210,0</v>
      </c>
      <c r="L78" s="17" t="str">
        <f>"129,5490"</f>
        <v>129,5490</v>
      </c>
      <c r="M78" s="12" t="s">
        <v>1848</v>
      </c>
    </row>
    <row r="79" spans="1:13" x14ac:dyDescent="0.2">
      <c r="A79" s="12" t="s">
        <v>1849</v>
      </c>
      <c r="B79" s="12" t="s">
        <v>1850</v>
      </c>
      <c r="C79" s="12" t="s">
        <v>59</v>
      </c>
      <c r="D79" s="12" t="str">
        <f>"0,6111"</f>
        <v>0,6111</v>
      </c>
      <c r="E79" s="12" t="s">
        <v>18</v>
      </c>
      <c r="F79" s="12" t="s">
        <v>843</v>
      </c>
      <c r="G79" s="13" t="s">
        <v>42</v>
      </c>
      <c r="H79" s="13" t="s">
        <v>53</v>
      </c>
      <c r="I79" s="13" t="s">
        <v>127</v>
      </c>
      <c r="J79" s="13"/>
      <c r="K79" s="12" t="str">
        <f>"0.00"</f>
        <v>0.00</v>
      </c>
      <c r="L79" s="17" t="str">
        <f>"0,0000"</f>
        <v>0,0000</v>
      </c>
      <c r="M79" s="12" t="s">
        <v>1208</v>
      </c>
    </row>
    <row r="80" spans="1:13" x14ac:dyDescent="0.2">
      <c r="A80" s="14" t="s">
        <v>1852</v>
      </c>
      <c r="B80" s="14" t="s">
        <v>1853</v>
      </c>
      <c r="C80" s="14" t="s">
        <v>965</v>
      </c>
      <c r="D80" s="14" t="str">
        <f>"0,6139"</f>
        <v>0,6139</v>
      </c>
      <c r="E80" s="14" t="s">
        <v>18</v>
      </c>
      <c r="F80" s="14" t="s">
        <v>19</v>
      </c>
      <c r="G80" s="15" t="s">
        <v>31</v>
      </c>
      <c r="H80" s="16" t="s">
        <v>381</v>
      </c>
      <c r="I80" s="16" t="s">
        <v>381</v>
      </c>
      <c r="J80" s="16"/>
      <c r="K80" s="14" t="str">
        <f>"210,0"</f>
        <v>210,0</v>
      </c>
      <c r="L80" s="15" t="str">
        <f>"132,9155"</f>
        <v>132,9155</v>
      </c>
      <c r="M80" s="14" t="s">
        <v>1854</v>
      </c>
    </row>
    <row r="82" spans="1:13" ht="15" x14ac:dyDescent="0.2">
      <c r="A82" s="32" t="s">
        <v>97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3" x14ac:dyDescent="0.2">
      <c r="A83" s="9" t="s">
        <v>1856</v>
      </c>
      <c r="B83" s="9" t="s">
        <v>1857</v>
      </c>
      <c r="C83" s="9" t="s">
        <v>1858</v>
      </c>
      <c r="D83" s="9" t="str">
        <f>"0,5895"</f>
        <v>0,5895</v>
      </c>
      <c r="E83" s="9" t="s">
        <v>18</v>
      </c>
      <c r="F83" s="9" t="s">
        <v>19</v>
      </c>
      <c r="G83" s="10" t="s">
        <v>36</v>
      </c>
      <c r="H83" s="10" t="s">
        <v>37</v>
      </c>
      <c r="I83" s="10" t="s">
        <v>730</v>
      </c>
      <c r="J83" s="11"/>
      <c r="K83" s="9" t="str">
        <f>"247,5"</f>
        <v>247,5</v>
      </c>
      <c r="L83" s="10" t="str">
        <f>"145,9013"</f>
        <v>145,9013</v>
      </c>
      <c r="M83" s="9" t="s">
        <v>1859</v>
      </c>
    </row>
    <row r="84" spans="1:13" x14ac:dyDescent="0.2">
      <c r="A84" s="12" t="s">
        <v>1861</v>
      </c>
      <c r="B84" s="12" t="s">
        <v>1862</v>
      </c>
      <c r="C84" s="12" t="s">
        <v>1863</v>
      </c>
      <c r="D84" s="12" t="str">
        <f>"0,6064"</f>
        <v>0,6064</v>
      </c>
      <c r="E84" s="12" t="s">
        <v>18</v>
      </c>
      <c r="F84" s="12" t="s">
        <v>563</v>
      </c>
      <c r="G84" s="17" t="s">
        <v>421</v>
      </c>
      <c r="H84" s="13" t="s">
        <v>71</v>
      </c>
      <c r="I84" s="13"/>
      <c r="J84" s="13"/>
      <c r="K84" s="12" t="str">
        <f>"235,0"</f>
        <v>235,0</v>
      </c>
      <c r="L84" s="17" t="str">
        <f>"142,5040"</f>
        <v>142,5040</v>
      </c>
      <c r="M84" s="12" t="s">
        <v>404</v>
      </c>
    </row>
    <row r="85" spans="1:13" x14ac:dyDescent="0.2">
      <c r="A85" s="14" t="s">
        <v>1382</v>
      </c>
      <c r="B85" s="14" t="s">
        <v>1383</v>
      </c>
      <c r="C85" s="14" t="s">
        <v>1384</v>
      </c>
      <c r="D85" s="14" t="str">
        <f>"0,5933"</f>
        <v>0,5933</v>
      </c>
      <c r="E85" s="14" t="s">
        <v>18</v>
      </c>
      <c r="F85" s="14" t="s">
        <v>19</v>
      </c>
      <c r="G85" s="15" t="s">
        <v>71</v>
      </c>
      <c r="H85" s="16" t="s">
        <v>72</v>
      </c>
      <c r="I85" s="15" t="s">
        <v>72</v>
      </c>
      <c r="J85" s="16"/>
      <c r="K85" s="14" t="str">
        <f>"255,0"</f>
        <v>255,0</v>
      </c>
      <c r="L85" s="15" t="str">
        <f>"168,3874"</f>
        <v>168,3874</v>
      </c>
      <c r="M85" s="14" t="s">
        <v>404</v>
      </c>
    </row>
    <row r="87" spans="1:13" ht="15" x14ac:dyDescent="0.2">
      <c r="A87" s="32" t="s">
        <v>121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3" x14ac:dyDescent="0.2">
      <c r="A88" s="9" t="s">
        <v>1865</v>
      </c>
      <c r="B88" s="9" t="s">
        <v>1866</v>
      </c>
      <c r="C88" s="9" t="s">
        <v>1867</v>
      </c>
      <c r="D88" s="9" t="str">
        <f>"0,5805"</f>
        <v>0,5805</v>
      </c>
      <c r="E88" s="9" t="s">
        <v>18</v>
      </c>
      <c r="F88" s="9" t="s">
        <v>19</v>
      </c>
      <c r="G88" s="10" t="s">
        <v>37</v>
      </c>
      <c r="H88" s="11" t="s">
        <v>636</v>
      </c>
      <c r="I88" s="11" t="s">
        <v>636</v>
      </c>
      <c r="J88" s="11"/>
      <c r="K88" s="9" t="str">
        <f>"240,0"</f>
        <v>240,0</v>
      </c>
      <c r="L88" s="10" t="str">
        <f>"139,3200"</f>
        <v>139,3200</v>
      </c>
      <c r="M88" s="9" t="s">
        <v>1600</v>
      </c>
    </row>
    <row r="89" spans="1:13" x14ac:dyDescent="0.2">
      <c r="A89" s="12" t="s">
        <v>1869</v>
      </c>
      <c r="B89" s="12" t="s">
        <v>1870</v>
      </c>
      <c r="C89" s="12" t="s">
        <v>679</v>
      </c>
      <c r="D89" s="12" t="str">
        <f>"0,5703"</f>
        <v>0,5703</v>
      </c>
      <c r="E89" s="12" t="s">
        <v>18</v>
      </c>
      <c r="F89" s="12" t="s">
        <v>1075</v>
      </c>
      <c r="G89" s="17" t="s">
        <v>102</v>
      </c>
      <c r="H89" s="17" t="s">
        <v>77</v>
      </c>
      <c r="I89" s="17" t="s">
        <v>78</v>
      </c>
      <c r="J89" s="13"/>
      <c r="K89" s="12" t="str">
        <f>"265,0"</f>
        <v>265,0</v>
      </c>
      <c r="L89" s="17" t="str">
        <f>"159,4416"</f>
        <v>159,4416</v>
      </c>
      <c r="M89" s="12" t="s">
        <v>404</v>
      </c>
    </row>
    <row r="90" spans="1:13" x14ac:dyDescent="0.2">
      <c r="A90" s="12" t="s">
        <v>1872</v>
      </c>
      <c r="B90" s="12" t="s">
        <v>1873</v>
      </c>
      <c r="C90" s="12" t="s">
        <v>1443</v>
      </c>
      <c r="D90" s="12" t="str">
        <f>"0,5714"</f>
        <v>0,5714</v>
      </c>
      <c r="E90" s="12" t="s">
        <v>18</v>
      </c>
      <c r="F90" s="12" t="s">
        <v>19</v>
      </c>
      <c r="G90" s="17" t="s">
        <v>71</v>
      </c>
      <c r="H90" s="17" t="s">
        <v>72</v>
      </c>
      <c r="I90" s="13"/>
      <c r="J90" s="13"/>
      <c r="K90" s="12" t="str">
        <f>"255,0"</f>
        <v>255,0</v>
      </c>
      <c r="L90" s="17" t="str">
        <f>"157,6550"</f>
        <v>157,6550</v>
      </c>
      <c r="M90" s="12" t="s">
        <v>1874</v>
      </c>
    </row>
    <row r="91" spans="1:13" x14ac:dyDescent="0.2">
      <c r="A91" s="14" t="s">
        <v>1876</v>
      </c>
      <c r="B91" s="14" t="s">
        <v>1877</v>
      </c>
      <c r="C91" s="14" t="s">
        <v>1878</v>
      </c>
      <c r="D91" s="14" t="str">
        <f>"0,5780"</f>
        <v>0,5780</v>
      </c>
      <c r="E91" s="14" t="s">
        <v>18</v>
      </c>
      <c r="F91" s="14" t="s">
        <v>1879</v>
      </c>
      <c r="G91" s="15" t="s">
        <v>32</v>
      </c>
      <c r="H91" s="15" t="s">
        <v>36</v>
      </c>
      <c r="I91" s="15" t="s">
        <v>37</v>
      </c>
      <c r="J91" s="16"/>
      <c r="K91" s="14" t="str">
        <f>"240,0"</f>
        <v>240,0</v>
      </c>
      <c r="L91" s="15" t="str">
        <f>"193,2370"</f>
        <v>193,2370</v>
      </c>
      <c r="M91" s="14" t="s">
        <v>54</v>
      </c>
    </row>
    <row r="93" spans="1:13" ht="15" x14ac:dyDescent="0.2">
      <c r="E93" s="18" t="s">
        <v>151</v>
      </c>
    </row>
    <row r="94" spans="1:13" ht="15" x14ac:dyDescent="0.2">
      <c r="E94" s="18" t="s">
        <v>152</v>
      </c>
    </row>
    <row r="95" spans="1:13" ht="15" x14ac:dyDescent="0.2">
      <c r="E95" s="18" t="s">
        <v>153</v>
      </c>
    </row>
    <row r="96" spans="1:13" ht="15" x14ac:dyDescent="0.2">
      <c r="E96" s="18" t="s">
        <v>154</v>
      </c>
    </row>
    <row r="97" spans="1:5" ht="15" x14ac:dyDescent="0.2">
      <c r="E97" s="18" t="s">
        <v>154</v>
      </c>
    </row>
    <row r="98" spans="1:5" ht="15" x14ac:dyDescent="0.2">
      <c r="E98" s="18" t="s">
        <v>155</v>
      </c>
    </row>
    <row r="99" spans="1:5" ht="15" x14ac:dyDescent="0.2">
      <c r="E99" s="18"/>
    </row>
    <row r="101" spans="1:5" ht="18" x14ac:dyDescent="0.25">
      <c r="A101" s="19" t="s">
        <v>156</v>
      </c>
      <c r="B101" s="19"/>
    </row>
    <row r="102" spans="1:5" ht="15" x14ac:dyDescent="0.2">
      <c r="A102" s="20" t="s">
        <v>157</v>
      </c>
      <c r="B102" s="20"/>
    </row>
    <row r="103" spans="1:5" ht="14.25" x14ac:dyDescent="0.2">
      <c r="A103" s="22"/>
      <c r="B103" s="23" t="s">
        <v>468</v>
      </c>
    </row>
    <row r="104" spans="1:5" ht="15" x14ac:dyDescent="0.2">
      <c r="A104" s="24" t="s">
        <v>159</v>
      </c>
      <c r="B104" s="24" t="s">
        <v>160</v>
      </c>
      <c r="C104" s="24" t="s">
        <v>161</v>
      </c>
      <c r="D104" s="24" t="s">
        <v>162</v>
      </c>
      <c r="E104" s="24" t="s">
        <v>163</v>
      </c>
    </row>
    <row r="105" spans="1:5" x14ac:dyDescent="0.2">
      <c r="A105" s="21" t="s">
        <v>1660</v>
      </c>
      <c r="B105" s="4" t="s">
        <v>291</v>
      </c>
      <c r="C105" s="4" t="s">
        <v>686</v>
      </c>
      <c r="D105" s="4" t="s">
        <v>533</v>
      </c>
      <c r="E105" s="25" t="s">
        <v>1880</v>
      </c>
    </row>
    <row r="107" spans="1:5" ht="14.25" x14ac:dyDescent="0.2">
      <c r="A107" s="22"/>
      <c r="B107" s="23" t="s">
        <v>470</v>
      </c>
    </row>
    <row r="108" spans="1:5" ht="15" x14ac:dyDescent="0.2">
      <c r="A108" s="24" t="s">
        <v>159</v>
      </c>
      <c r="B108" s="24" t="s">
        <v>160</v>
      </c>
      <c r="C108" s="24" t="s">
        <v>161</v>
      </c>
      <c r="D108" s="24" t="s">
        <v>162</v>
      </c>
      <c r="E108" s="24" t="s">
        <v>163</v>
      </c>
    </row>
    <row r="109" spans="1:5" x14ac:dyDescent="0.2">
      <c r="A109" s="21" t="s">
        <v>1664</v>
      </c>
      <c r="B109" s="4" t="s">
        <v>471</v>
      </c>
      <c r="C109" s="4" t="s">
        <v>686</v>
      </c>
      <c r="D109" s="4" t="s">
        <v>33</v>
      </c>
      <c r="E109" s="25" t="s">
        <v>1881</v>
      </c>
    </row>
    <row r="111" spans="1:5" ht="14.25" x14ac:dyDescent="0.2">
      <c r="A111" s="22"/>
      <c r="B111" s="23" t="s">
        <v>169</v>
      </c>
    </row>
    <row r="112" spans="1:5" ht="15" x14ac:dyDescent="0.2">
      <c r="A112" s="24" t="s">
        <v>159</v>
      </c>
      <c r="B112" s="24" t="s">
        <v>160</v>
      </c>
      <c r="C112" s="24" t="s">
        <v>161</v>
      </c>
      <c r="D112" s="24" t="s">
        <v>162</v>
      </c>
      <c r="E112" s="24" t="s">
        <v>163</v>
      </c>
    </row>
    <row r="113" spans="1:5" x14ac:dyDescent="0.2">
      <c r="A113" s="21" t="s">
        <v>1008</v>
      </c>
      <c r="B113" s="4" t="s">
        <v>169</v>
      </c>
      <c r="C113" s="4" t="s">
        <v>475</v>
      </c>
      <c r="D113" s="4" t="s">
        <v>35</v>
      </c>
      <c r="E113" s="25" t="s">
        <v>1882</v>
      </c>
    </row>
    <row r="114" spans="1:5" x14ac:dyDescent="0.2">
      <c r="A114" s="21" t="s">
        <v>549</v>
      </c>
      <c r="B114" s="4" t="s">
        <v>169</v>
      </c>
      <c r="C114" s="4" t="s">
        <v>287</v>
      </c>
      <c r="D114" s="4" t="s">
        <v>20</v>
      </c>
      <c r="E114" s="25" t="s">
        <v>1883</v>
      </c>
    </row>
    <row r="115" spans="1:5" x14ac:dyDescent="0.2">
      <c r="A115" s="21" t="s">
        <v>530</v>
      </c>
      <c r="B115" s="4" t="s">
        <v>169</v>
      </c>
      <c r="C115" s="4" t="s">
        <v>475</v>
      </c>
      <c r="D115" s="4" t="s">
        <v>33</v>
      </c>
      <c r="E115" s="25" t="s">
        <v>1884</v>
      </c>
    </row>
    <row r="116" spans="1:5" x14ac:dyDescent="0.2">
      <c r="A116" s="21" t="s">
        <v>1669</v>
      </c>
      <c r="B116" s="4" t="s">
        <v>169</v>
      </c>
      <c r="C116" s="4" t="s">
        <v>287</v>
      </c>
      <c r="D116" s="4" t="s">
        <v>34</v>
      </c>
      <c r="E116" s="25" t="s">
        <v>1885</v>
      </c>
    </row>
    <row r="117" spans="1:5" x14ac:dyDescent="0.2">
      <c r="A117" s="21" t="s">
        <v>1677</v>
      </c>
      <c r="B117" s="4" t="s">
        <v>169</v>
      </c>
      <c r="C117" s="4" t="s">
        <v>481</v>
      </c>
      <c r="D117" s="4" t="s">
        <v>34</v>
      </c>
      <c r="E117" s="25" t="s">
        <v>1886</v>
      </c>
    </row>
    <row r="118" spans="1:5" x14ac:dyDescent="0.2">
      <c r="A118" s="21" t="s">
        <v>1681</v>
      </c>
      <c r="B118" s="4" t="s">
        <v>169</v>
      </c>
      <c r="C118" s="4" t="s">
        <v>481</v>
      </c>
      <c r="D118" s="4" t="s">
        <v>43</v>
      </c>
      <c r="E118" s="25" t="s">
        <v>1887</v>
      </c>
    </row>
    <row r="119" spans="1:5" x14ac:dyDescent="0.2">
      <c r="A119" s="21" t="s">
        <v>1684</v>
      </c>
      <c r="B119" s="4" t="s">
        <v>169</v>
      </c>
      <c r="C119" s="4" t="s">
        <v>481</v>
      </c>
      <c r="D119" s="4" t="s">
        <v>33</v>
      </c>
      <c r="E119" s="25" t="s">
        <v>1888</v>
      </c>
    </row>
    <row r="120" spans="1:5" x14ac:dyDescent="0.2">
      <c r="A120" s="21" t="s">
        <v>1672</v>
      </c>
      <c r="B120" s="4" t="s">
        <v>169</v>
      </c>
      <c r="C120" s="4" t="s">
        <v>287</v>
      </c>
      <c r="D120" s="4" t="s">
        <v>356</v>
      </c>
      <c r="E120" s="25" t="s">
        <v>1889</v>
      </c>
    </row>
    <row r="121" spans="1:5" x14ac:dyDescent="0.2">
      <c r="A121" s="21" t="s">
        <v>1720</v>
      </c>
      <c r="B121" s="4" t="s">
        <v>169</v>
      </c>
      <c r="C121" s="4" t="s">
        <v>1890</v>
      </c>
      <c r="D121" s="4" t="s">
        <v>75</v>
      </c>
      <c r="E121" s="25" t="s">
        <v>1891</v>
      </c>
    </row>
    <row r="122" spans="1:5" x14ac:dyDescent="0.2">
      <c r="A122" s="21" t="s">
        <v>1691</v>
      </c>
      <c r="B122" s="4" t="s">
        <v>169</v>
      </c>
      <c r="C122" s="4" t="s">
        <v>472</v>
      </c>
      <c r="D122" s="4" t="s">
        <v>33</v>
      </c>
      <c r="E122" s="25" t="s">
        <v>1892</v>
      </c>
    </row>
    <row r="123" spans="1:5" x14ac:dyDescent="0.2">
      <c r="A123" s="21" t="s">
        <v>1714</v>
      </c>
      <c r="B123" s="4" t="s">
        <v>169</v>
      </c>
      <c r="C123" s="4" t="s">
        <v>187</v>
      </c>
      <c r="D123" s="4" t="s">
        <v>35</v>
      </c>
      <c r="E123" s="25" t="s">
        <v>1893</v>
      </c>
    </row>
    <row r="124" spans="1:5" x14ac:dyDescent="0.2">
      <c r="A124" s="21" t="s">
        <v>1688</v>
      </c>
      <c r="B124" s="4" t="s">
        <v>169</v>
      </c>
      <c r="C124" s="4" t="s">
        <v>481</v>
      </c>
      <c r="D124" s="4" t="s">
        <v>284</v>
      </c>
      <c r="E124" s="25" t="s">
        <v>1894</v>
      </c>
    </row>
    <row r="125" spans="1:5" x14ac:dyDescent="0.2">
      <c r="A125" s="21" t="s">
        <v>1696</v>
      </c>
      <c r="B125" s="4" t="s">
        <v>169</v>
      </c>
      <c r="C125" s="4" t="s">
        <v>472</v>
      </c>
      <c r="D125" s="4" t="s">
        <v>285</v>
      </c>
      <c r="E125" s="25" t="s">
        <v>1895</v>
      </c>
    </row>
    <row r="126" spans="1:5" x14ac:dyDescent="0.2">
      <c r="A126" s="21" t="s">
        <v>1700</v>
      </c>
      <c r="B126" s="4" t="s">
        <v>169</v>
      </c>
      <c r="C126" s="4" t="s">
        <v>472</v>
      </c>
      <c r="D126" s="4" t="s">
        <v>285</v>
      </c>
      <c r="E126" s="25" t="s">
        <v>1896</v>
      </c>
    </row>
    <row r="128" spans="1:5" ht="14.25" x14ac:dyDescent="0.2">
      <c r="A128" s="22"/>
      <c r="B128" s="23" t="s">
        <v>158</v>
      </c>
    </row>
    <row r="129" spans="1:5" ht="15" x14ac:dyDescent="0.2">
      <c r="A129" s="24" t="s">
        <v>159</v>
      </c>
      <c r="B129" s="24" t="s">
        <v>160</v>
      </c>
      <c r="C129" s="24" t="s">
        <v>161</v>
      </c>
      <c r="D129" s="24" t="s">
        <v>162</v>
      </c>
      <c r="E129" s="24" t="s">
        <v>163</v>
      </c>
    </row>
    <row r="130" spans="1:5" x14ac:dyDescent="0.2">
      <c r="A130" s="21" t="s">
        <v>578</v>
      </c>
      <c r="B130" s="4" t="s">
        <v>937</v>
      </c>
      <c r="C130" s="4" t="s">
        <v>472</v>
      </c>
      <c r="D130" s="4" t="s">
        <v>349</v>
      </c>
      <c r="E130" s="25" t="s">
        <v>1897</v>
      </c>
    </row>
    <row r="131" spans="1:5" x14ac:dyDescent="0.2">
      <c r="A131" s="21" t="s">
        <v>1704</v>
      </c>
      <c r="B131" s="4" t="s">
        <v>164</v>
      </c>
      <c r="C131" s="4" t="s">
        <v>472</v>
      </c>
      <c r="D131" s="4" t="s">
        <v>285</v>
      </c>
      <c r="E131" s="25" t="s">
        <v>1898</v>
      </c>
    </row>
    <row r="132" spans="1:5" x14ac:dyDescent="0.2">
      <c r="A132" s="21" t="s">
        <v>1708</v>
      </c>
      <c r="B132" s="4" t="s">
        <v>164</v>
      </c>
      <c r="C132" s="4" t="s">
        <v>472</v>
      </c>
      <c r="D132" s="4" t="s">
        <v>325</v>
      </c>
      <c r="E132" s="25" t="s">
        <v>1899</v>
      </c>
    </row>
    <row r="135" spans="1:5" ht="15" x14ac:dyDescent="0.2">
      <c r="A135" s="20" t="s">
        <v>168</v>
      </c>
      <c r="B135" s="20"/>
    </row>
    <row r="136" spans="1:5" ht="14.25" x14ac:dyDescent="0.2">
      <c r="A136" s="22"/>
      <c r="B136" s="23" t="s">
        <v>290</v>
      </c>
    </row>
    <row r="137" spans="1:5" ht="15" x14ac:dyDescent="0.2">
      <c r="A137" s="24" t="s">
        <v>159</v>
      </c>
      <c r="B137" s="24" t="s">
        <v>160</v>
      </c>
      <c r="C137" s="24" t="s">
        <v>161</v>
      </c>
      <c r="D137" s="24" t="s">
        <v>162</v>
      </c>
      <c r="E137" s="24" t="s">
        <v>163</v>
      </c>
    </row>
    <row r="138" spans="1:5" x14ac:dyDescent="0.2">
      <c r="A138" s="21" t="s">
        <v>1741</v>
      </c>
      <c r="B138" s="4" t="s">
        <v>291</v>
      </c>
      <c r="C138" s="4" t="s">
        <v>165</v>
      </c>
      <c r="D138" s="4" t="s">
        <v>135</v>
      </c>
      <c r="E138" s="25" t="s">
        <v>1900</v>
      </c>
    </row>
    <row r="139" spans="1:5" x14ac:dyDescent="0.2">
      <c r="A139" s="21" t="s">
        <v>1747</v>
      </c>
      <c r="B139" s="4" t="s">
        <v>291</v>
      </c>
      <c r="C139" s="4" t="s">
        <v>165</v>
      </c>
      <c r="D139" s="4" t="s">
        <v>76</v>
      </c>
      <c r="E139" s="25" t="s">
        <v>1901</v>
      </c>
    </row>
    <row r="140" spans="1:5" x14ac:dyDescent="0.2">
      <c r="A140" s="21" t="s">
        <v>595</v>
      </c>
      <c r="B140" s="4" t="s">
        <v>291</v>
      </c>
      <c r="C140" s="4" t="s">
        <v>165</v>
      </c>
      <c r="D140" s="4" t="s">
        <v>85</v>
      </c>
      <c r="E140" s="25" t="s">
        <v>1902</v>
      </c>
    </row>
    <row r="141" spans="1:5" x14ac:dyDescent="0.2">
      <c r="A141" s="21" t="s">
        <v>1729</v>
      </c>
      <c r="B141" s="4" t="s">
        <v>291</v>
      </c>
      <c r="C141" s="4" t="s">
        <v>472</v>
      </c>
      <c r="D141" s="4" t="s">
        <v>35</v>
      </c>
      <c r="E141" s="25" t="s">
        <v>1903</v>
      </c>
    </row>
    <row r="142" spans="1:5" x14ac:dyDescent="0.2">
      <c r="A142" s="21" t="s">
        <v>1783</v>
      </c>
      <c r="B142" s="4" t="s">
        <v>291</v>
      </c>
      <c r="C142" s="4" t="s">
        <v>187</v>
      </c>
      <c r="D142" s="4" t="s">
        <v>20</v>
      </c>
      <c r="E142" s="25" t="s">
        <v>1904</v>
      </c>
    </row>
    <row r="143" spans="1:5" x14ac:dyDescent="0.2">
      <c r="A143" s="21" t="s">
        <v>1733</v>
      </c>
      <c r="B143" s="4" t="s">
        <v>291</v>
      </c>
      <c r="C143" s="4" t="s">
        <v>472</v>
      </c>
      <c r="D143" s="4" t="s">
        <v>326</v>
      </c>
      <c r="E143" s="25" t="s">
        <v>1905</v>
      </c>
    </row>
    <row r="144" spans="1:5" x14ac:dyDescent="0.2">
      <c r="A144" s="21" t="s">
        <v>1759</v>
      </c>
      <c r="B144" s="4" t="s">
        <v>291</v>
      </c>
      <c r="C144" s="4" t="s">
        <v>497</v>
      </c>
      <c r="D144" s="4" t="s">
        <v>95</v>
      </c>
      <c r="E144" s="25" t="s">
        <v>1906</v>
      </c>
    </row>
    <row r="146" spans="1:5" ht="14.25" x14ac:dyDescent="0.2">
      <c r="A146" s="22"/>
      <c r="B146" s="23" t="s">
        <v>1474</v>
      </c>
    </row>
    <row r="147" spans="1:5" ht="15" x14ac:dyDescent="0.2">
      <c r="A147" s="24" t="s">
        <v>159</v>
      </c>
      <c r="B147" s="24" t="s">
        <v>160</v>
      </c>
      <c r="C147" s="24" t="s">
        <v>161</v>
      </c>
      <c r="D147" s="24" t="s">
        <v>162</v>
      </c>
      <c r="E147" s="24" t="s">
        <v>163</v>
      </c>
    </row>
    <row r="148" spans="1:5" x14ac:dyDescent="0.2">
      <c r="A148" s="21" t="s">
        <v>1787</v>
      </c>
      <c r="B148" s="4" t="s">
        <v>471</v>
      </c>
      <c r="C148" s="4" t="s">
        <v>187</v>
      </c>
      <c r="D148" s="4" t="s">
        <v>37</v>
      </c>
      <c r="E148" s="25" t="s">
        <v>1907</v>
      </c>
    </row>
    <row r="149" spans="1:5" x14ac:dyDescent="0.2">
      <c r="A149" s="21" t="s">
        <v>1763</v>
      </c>
      <c r="B149" s="4" t="s">
        <v>471</v>
      </c>
      <c r="C149" s="4" t="s">
        <v>497</v>
      </c>
      <c r="D149" s="4" t="s">
        <v>1371</v>
      </c>
      <c r="E149" s="25" t="s">
        <v>1908</v>
      </c>
    </row>
    <row r="151" spans="1:5" ht="14.25" x14ac:dyDescent="0.2">
      <c r="A151" s="22"/>
      <c r="B151" s="23" t="s">
        <v>169</v>
      </c>
    </row>
    <row r="152" spans="1:5" ht="15" x14ac:dyDescent="0.2">
      <c r="A152" s="24" t="s">
        <v>159</v>
      </c>
      <c r="B152" s="24" t="s">
        <v>160</v>
      </c>
      <c r="C152" s="24" t="s">
        <v>161</v>
      </c>
      <c r="D152" s="24" t="s">
        <v>162</v>
      </c>
      <c r="E152" s="24" t="s">
        <v>163</v>
      </c>
    </row>
    <row r="153" spans="1:5" x14ac:dyDescent="0.2">
      <c r="A153" s="21" t="s">
        <v>1766</v>
      </c>
      <c r="B153" s="4" t="s">
        <v>169</v>
      </c>
      <c r="C153" s="4" t="s">
        <v>497</v>
      </c>
      <c r="D153" s="4" t="s">
        <v>102</v>
      </c>
      <c r="E153" s="25" t="s">
        <v>1909</v>
      </c>
    </row>
    <row r="154" spans="1:5" x14ac:dyDescent="0.2">
      <c r="A154" s="21" t="s">
        <v>1824</v>
      </c>
      <c r="B154" s="4" t="s">
        <v>169</v>
      </c>
      <c r="C154" s="4" t="s">
        <v>170</v>
      </c>
      <c r="D154" s="4" t="s">
        <v>143</v>
      </c>
      <c r="E154" s="25" t="s">
        <v>1910</v>
      </c>
    </row>
    <row r="155" spans="1:5" x14ac:dyDescent="0.2">
      <c r="A155" s="21" t="s">
        <v>1827</v>
      </c>
      <c r="B155" s="4" t="s">
        <v>169</v>
      </c>
      <c r="C155" s="4" t="s">
        <v>170</v>
      </c>
      <c r="D155" s="4" t="s">
        <v>143</v>
      </c>
      <c r="E155" s="25" t="s">
        <v>1911</v>
      </c>
    </row>
    <row r="156" spans="1:5" x14ac:dyDescent="0.2">
      <c r="A156" s="21" t="s">
        <v>1831</v>
      </c>
      <c r="B156" s="4" t="s">
        <v>169</v>
      </c>
      <c r="C156" s="4" t="s">
        <v>170</v>
      </c>
      <c r="D156" s="4" t="s">
        <v>78</v>
      </c>
      <c r="E156" s="25" t="s">
        <v>1912</v>
      </c>
    </row>
    <row r="157" spans="1:5" x14ac:dyDescent="0.2">
      <c r="A157" s="21" t="s">
        <v>1792</v>
      </c>
      <c r="B157" s="4" t="s">
        <v>169</v>
      </c>
      <c r="C157" s="4" t="s">
        <v>187</v>
      </c>
      <c r="D157" s="4" t="s">
        <v>37</v>
      </c>
      <c r="E157" s="25" t="s">
        <v>1913</v>
      </c>
    </row>
    <row r="158" spans="1:5" x14ac:dyDescent="0.2">
      <c r="A158" s="21" t="s">
        <v>1796</v>
      </c>
      <c r="B158" s="4" t="s">
        <v>169</v>
      </c>
      <c r="C158" s="4" t="s">
        <v>187</v>
      </c>
      <c r="D158" s="4" t="s">
        <v>37</v>
      </c>
      <c r="E158" s="25" t="s">
        <v>1913</v>
      </c>
    </row>
    <row r="159" spans="1:5" x14ac:dyDescent="0.2">
      <c r="A159" s="21" t="s">
        <v>1799</v>
      </c>
      <c r="B159" s="4" t="s">
        <v>169</v>
      </c>
      <c r="C159" s="4" t="s">
        <v>187</v>
      </c>
      <c r="D159" s="4" t="s">
        <v>37</v>
      </c>
      <c r="E159" s="25" t="s">
        <v>1914</v>
      </c>
    </row>
    <row r="160" spans="1:5" x14ac:dyDescent="0.2">
      <c r="A160" s="21" t="s">
        <v>1738</v>
      </c>
      <c r="B160" s="4" t="s">
        <v>169</v>
      </c>
      <c r="C160" s="4" t="s">
        <v>472</v>
      </c>
      <c r="D160" s="4" t="s">
        <v>427</v>
      </c>
      <c r="E160" s="25" t="s">
        <v>1915</v>
      </c>
    </row>
    <row r="161" spans="1:5" x14ac:dyDescent="0.2">
      <c r="A161" s="21" t="s">
        <v>1724</v>
      </c>
      <c r="B161" s="4" t="s">
        <v>169</v>
      </c>
      <c r="C161" s="4" t="s">
        <v>481</v>
      </c>
      <c r="D161" s="4" t="s">
        <v>76</v>
      </c>
      <c r="E161" s="25" t="s">
        <v>1916</v>
      </c>
    </row>
    <row r="162" spans="1:5" x14ac:dyDescent="0.2">
      <c r="A162" s="21" t="s">
        <v>1834</v>
      </c>
      <c r="B162" s="4" t="s">
        <v>169</v>
      </c>
      <c r="C162" s="4" t="s">
        <v>170</v>
      </c>
      <c r="D162" s="4" t="s">
        <v>87</v>
      </c>
      <c r="E162" s="25" t="s">
        <v>1917</v>
      </c>
    </row>
    <row r="163" spans="1:5" x14ac:dyDescent="0.2">
      <c r="A163" s="21" t="s">
        <v>1855</v>
      </c>
      <c r="B163" s="4" t="s">
        <v>169</v>
      </c>
      <c r="C163" s="4" t="s">
        <v>182</v>
      </c>
      <c r="D163" s="4" t="s">
        <v>730</v>
      </c>
      <c r="E163" s="25" t="s">
        <v>1918</v>
      </c>
    </row>
    <row r="164" spans="1:5" x14ac:dyDescent="0.2">
      <c r="A164" s="21" t="s">
        <v>1803</v>
      </c>
      <c r="B164" s="4" t="s">
        <v>169</v>
      </c>
      <c r="C164" s="4" t="s">
        <v>187</v>
      </c>
      <c r="D164" s="4" t="s">
        <v>381</v>
      </c>
      <c r="E164" s="25" t="s">
        <v>1919</v>
      </c>
    </row>
    <row r="165" spans="1:5" x14ac:dyDescent="0.2">
      <c r="A165" s="21" t="s">
        <v>1860</v>
      </c>
      <c r="B165" s="4" t="s">
        <v>169</v>
      </c>
      <c r="C165" s="4" t="s">
        <v>182</v>
      </c>
      <c r="D165" s="4" t="s">
        <v>421</v>
      </c>
      <c r="E165" s="25" t="s">
        <v>1920</v>
      </c>
    </row>
    <row r="166" spans="1:5" x14ac:dyDescent="0.2">
      <c r="A166" s="21" t="s">
        <v>1770</v>
      </c>
      <c r="B166" s="4" t="s">
        <v>169</v>
      </c>
      <c r="C166" s="4" t="s">
        <v>497</v>
      </c>
      <c r="D166" s="4" t="s">
        <v>31</v>
      </c>
      <c r="E166" s="25" t="s">
        <v>1921</v>
      </c>
    </row>
    <row r="167" spans="1:5" x14ac:dyDescent="0.2">
      <c r="A167" s="21" t="s">
        <v>1864</v>
      </c>
      <c r="B167" s="4" t="s">
        <v>169</v>
      </c>
      <c r="C167" s="4" t="s">
        <v>173</v>
      </c>
      <c r="D167" s="4" t="s">
        <v>37</v>
      </c>
      <c r="E167" s="25" t="s">
        <v>1922</v>
      </c>
    </row>
    <row r="168" spans="1:5" x14ac:dyDescent="0.2">
      <c r="A168" s="21" t="s">
        <v>1838</v>
      </c>
      <c r="B168" s="4" t="s">
        <v>169</v>
      </c>
      <c r="C168" s="4" t="s">
        <v>170</v>
      </c>
      <c r="D168" s="4" t="s">
        <v>397</v>
      </c>
      <c r="E168" s="25" t="s">
        <v>1923</v>
      </c>
    </row>
    <row r="169" spans="1:5" x14ac:dyDescent="0.2">
      <c r="A169" s="21" t="s">
        <v>1774</v>
      </c>
      <c r="B169" s="4" t="s">
        <v>169</v>
      </c>
      <c r="C169" s="4" t="s">
        <v>497</v>
      </c>
      <c r="D169" s="4" t="s">
        <v>53</v>
      </c>
      <c r="E169" s="25" t="s">
        <v>1924</v>
      </c>
    </row>
    <row r="170" spans="1:5" x14ac:dyDescent="0.2">
      <c r="A170" s="21" t="s">
        <v>1844</v>
      </c>
      <c r="B170" s="4" t="s">
        <v>169</v>
      </c>
      <c r="C170" s="4" t="s">
        <v>170</v>
      </c>
      <c r="D170" s="4" t="s">
        <v>31</v>
      </c>
      <c r="E170" s="25" t="s">
        <v>1925</v>
      </c>
    </row>
    <row r="171" spans="1:5" x14ac:dyDescent="0.2">
      <c r="A171" s="21" t="s">
        <v>1808</v>
      </c>
      <c r="B171" s="4" t="s">
        <v>169</v>
      </c>
      <c r="C171" s="4" t="s">
        <v>187</v>
      </c>
      <c r="D171" s="4" t="s">
        <v>427</v>
      </c>
      <c r="E171" s="25" t="s">
        <v>1926</v>
      </c>
    </row>
    <row r="173" spans="1:5" ht="14.25" x14ac:dyDescent="0.2">
      <c r="A173" s="22"/>
      <c r="B173" s="23" t="s">
        <v>158</v>
      </c>
    </row>
    <row r="174" spans="1:5" ht="15" x14ac:dyDescent="0.2">
      <c r="A174" s="24" t="s">
        <v>159</v>
      </c>
      <c r="B174" s="24" t="s">
        <v>160</v>
      </c>
      <c r="C174" s="24" t="s">
        <v>161</v>
      </c>
      <c r="D174" s="24" t="s">
        <v>162</v>
      </c>
      <c r="E174" s="24" t="s">
        <v>163</v>
      </c>
    </row>
    <row r="175" spans="1:5" x14ac:dyDescent="0.2">
      <c r="A175" s="21" t="s">
        <v>1875</v>
      </c>
      <c r="B175" s="4" t="s">
        <v>939</v>
      </c>
      <c r="C175" s="4" t="s">
        <v>173</v>
      </c>
      <c r="D175" s="4" t="s">
        <v>37</v>
      </c>
      <c r="E175" s="25" t="s">
        <v>1927</v>
      </c>
    </row>
    <row r="176" spans="1:5" x14ac:dyDescent="0.2">
      <c r="A176" s="21" t="s">
        <v>1177</v>
      </c>
      <c r="B176" s="4" t="s">
        <v>935</v>
      </c>
      <c r="C176" s="4" t="s">
        <v>165</v>
      </c>
      <c r="D176" s="4" t="s">
        <v>20</v>
      </c>
      <c r="E176" s="25" t="s">
        <v>1928</v>
      </c>
    </row>
    <row r="177" spans="1:5" x14ac:dyDescent="0.2">
      <c r="A177" s="21" t="s">
        <v>1381</v>
      </c>
      <c r="B177" s="4" t="s">
        <v>315</v>
      </c>
      <c r="C177" s="4" t="s">
        <v>182</v>
      </c>
      <c r="D177" s="4" t="s">
        <v>72</v>
      </c>
      <c r="E177" s="25" t="s">
        <v>1929</v>
      </c>
    </row>
    <row r="178" spans="1:5" x14ac:dyDescent="0.2">
      <c r="A178" s="21" t="s">
        <v>1779</v>
      </c>
      <c r="B178" s="4" t="s">
        <v>315</v>
      </c>
      <c r="C178" s="4" t="s">
        <v>497</v>
      </c>
      <c r="D178" s="4" t="s">
        <v>381</v>
      </c>
      <c r="E178" s="25" t="s">
        <v>1930</v>
      </c>
    </row>
    <row r="179" spans="1:5" x14ac:dyDescent="0.2">
      <c r="A179" s="21" t="s">
        <v>1753</v>
      </c>
      <c r="B179" s="4" t="s">
        <v>315</v>
      </c>
      <c r="C179" s="4" t="s">
        <v>165</v>
      </c>
      <c r="D179" s="4" t="s">
        <v>605</v>
      </c>
      <c r="E179" s="25" t="s">
        <v>1931</v>
      </c>
    </row>
    <row r="180" spans="1:5" x14ac:dyDescent="0.2">
      <c r="A180" s="21" t="s">
        <v>1868</v>
      </c>
      <c r="B180" s="4" t="s">
        <v>315</v>
      </c>
      <c r="C180" s="4" t="s">
        <v>173</v>
      </c>
      <c r="D180" s="4" t="s">
        <v>78</v>
      </c>
      <c r="E180" s="25" t="s">
        <v>1932</v>
      </c>
    </row>
    <row r="181" spans="1:5" x14ac:dyDescent="0.2">
      <c r="A181" s="21" t="s">
        <v>1871</v>
      </c>
      <c r="B181" s="4" t="s">
        <v>315</v>
      </c>
      <c r="C181" s="4" t="s">
        <v>173</v>
      </c>
      <c r="D181" s="4" t="s">
        <v>72</v>
      </c>
      <c r="E181" s="25" t="s">
        <v>1933</v>
      </c>
    </row>
    <row r="182" spans="1:5" x14ac:dyDescent="0.2">
      <c r="A182" s="21" t="s">
        <v>1819</v>
      </c>
      <c r="B182" s="4" t="s">
        <v>480</v>
      </c>
      <c r="C182" s="4" t="s">
        <v>187</v>
      </c>
      <c r="D182" s="4" t="s">
        <v>53</v>
      </c>
      <c r="E182" s="25" t="s">
        <v>1934</v>
      </c>
    </row>
    <row r="183" spans="1:5" x14ac:dyDescent="0.2">
      <c r="A183" s="21" t="s">
        <v>1814</v>
      </c>
      <c r="B183" s="4" t="s">
        <v>315</v>
      </c>
      <c r="C183" s="4" t="s">
        <v>187</v>
      </c>
      <c r="D183" s="4" t="s">
        <v>42</v>
      </c>
      <c r="E183" s="25" t="s">
        <v>1935</v>
      </c>
    </row>
    <row r="184" spans="1:5" x14ac:dyDescent="0.2">
      <c r="A184" s="21" t="s">
        <v>1851</v>
      </c>
      <c r="B184" s="4" t="s">
        <v>164</v>
      </c>
      <c r="C184" s="4" t="s">
        <v>170</v>
      </c>
      <c r="D184" s="4" t="s">
        <v>31</v>
      </c>
      <c r="E184" s="25" t="s">
        <v>1936</v>
      </c>
    </row>
  </sheetData>
  <mergeCells count="26"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  <mergeCell ref="A87:L87"/>
    <mergeCell ref="A18:L18"/>
    <mergeCell ref="A24:L24"/>
    <mergeCell ref="A32:L32"/>
    <mergeCell ref="A35:L35"/>
    <mergeCell ref="A38:L38"/>
    <mergeCell ref="A41:L41"/>
    <mergeCell ref="A46:L46"/>
    <mergeCell ref="A53:L53"/>
    <mergeCell ref="A61:L61"/>
    <mergeCell ref="A72:L72"/>
    <mergeCell ref="A82:L8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sqref="A1:K2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6" style="4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7" width="11" style="3" customWidth="1"/>
    <col min="8" max="8" width="12" style="26" customWidth="1"/>
    <col min="9" max="9" width="7.85546875" style="4" bestFit="1" customWidth="1"/>
    <col min="10" max="10" width="9.5703125" style="3" bestFit="1" customWidth="1"/>
    <col min="11" max="11" width="16.85546875" style="4" bestFit="1" customWidth="1"/>
    <col min="12" max="16384" width="9.140625" style="3"/>
  </cols>
  <sheetData>
    <row r="1" spans="1:11" s="2" customFormat="1" ht="29.1" customHeight="1" x14ac:dyDescent="0.2">
      <c r="A1" s="36" t="s">
        <v>2144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1970</v>
      </c>
      <c r="E3" s="34" t="s">
        <v>4</v>
      </c>
      <c r="F3" s="34" t="s">
        <v>8</v>
      </c>
      <c r="G3" s="34" t="s">
        <v>1969</v>
      </c>
      <c r="H3" s="34"/>
      <c r="I3" s="34" t="s">
        <v>1968</v>
      </c>
      <c r="J3" s="34" t="s">
        <v>3</v>
      </c>
      <c r="K3" s="45" t="s">
        <v>2</v>
      </c>
    </row>
    <row r="4" spans="1:11" s="1" customFormat="1" ht="21" customHeight="1" thickBot="1" x14ac:dyDescent="0.25">
      <c r="A4" s="43"/>
      <c r="B4" s="35"/>
      <c r="C4" s="35"/>
      <c r="D4" s="35"/>
      <c r="E4" s="35"/>
      <c r="F4" s="35"/>
      <c r="G4" s="5" t="s">
        <v>1967</v>
      </c>
      <c r="H4" s="30" t="s">
        <v>1966</v>
      </c>
      <c r="I4" s="35"/>
      <c r="J4" s="35"/>
      <c r="K4" s="46"/>
    </row>
    <row r="5" spans="1:11" ht="15" x14ac:dyDescent="0.2">
      <c r="A5" s="33" t="s">
        <v>26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x14ac:dyDescent="0.2">
      <c r="A6" s="9" t="s">
        <v>2121</v>
      </c>
      <c r="B6" s="9" t="s">
        <v>2126</v>
      </c>
      <c r="C6" s="9" t="s">
        <v>1265</v>
      </c>
      <c r="D6" s="9" t="str">
        <f>"0,6157"</f>
        <v>0,6157</v>
      </c>
      <c r="E6" s="9" t="s">
        <v>625</v>
      </c>
      <c r="F6" s="9" t="s">
        <v>19</v>
      </c>
      <c r="G6" s="10" t="s">
        <v>325</v>
      </c>
      <c r="H6" s="29" t="s">
        <v>328</v>
      </c>
      <c r="I6" s="9" t="str">
        <f>"4950,0"</f>
        <v>4950,0</v>
      </c>
      <c r="J6" s="10" t="str">
        <f>"3047,7150"</f>
        <v>3047,7150</v>
      </c>
      <c r="K6" s="9" t="s">
        <v>2119</v>
      </c>
    </row>
    <row r="7" spans="1:11" x14ac:dyDescent="0.2">
      <c r="A7" s="12" t="s">
        <v>2125</v>
      </c>
      <c r="B7" s="12" t="s">
        <v>2124</v>
      </c>
      <c r="C7" s="12" t="s">
        <v>2123</v>
      </c>
      <c r="D7" s="12" t="str">
        <f>"0,6263"</f>
        <v>0,6263</v>
      </c>
      <c r="E7" s="12" t="s">
        <v>18</v>
      </c>
      <c r="F7" s="12" t="s">
        <v>2122</v>
      </c>
      <c r="G7" s="17" t="s">
        <v>336</v>
      </c>
      <c r="H7" s="31" t="s">
        <v>2049</v>
      </c>
      <c r="I7" s="12" t="str">
        <f>"3850,0"</f>
        <v>3850,0</v>
      </c>
      <c r="J7" s="17" t="str">
        <f>"2411,4474"</f>
        <v>2411,4474</v>
      </c>
      <c r="K7" s="12" t="s">
        <v>18</v>
      </c>
    </row>
    <row r="8" spans="1:11" x14ac:dyDescent="0.2">
      <c r="A8" s="12" t="s">
        <v>2121</v>
      </c>
      <c r="B8" s="12" t="s">
        <v>2120</v>
      </c>
      <c r="C8" s="12" t="s">
        <v>1265</v>
      </c>
      <c r="D8" s="12" t="str">
        <f>"0,6157"</f>
        <v>0,6157</v>
      </c>
      <c r="E8" s="12" t="s">
        <v>625</v>
      </c>
      <c r="F8" s="12" t="s">
        <v>19</v>
      </c>
      <c r="G8" s="17" t="s">
        <v>325</v>
      </c>
      <c r="H8" s="31" t="s">
        <v>328</v>
      </c>
      <c r="I8" s="12" t="str">
        <f>"4950,0"</f>
        <v>4950,0</v>
      </c>
      <c r="J8" s="17" t="str">
        <f>"3254,9597"</f>
        <v>3254,9597</v>
      </c>
      <c r="K8" s="12" t="s">
        <v>2119</v>
      </c>
    </row>
    <row r="9" spans="1:11" x14ac:dyDescent="0.2">
      <c r="A9" s="12" t="s">
        <v>2118</v>
      </c>
      <c r="B9" s="12" t="s">
        <v>2117</v>
      </c>
      <c r="C9" s="12" t="s">
        <v>2116</v>
      </c>
      <c r="D9" s="12" t="str">
        <f>"0,6345"</f>
        <v>0,6345</v>
      </c>
      <c r="E9" s="12" t="s">
        <v>18</v>
      </c>
      <c r="F9" s="12" t="s">
        <v>348</v>
      </c>
      <c r="G9" s="17" t="s">
        <v>533</v>
      </c>
      <c r="H9" s="31" t="s">
        <v>2115</v>
      </c>
      <c r="I9" s="12" t="str">
        <f>"2210,0"</f>
        <v>2210,0</v>
      </c>
      <c r="J9" s="17" t="str">
        <f>"1416,1559"</f>
        <v>1416,1559</v>
      </c>
      <c r="K9" s="12" t="s">
        <v>2114</v>
      </c>
    </row>
    <row r="10" spans="1:11" x14ac:dyDescent="0.2">
      <c r="A10" s="14" t="s">
        <v>810</v>
      </c>
      <c r="B10" s="14" t="s">
        <v>2113</v>
      </c>
      <c r="C10" s="14" t="s">
        <v>812</v>
      </c>
      <c r="D10" s="14" t="str">
        <f>"0,6217"</f>
        <v>0,6217</v>
      </c>
      <c r="E10" s="14" t="s">
        <v>18</v>
      </c>
      <c r="F10" s="14" t="s">
        <v>813</v>
      </c>
      <c r="G10" s="15" t="s">
        <v>336</v>
      </c>
      <c r="H10" s="28" t="s">
        <v>2011</v>
      </c>
      <c r="I10" s="14" t="str">
        <f>"2537,5"</f>
        <v>2537,5</v>
      </c>
      <c r="J10" s="15" t="str">
        <f>"2000,5117"</f>
        <v>2000,5117</v>
      </c>
      <c r="K10" s="14" t="s">
        <v>54</v>
      </c>
    </row>
    <row r="12" spans="1:11" ht="15" x14ac:dyDescent="0.2">
      <c r="A12" s="32" t="s">
        <v>55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1" x14ac:dyDescent="0.2">
      <c r="A13" s="9" t="s">
        <v>2112</v>
      </c>
      <c r="B13" s="9" t="s">
        <v>2111</v>
      </c>
      <c r="C13" s="9" t="s">
        <v>2110</v>
      </c>
      <c r="D13" s="9" t="str">
        <f>"0,6016"</f>
        <v>0,6016</v>
      </c>
      <c r="E13" s="9" t="s">
        <v>18</v>
      </c>
      <c r="F13" s="9" t="s">
        <v>19</v>
      </c>
      <c r="G13" s="10" t="s">
        <v>337</v>
      </c>
      <c r="H13" s="29" t="s">
        <v>2109</v>
      </c>
      <c r="I13" s="9" t="str">
        <f>"3610,0"</f>
        <v>3610,0</v>
      </c>
      <c r="J13" s="10" t="str">
        <f>"2171,7760"</f>
        <v>2171,7760</v>
      </c>
      <c r="K13" s="9" t="s">
        <v>2108</v>
      </c>
    </row>
    <row r="14" spans="1:11" x14ac:dyDescent="0.2">
      <c r="A14" s="12" t="s">
        <v>822</v>
      </c>
      <c r="B14" s="12" t="s">
        <v>823</v>
      </c>
      <c r="C14" s="12" t="s">
        <v>230</v>
      </c>
      <c r="D14" s="12" t="str">
        <f>"0,5828"</f>
        <v>0,5828</v>
      </c>
      <c r="E14" s="12" t="s">
        <v>18</v>
      </c>
      <c r="F14" s="12" t="s">
        <v>813</v>
      </c>
      <c r="G14" s="17" t="s">
        <v>326</v>
      </c>
      <c r="H14" s="31" t="s">
        <v>2039</v>
      </c>
      <c r="I14" s="12" t="str">
        <f>"3400,0"</f>
        <v>3400,0</v>
      </c>
      <c r="J14" s="17" t="str">
        <f>"1981,5199"</f>
        <v>1981,5199</v>
      </c>
      <c r="K14" s="12" t="s">
        <v>824</v>
      </c>
    </row>
    <row r="15" spans="1:11" x14ac:dyDescent="0.2">
      <c r="A15" s="14" t="s">
        <v>2107</v>
      </c>
      <c r="B15" s="14" t="s">
        <v>2106</v>
      </c>
      <c r="C15" s="14" t="s">
        <v>646</v>
      </c>
      <c r="D15" s="14" t="str">
        <f>"0,5831"</f>
        <v>0,5831</v>
      </c>
      <c r="E15" s="14" t="s">
        <v>18</v>
      </c>
      <c r="F15" s="14" t="s">
        <v>19</v>
      </c>
      <c r="G15" s="15" t="s">
        <v>326</v>
      </c>
      <c r="H15" s="28" t="s">
        <v>2011</v>
      </c>
      <c r="I15" s="14" t="str">
        <f>"2900,0"</f>
        <v>2900,0</v>
      </c>
      <c r="J15" s="15" t="str">
        <f>"1910,6549"</f>
        <v>1910,6549</v>
      </c>
      <c r="K15" s="14" t="s">
        <v>54</v>
      </c>
    </row>
    <row r="17" spans="1:11" ht="15" x14ac:dyDescent="0.2">
      <c r="A17" s="32" t="s">
        <v>97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1" x14ac:dyDescent="0.2">
      <c r="A18" s="9" t="s">
        <v>2103</v>
      </c>
      <c r="B18" s="9" t="s">
        <v>2105</v>
      </c>
      <c r="C18" s="9" t="s">
        <v>2101</v>
      </c>
      <c r="D18" s="9" t="str">
        <f>"0,5806"</f>
        <v>0,5806</v>
      </c>
      <c r="E18" s="9" t="s">
        <v>18</v>
      </c>
      <c r="F18" s="9" t="s">
        <v>1963</v>
      </c>
      <c r="G18" s="10" t="s">
        <v>284</v>
      </c>
      <c r="H18" s="29" t="s">
        <v>1960</v>
      </c>
      <c r="I18" s="9" t="str">
        <f>"3075,0"</f>
        <v>3075,0</v>
      </c>
      <c r="J18" s="10" t="str">
        <f>"1785,3451"</f>
        <v>1785,3451</v>
      </c>
      <c r="K18" s="9" t="s">
        <v>2100</v>
      </c>
    </row>
    <row r="19" spans="1:11" x14ac:dyDescent="0.2">
      <c r="A19" s="12" t="s">
        <v>2099</v>
      </c>
      <c r="B19" s="12" t="s">
        <v>2104</v>
      </c>
      <c r="C19" s="12" t="s">
        <v>869</v>
      </c>
      <c r="D19" s="12" t="str">
        <f>"0,5803"</f>
        <v>0,5803</v>
      </c>
      <c r="E19" s="12" t="s">
        <v>18</v>
      </c>
      <c r="F19" s="12" t="s">
        <v>870</v>
      </c>
      <c r="G19" s="17" t="s">
        <v>284</v>
      </c>
      <c r="H19" s="31" t="s">
        <v>2041</v>
      </c>
      <c r="I19" s="12" t="str">
        <f>"2870,0"</f>
        <v>2870,0</v>
      </c>
      <c r="J19" s="17" t="str">
        <f>"1665,6044"</f>
        <v>1665,6044</v>
      </c>
      <c r="K19" s="12" t="s">
        <v>54</v>
      </c>
    </row>
    <row r="20" spans="1:11" x14ac:dyDescent="0.2">
      <c r="A20" s="12" t="s">
        <v>2103</v>
      </c>
      <c r="B20" s="12" t="s">
        <v>2102</v>
      </c>
      <c r="C20" s="12" t="s">
        <v>2101</v>
      </c>
      <c r="D20" s="12" t="str">
        <f>"0,5806"</f>
        <v>0,5806</v>
      </c>
      <c r="E20" s="12" t="s">
        <v>18</v>
      </c>
      <c r="F20" s="12" t="s">
        <v>1963</v>
      </c>
      <c r="G20" s="17" t="s">
        <v>284</v>
      </c>
      <c r="H20" s="31" t="s">
        <v>1960</v>
      </c>
      <c r="I20" s="12" t="str">
        <f>"3075,0"</f>
        <v>3075,0</v>
      </c>
      <c r="J20" s="17" t="str">
        <f>"1862,1149"</f>
        <v>1862,1149</v>
      </c>
      <c r="K20" s="12" t="s">
        <v>2100</v>
      </c>
    </row>
    <row r="21" spans="1:11" x14ac:dyDescent="0.2">
      <c r="A21" s="14" t="s">
        <v>2099</v>
      </c>
      <c r="B21" s="14" t="s">
        <v>2098</v>
      </c>
      <c r="C21" s="14" t="s">
        <v>869</v>
      </c>
      <c r="D21" s="14" t="str">
        <f>"0,5803"</f>
        <v>0,5803</v>
      </c>
      <c r="E21" s="14" t="s">
        <v>18</v>
      </c>
      <c r="F21" s="14" t="s">
        <v>870</v>
      </c>
      <c r="G21" s="15" t="s">
        <v>284</v>
      </c>
      <c r="H21" s="28" t="s">
        <v>2041</v>
      </c>
      <c r="I21" s="14" t="str">
        <f>"2870,0"</f>
        <v>2870,0</v>
      </c>
      <c r="J21" s="15" t="str">
        <f>"1717,2382"</f>
        <v>1717,2382</v>
      </c>
      <c r="K21" s="14" t="s">
        <v>54</v>
      </c>
    </row>
    <row r="23" spans="1:11" ht="15" x14ac:dyDescent="0.2">
      <c r="A23" s="32" t="s">
        <v>121</v>
      </c>
      <c r="B23" s="32"/>
      <c r="C23" s="32"/>
      <c r="D23" s="32"/>
      <c r="E23" s="32"/>
      <c r="F23" s="32"/>
      <c r="G23" s="32"/>
      <c r="H23" s="32"/>
      <c r="I23" s="32"/>
      <c r="J23" s="32"/>
    </row>
    <row r="24" spans="1:11" x14ac:dyDescent="0.2">
      <c r="A24" s="6" t="s">
        <v>2097</v>
      </c>
      <c r="B24" s="6" t="s">
        <v>2096</v>
      </c>
      <c r="C24" s="6" t="s">
        <v>2095</v>
      </c>
      <c r="D24" s="6" t="str">
        <f>"0,5618"</f>
        <v>0,5618</v>
      </c>
      <c r="E24" s="6" t="s">
        <v>18</v>
      </c>
      <c r="F24" s="6" t="s">
        <v>1280</v>
      </c>
      <c r="G24" s="8" t="s">
        <v>266</v>
      </c>
      <c r="H24" s="27" t="s">
        <v>2094</v>
      </c>
      <c r="I24" s="6" t="str">
        <f>"3037,5"</f>
        <v>3037,5</v>
      </c>
      <c r="J24" s="8" t="str">
        <f>"1706,4675"</f>
        <v>1706,4675</v>
      </c>
      <c r="K24" s="6" t="s">
        <v>404</v>
      </c>
    </row>
    <row r="26" spans="1:11" ht="15" x14ac:dyDescent="0.2">
      <c r="A26" s="32" t="s">
        <v>146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11" x14ac:dyDescent="0.2">
      <c r="A27" s="6" t="s">
        <v>2093</v>
      </c>
      <c r="B27" s="6" t="s">
        <v>904</v>
      </c>
      <c r="C27" s="6" t="s">
        <v>905</v>
      </c>
      <c r="D27" s="6" t="str">
        <f>"0,5430"</f>
        <v>0,5430</v>
      </c>
      <c r="E27" s="6" t="s">
        <v>906</v>
      </c>
      <c r="F27" s="6" t="s">
        <v>231</v>
      </c>
      <c r="G27" s="8" t="s">
        <v>396</v>
      </c>
      <c r="H27" s="27" t="s">
        <v>2092</v>
      </c>
      <c r="I27" s="6" t="str">
        <f>"2422,5"</f>
        <v>2422,5</v>
      </c>
      <c r="J27" s="8" t="str">
        <f>"1315,5143"</f>
        <v>1315,5143</v>
      </c>
      <c r="K27" s="6" t="s">
        <v>54</v>
      </c>
    </row>
    <row r="29" spans="1:11" ht="15" x14ac:dyDescent="0.2">
      <c r="E29" s="18" t="s">
        <v>151</v>
      </c>
    </row>
    <row r="30" spans="1:11" ht="15" x14ac:dyDescent="0.2">
      <c r="E30" s="18" t="s">
        <v>152</v>
      </c>
    </row>
    <row r="31" spans="1:11" ht="15" x14ac:dyDescent="0.2">
      <c r="E31" s="18" t="s">
        <v>153</v>
      </c>
    </row>
    <row r="32" spans="1:11" ht="15" x14ac:dyDescent="0.2">
      <c r="E32" s="18" t="s">
        <v>154</v>
      </c>
    </row>
    <row r="33" spans="1:5" ht="15" x14ac:dyDescent="0.2">
      <c r="E33" s="18" t="s">
        <v>154</v>
      </c>
    </row>
    <row r="34" spans="1:5" ht="15" x14ac:dyDescent="0.2">
      <c r="E34" s="18" t="s">
        <v>155</v>
      </c>
    </row>
    <row r="35" spans="1:5" ht="15" x14ac:dyDescent="0.2">
      <c r="E35" s="18"/>
    </row>
    <row r="37" spans="1:5" ht="18" x14ac:dyDescent="0.25">
      <c r="A37" s="19" t="s">
        <v>156</v>
      </c>
      <c r="B37" s="19"/>
    </row>
    <row r="38" spans="1:5" ht="15" x14ac:dyDescent="0.2">
      <c r="A38" s="20" t="s">
        <v>168</v>
      </c>
      <c r="B38" s="20"/>
    </row>
    <row r="39" spans="1:5" ht="14.25" x14ac:dyDescent="0.2">
      <c r="A39" s="22"/>
      <c r="B39" s="23" t="s">
        <v>169</v>
      </c>
    </row>
    <row r="40" spans="1:5" ht="15" x14ac:dyDescent="0.2">
      <c r="A40" s="24" t="s">
        <v>159</v>
      </c>
      <c r="B40" s="24" t="s">
        <v>160</v>
      </c>
      <c r="C40" s="24" t="s">
        <v>161</v>
      </c>
      <c r="D40" s="24" t="s">
        <v>162</v>
      </c>
      <c r="E40" s="24" t="s">
        <v>1949</v>
      </c>
    </row>
    <row r="41" spans="1:5" x14ac:dyDescent="0.2">
      <c r="A41" s="21" t="s">
        <v>2075</v>
      </c>
      <c r="B41" s="4" t="s">
        <v>169</v>
      </c>
      <c r="C41" s="4" t="s">
        <v>187</v>
      </c>
      <c r="D41" s="4" t="s">
        <v>2074</v>
      </c>
      <c r="E41" s="25" t="s">
        <v>2091</v>
      </c>
    </row>
    <row r="42" spans="1:5" x14ac:dyDescent="0.2">
      <c r="A42" s="21" t="s">
        <v>2090</v>
      </c>
      <c r="B42" s="4" t="s">
        <v>169</v>
      </c>
      <c r="C42" s="4" t="s">
        <v>187</v>
      </c>
      <c r="D42" s="4" t="s">
        <v>2089</v>
      </c>
      <c r="E42" s="25" t="s">
        <v>2088</v>
      </c>
    </row>
    <row r="43" spans="1:5" x14ac:dyDescent="0.2">
      <c r="A43" s="21" t="s">
        <v>2087</v>
      </c>
      <c r="B43" s="4" t="s">
        <v>169</v>
      </c>
      <c r="C43" s="4" t="s">
        <v>170</v>
      </c>
      <c r="D43" s="4" t="s">
        <v>2086</v>
      </c>
      <c r="E43" s="25" t="s">
        <v>2085</v>
      </c>
    </row>
    <row r="44" spans="1:5" x14ac:dyDescent="0.2">
      <c r="A44" s="21" t="s">
        <v>821</v>
      </c>
      <c r="B44" s="4" t="s">
        <v>169</v>
      </c>
      <c r="C44" s="4" t="s">
        <v>170</v>
      </c>
      <c r="D44" s="4" t="s">
        <v>2084</v>
      </c>
      <c r="E44" s="25" t="s">
        <v>2083</v>
      </c>
    </row>
    <row r="45" spans="1:5" x14ac:dyDescent="0.2">
      <c r="A45" s="21" t="s">
        <v>2067</v>
      </c>
      <c r="B45" s="4" t="s">
        <v>169</v>
      </c>
      <c r="C45" s="4" t="s">
        <v>182</v>
      </c>
      <c r="D45" s="4" t="s">
        <v>2066</v>
      </c>
      <c r="E45" s="25" t="s">
        <v>2082</v>
      </c>
    </row>
    <row r="46" spans="1:5" x14ac:dyDescent="0.2">
      <c r="A46" s="21" t="s">
        <v>2081</v>
      </c>
      <c r="B46" s="4" t="s">
        <v>169</v>
      </c>
      <c r="C46" s="4" t="s">
        <v>173</v>
      </c>
      <c r="D46" s="4" t="s">
        <v>2080</v>
      </c>
      <c r="E46" s="25" t="s">
        <v>2079</v>
      </c>
    </row>
    <row r="47" spans="1:5" x14ac:dyDescent="0.2">
      <c r="A47" s="21" t="s">
        <v>866</v>
      </c>
      <c r="B47" s="4" t="s">
        <v>169</v>
      </c>
      <c r="C47" s="4" t="s">
        <v>182</v>
      </c>
      <c r="D47" s="4" t="s">
        <v>2064</v>
      </c>
      <c r="E47" s="25" t="s">
        <v>2078</v>
      </c>
    </row>
    <row r="48" spans="1:5" x14ac:dyDescent="0.2">
      <c r="A48" s="21" t="s">
        <v>902</v>
      </c>
      <c r="B48" s="4" t="s">
        <v>169</v>
      </c>
      <c r="C48" s="4" t="s">
        <v>294</v>
      </c>
      <c r="D48" s="4" t="s">
        <v>2077</v>
      </c>
      <c r="E48" s="25" t="s">
        <v>2076</v>
      </c>
    </row>
    <row r="50" spans="1:5" ht="14.25" x14ac:dyDescent="0.2">
      <c r="A50" s="22"/>
      <c r="B50" s="23" t="s">
        <v>1950</v>
      </c>
    </row>
    <row r="51" spans="1:5" ht="15" x14ac:dyDescent="0.2">
      <c r="A51" s="24" t="s">
        <v>159</v>
      </c>
      <c r="B51" s="24" t="s">
        <v>160</v>
      </c>
      <c r="C51" s="24" t="s">
        <v>161</v>
      </c>
      <c r="D51" s="24" t="s">
        <v>162</v>
      </c>
      <c r="E51" s="24" t="s">
        <v>1949</v>
      </c>
    </row>
    <row r="52" spans="1:5" x14ac:dyDescent="0.2">
      <c r="A52" s="21" t="s">
        <v>2075</v>
      </c>
      <c r="B52" s="4" t="s">
        <v>1945</v>
      </c>
      <c r="C52" s="4" t="s">
        <v>187</v>
      </c>
      <c r="D52" s="4" t="s">
        <v>2074</v>
      </c>
      <c r="E52" s="25" t="s">
        <v>2073</v>
      </c>
    </row>
    <row r="53" spans="1:5" x14ac:dyDescent="0.2">
      <c r="A53" s="21" t="s">
        <v>809</v>
      </c>
      <c r="B53" s="4" t="s">
        <v>1979</v>
      </c>
      <c r="C53" s="4" t="s">
        <v>187</v>
      </c>
      <c r="D53" s="4" t="s">
        <v>2072</v>
      </c>
      <c r="E53" s="25" t="s">
        <v>2071</v>
      </c>
    </row>
    <row r="54" spans="1:5" x14ac:dyDescent="0.2">
      <c r="A54" s="21" t="s">
        <v>2070</v>
      </c>
      <c r="B54" s="4" t="s">
        <v>1979</v>
      </c>
      <c r="C54" s="4" t="s">
        <v>170</v>
      </c>
      <c r="D54" s="4" t="s">
        <v>2069</v>
      </c>
      <c r="E54" s="25" t="s">
        <v>2068</v>
      </c>
    </row>
    <row r="55" spans="1:5" x14ac:dyDescent="0.2">
      <c r="A55" s="21" t="s">
        <v>2067</v>
      </c>
      <c r="B55" s="4" t="s">
        <v>1945</v>
      </c>
      <c r="C55" s="4" t="s">
        <v>182</v>
      </c>
      <c r="D55" s="4" t="s">
        <v>2066</v>
      </c>
      <c r="E55" s="25" t="s">
        <v>2065</v>
      </c>
    </row>
    <row r="56" spans="1:5" x14ac:dyDescent="0.2">
      <c r="A56" s="21" t="s">
        <v>866</v>
      </c>
      <c r="B56" s="4" t="s">
        <v>1945</v>
      </c>
      <c r="C56" s="4" t="s">
        <v>182</v>
      </c>
      <c r="D56" s="4" t="s">
        <v>2064</v>
      </c>
      <c r="E56" s="25" t="s">
        <v>2063</v>
      </c>
    </row>
    <row r="57" spans="1:5" x14ac:dyDescent="0.2">
      <c r="A57" s="21" t="s">
        <v>2062</v>
      </c>
      <c r="B57" s="4" t="s">
        <v>1945</v>
      </c>
      <c r="C57" s="4" t="s">
        <v>187</v>
      </c>
      <c r="D57" s="4" t="s">
        <v>2061</v>
      </c>
      <c r="E57" s="25" t="s">
        <v>2060</v>
      </c>
    </row>
  </sheetData>
  <mergeCells count="16">
    <mergeCell ref="A5:J5"/>
    <mergeCell ref="A12:J12"/>
    <mergeCell ref="A17:J17"/>
    <mergeCell ref="A23:J23"/>
    <mergeCell ref="A26:J26"/>
    <mergeCell ref="A1:K2"/>
    <mergeCell ref="G3:H3"/>
    <mergeCell ref="A3:A4"/>
    <mergeCell ref="B3:B4"/>
    <mergeCell ref="C3:C4"/>
    <mergeCell ref="K3:K4"/>
    <mergeCell ref="F3:F4"/>
    <mergeCell ref="E3:E4"/>
    <mergeCell ref="D3:D4"/>
    <mergeCell ref="I3:I4"/>
    <mergeCell ref="J3:J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5.28515625" style="4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7" width="8.5703125" style="3" customWidth="1"/>
    <col min="8" max="8" width="10.5703125" style="26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36" t="s">
        <v>2143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1970</v>
      </c>
      <c r="E3" s="34" t="s">
        <v>4</v>
      </c>
      <c r="F3" s="34" t="s">
        <v>8</v>
      </c>
      <c r="G3" s="34" t="s">
        <v>1969</v>
      </c>
      <c r="H3" s="34"/>
      <c r="I3" s="34" t="s">
        <v>1968</v>
      </c>
      <c r="J3" s="34" t="s">
        <v>3</v>
      </c>
      <c r="K3" s="45" t="s">
        <v>2</v>
      </c>
    </row>
    <row r="4" spans="1:11" s="1" customFormat="1" ht="21" customHeight="1" thickBot="1" x14ac:dyDescent="0.25">
      <c r="A4" s="43"/>
      <c r="B4" s="35"/>
      <c r="C4" s="35"/>
      <c r="D4" s="35"/>
      <c r="E4" s="35"/>
      <c r="F4" s="35"/>
      <c r="G4" s="5" t="s">
        <v>1967</v>
      </c>
      <c r="H4" s="30" t="s">
        <v>1966</v>
      </c>
      <c r="I4" s="35"/>
      <c r="J4" s="35"/>
      <c r="K4" s="46"/>
    </row>
    <row r="5" spans="1:11" ht="15" x14ac:dyDescent="0.2">
      <c r="A5" s="33" t="s">
        <v>351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x14ac:dyDescent="0.2">
      <c r="A6" s="6" t="s">
        <v>2059</v>
      </c>
      <c r="B6" s="6" t="s">
        <v>2058</v>
      </c>
      <c r="C6" s="6" t="s">
        <v>2057</v>
      </c>
      <c r="D6" s="6" t="str">
        <f>"1,0120"</f>
        <v>1,0120</v>
      </c>
      <c r="E6" s="6" t="s">
        <v>18</v>
      </c>
      <c r="F6" s="6" t="s">
        <v>19</v>
      </c>
      <c r="G6" s="8" t="s">
        <v>1960</v>
      </c>
      <c r="H6" s="27" t="s">
        <v>2056</v>
      </c>
      <c r="I6" s="6" t="str">
        <f>"1860,0"</f>
        <v>1860,0</v>
      </c>
      <c r="J6" s="8" t="str">
        <f>"1882,3199"</f>
        <v>1882,3199</v>
      </c>
      <c r="K6" s="6" t="s">
        <v>54</v>
      </c>
    </row>
    <row r="8" spans="1:11" ht="15" x14ac:dyDescent="0.2">
      <c r="E8" s="18" t="s">
        <v>151</v>
      </c>
    </row>
    <row r="9" spans="1:11" ht="15" x14ac:dyDescent="0.2">
      <c r="E9" s="18" t="s">
        <v>152</v>
      </c>
    </row>
    <row r="10" spans="1:11" ht="15" x14ac:dyDescent="0.2">
      <c r="E10" s="18" t="s">
        <v>153</v>
      </c>
    </row>
    <row r="11" spans="1:11" ht="15" x14ac:dyDescent="0.2">
      <c r="E11" s="18" t="s">
        <v>154</v>
      </c>
    </row>
    <row r="12" spans="1:11" ht="15" x14ac:dyDescent="0.2">
      <c r="E12" s="18" t="s">
        <v>154</v>
      </c>
    </row>
    <row r="13" spans="1:11" ht="15" x14ac:dyDescent="0.2">
      <c r="E13" s="18" t="s">
        <v>155</v>
      </c>
    </row>
    <row r="14" spans="1:11" ht="15" x14ac:dyDescent="0.2">
      <c r="E14" s="18"/>
    </row>
    <row r="16" spans="1:11" ht="18" x14ac:dyDescent="0.25">
      <c r="A16" s="19" t="s">
        <v>156</v>
      </c>
      <c r="B16" s="19"/>
    </row>
    <row r="17" spans="1:5" ht="15" x14ac:dyDescent="0.2">
      <c r="A17" s="20" t="s">
        <v>157</v>
      </c>
      <c r="B17" s="20"/>
    </row>
    <row r="18" spans="1:5" ht="14.25" x14ac:dyDescent="0.2">
      <c r="A18" s="22"/>
      <c r="B18" s="23" t="s">
        <v>1950</v>
      </c>
    </row>
    <row r="19" spans="1:5" ht="15" x14ac:dyDescent="0.2">
      <c r="A19" s="24" t="s">
        <v>159</v>
      </c>
      <c r="B19" s="24" t="s">
        <v>160</v>
      </c>
      <c r="C19" s="24" t="s">
        <v>161</v>
      </c>
      <c r="D19" s="24" t="s">
        <v>162</v>
      </c>
      <c r="E19" s="24" t="s">
        <v>1949</v>
      </c>
    </row>
    <row r="20" spans="1:5" x14ac:dyDescent="0.2">
      <c r="A20" s="21" t="s">
        <v>2055</v>
      </c>
      <c r="B20" s="4" t="s">
        <v>1945</v>
      </c>
      <c r="C20" s="4" t="s">
        <v>481</v>
      </c>
      <c r="D20" s="4" t="s">
        <v>2054</v>
      </c>
      <c r="E20" s="25" t="s">
        <v>2053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J18" sqref="J18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6.140625" style="4" customWidth="1"/>
    <col min="4" max="4" width="8.42578125" style="4" bestFit="1" customWidth="1"/>
    <col min="5" max="5" width="22.7109375" style="4" bestFit="1" customWidth="1"/>
    <col min="6" max="6" width="32.85546875" style="4" bestFit="1" customWidth="1"/>
    <col min="7" max="7" width="8.85546875" style="3" customWidth="1"/>
    <col min="8" max="8" width="10.42578125" style="26" customWidth="1"/>
    <col min="9" max="9" width="10" style="4" customWidth="1"/>
    <col min="10" max="10" width="9.5703125" style="3" bestFit="1" customWidth="1"/>
    <col min="11" max="11" width="17.28515625" style="4" bestFit="1" customWidth="1"/>
    <col min="12" max="16384" width="9.140625" style="3"/>
  </cols>
  <sheetData>
    <row r="1" spans="1:11" s="2" customFormat="1" ht="29.1" customHeight="1" x14ac:dyDescent="0.2">
      <c r="A1" s="36" t="s">
        <v>2141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1970</v>
      </c>
      <c r="E3" s="34" t="s">
        <v>4</v>
      </c>
      <c r="F3" s="34" t="s">
        <v>8</v>
      </c>
      <c r="G3" s="34" t="s">
        <v>1969</v>
      </c>
      <c r="H3" s="34"/>
      <c r="I3" s="34" t="s">
        <v>1968</v>
      </c>
      <c r="J3" s="34" t="s">
        <v>3</v>
      </c>
      <c r="K3" s="45" t="s">
        <v>2</v>
      </c>
    </row>
    <row r="4" spans="1:11" s="1" customFormat="1" ht="21" customHeight="1" thickBot="1" x14ac:dyDescent="0.25">
      <c r="A4" s="43"/>
      <c r="B4" s="35"/>
      <c r="C4" s="35"/>
      <c r="D4" s="35"/>
      <c r="E4" s="35"/>
      <c r="F4" s="35"/>
      <c r="G4" s="5" t="s">
        <v>1967</v>
      </c>
      <c r="H4" s="30" t="s">
        <v>1966</v>
      </c>
      <c r="I4" s="35"/>
      <c r="J4" s="35"/>
      <c r="K4" s="46"/>
    </row>
    <row r="5" spans="1:11" ht="15" x14ac:dyDescent="0.2">
      <c r="A5" s="33" t="s">
        <v>351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x14ac:dyDescent="0.2">
      <c r="A6" s="9" t="s">
        <v>1965</v>
      </c>
      <c r="B6" s="9" t="s">
        <v>1964</v>
      </c>
      <c r="C6" s="9" t="s">
        <v>1070</v>
      </c>
      <c r="D6" s="9" t="str">
        <f>"0,9930"</f>
        <v>0,9930</v>
      </c>
      <c r="E6" s="9" t="s">
        <v>906</v>
      </c>
      <c r="F6" s="9" t="s">
        <v>1963</v>
      </c>
      <c r="G6" s="10" t="s">
        <v>1960</v>
      </c>
      <c r="H6" s="29" t="s">
        <v>328</v>
      </c>
      <c r="I6" s="9" t="str">
        <f>"1650,0"</f>
        <v>1650,0</v>
      </c>
      <c r="J6" s="10" t="str">
        <f>"1638,3675"</f>
        <v>1638,3675</v>
      </c>
      <c r="K6" s="9" t="s">
        <v>221</v>
      </c>
    </row>
    <row r="7" spans="1:11" x14ac:dyDescent="0.2">
      <c r="A7" s="14" t="s">
        <v>1962</v>
      </c>
      <c r="B7" s="14" t="s">
        <v>1961</v>
      </c>
      <c r="C7" s="14" t="s">
        <v>1074</v>
      </c>
      <c r="D7" s="14" t="str">
        <f>"0,9969"</f>
        <v>0,9969</v>
      </c>
      <c r="E7" s="14" t="s">
        <v>18</v>
      </c>
      <c r="F7" s="14" t="s">
        <v>1075</v>
      </c>
      <c r="G7" s="15" t="s">
        <v>1960</v>
      </c>
      <c r="H7" s="28" t="s">
        <v>1959</v>
      </c>
      <c r="I7" s="14" t="str">
        <f>"1410,0"</f>
        <v>1410,0</v>
      </c>
      <c r="J7" s="15" t="str">
        <f>"1466,1445"</f>
        <v>1466,1445</v>
      </c>
      <c r="K7" s="14" t="s">
        <v>404</v>
      </c>
    </row>
    <row r="9" spans="1:11" ht="15" x14ac:dyDescent="0.2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</row>
    <row r="10" spans="1:11" x14ac:dyDescent="0.2">
      <c r="A10" s="6" t="s">
        <v>1958</v>
      </c>
      <c r="B10" s="6" t="s">
        <v>1957</v>
      </c>
      <c r="C10" s="6" t="s">
        <v>1956</v>
      </c>
      <c r="D10" s="6" t="str">
        <f>"0,8954"</f>
        <v>0,8954</v>
      </c>
      <c r="E10" s="6" t="s">
        <v>18</v>
      </c>
      <c r="F10" s="6" t="s">
        <v>19</v>
      </c>
      <c r="G10" s="8" t="s">
        <v>738</v>
      </c>
      <c r="H10" s="27" t="s">
        <v>1955</v>
      </c>
      <c r="I10" s="6" t="str">
        <f>"1295,0"</f>
        <v>1295,0</v>
      </c>
      <c r="J10" s="8" t="str">
        <f>"1159,5430"</f>
        <v>1159,5430</v>
      </c>
      <c r="K10" s="6" t="s">
        <v>1954</v>
      </c>
    </row>
    <row r="12" spans="1:11" ht="15" x14ac:dyDescent="0.2">
      <c r="E12" s="18" t="s">
        <v>151</v>
      </c>
    </row>
    <row r="13" spans="1:11" ht="15" x14ac:dyDescent="0.2">
      <c r="E13" s="18" t="s">
        <v>152</v>
      </c>
    </row>
    <row r="14" spans="1:11" ht="15" x14ac:dyDescent="0.2">
      <c r="E14" s="18" t="s">
        <v>153</v>
      </c>
    </row>
    <row r="15" spans="1:11" ht="15" x14ac:dyDescent="0.2">
      <c r="E15" s="18" t="s">
        <v>154</v>
      </c>
    </row>
    <row r="16" spans="1:11" ht="15" x14ac:dyDescent="0.2">
      <c r="E16" s="18" t="s">
        <v>154</v>
      </c>
    </row>
    <row r="17" spans="1:5" ht="15" x14ac:dyDescent="0.2">
      <c r="E17" s="18" t="s">
        <v>155</v>
      </c>
    </row>
    <row r="18" spans="1:5" ht="15" x14ac:dyDescent="0.2">
      <c r="E18" s="18"/>
    </row>
    <row r="20" spans="1:5" ht="18" x14ac:dyDescent="0.25">
      <c r="A20" s="19" t="s">
        <v>156</v>
      </c>
      <c r="B20" s="19"/>
    </row>
    <row r="21" spans="1:5" ht="15" x14ac:dyDescent="0.2">
      <c r="A21" s="20" t="s">
        <v>157</v>
      </c>
      <c r="B21" s="20"/>
    </row>
    <row r="22" spans="1:5" ht="14.25" x14ac:dyDescent="0.2">
      <c r="A22" s="22"/>
      <c r="B22" s="23" t="s">
        <v>169</v>
      </c>
    </row>
    <row r="23" spans="1:5" ht="15" x14ac:dyDescent="0.2">
      <c r="A23" s="24" t="s">
        <v>159</v>
      </c>
      <c r="B23" s="24" t="s">
        <v>160</v>
      </c>
      <c r="C23" s="24" t="s">
        <v>161</v>
      </c>
      <c r="D23" s="24" t="s">
        <v>162</v>
      </c>
      <c r="E23" s="24" t="s">
        <v>1949</v>
      </c>
    </row>
    <row r="24" spans="1:5" x14ac:dyDescent="0.2">
      <c r="A24" s="21" t="s">
        <v>1953</v>
      </c>
      <c r="B24" s="4" t="s">
        <v>169</v>
      </c>
      <c r="C24" s="4" t="s">
        <v>165</v>
      </c>
      <c r="D24" s="4" t="s">
        <v>1952</v>
      </c>
      <c r="E24" s="25" t="s">
        <v>1951</v>
      </c>
    </row>
    <row r="26" spans="1:5" ht="14.25" x14ac:dyDescent="0.2">
      <c r="A26" s="22"/>
      <c r="B26" s="23" t="s">
        <v>1950</v>
      </c>
    </row>
    <row r="27" spans="1:5" ht="15" x14ac:dyDescent="0.2">
      <c r="A27" s="24" t="s">
        <v>159</v>
      </c>
      <c r="B27" s="24" t="s">
        <v>160</v>
      </c>
      <c r="C27" s="24" t="s">
        <v>161</v>
      </c>
      <c r="D27" s="24" t="s">
        <v>162</v>
      </c>
      <c r="E27" s="24" t="s">
        <v>1949</v>
      </c>
    </row>
    <row r="28" spans="1:5" x14ac:dyDescent="0.2">
      <c r="A28" s="21" t="s">
        <v>1948</v>
      </c>
      <c r="B28" s="4" t="s">
        <v>1945</v>
      </c>
      <c r="C28" s="4" t="s">
        <v>481</v>
      </c>
      <c r="D28" s="4" t="s">
        <v>1947</v>
      </c>
      <c r="E28" s="25" t="s">
        <v>1946</v>
      </c>
    </row>
    <row r="29" spans="1:5" x14ac:dyDescent="0.2">
      <c r="A29" s="21" t="s">
        <v>1071</v>
      </c>
      <c r="B29" s="4" t="s">
        <v>1945</v>
      </c>
      <c r="C29" s="4" t="s">
        <v>481</v>
      </c>
      <c r="D29" s="4" t="s">
        <v>1944</v>
      </c>
      <c r="E29" s="25" t="s">
        <v>1943</v>
      </c>
    </row>
  </sheetData>
  <mergeCells count="13">
    <mergeCell ref="K3:K4"/>
    <mergeCell ref="A5:J5"/>
    <mergeCell ref="A9:J9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P29" sqref="P29"/>
    </sheetView>
  </sheetViews>
  <sheetFormatPr defaultColWidth="9.140625" defaultRowHeight="12.75" x14ac:dyDescent="0.2"/>
  <cols>
    <col min="1" max="1" width="26" style="4" bestFit="1" customWidth="1"/>
    <col min="2" max="2" width="28.5703125" style="4" bestFit="1" customWidth="1"/>
    <col min="3" max="3" width="16.42578125" style="4" customWidth="1"/>
    <col min="4" max="4" width="8.42578125" style="4" bestFit="1" customWidth="1"/>
    <col min="5" max="5" width="22.7109375" style="4" bestFit="1" customWidth="1"/>
    <col min="6" max="6" width="29.85546875" style="4" bestFit="1" customWidth="1"/>
    <col min="7" max="7" width="10.42578125" style="3" customWidth="1"/>
    <col min="8" max="8" width="11" style="26" customWidth="1"/>
    <col min="9" max="9" width="9" style="4" customWidth="1"/>
    <col min="10" max="10" width="9.5703125" style="3" bestFit="1" customWidth="1"/>
    <col min="11" max="11" width="24.5703125" style="4" bestFit="1" customWidth="1"/>
    <col min="12" max="16384" width="9.140625" style="3"/>
  </cols>
  <sheetData>
    <row r="1" spans="1:11" s="2" customFormat="1" ht="29.1" customHeight="1" x14ac:dyDescent="0.2">
      <c r="A1" s="36" t="s">
        <v>2142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1970</v>
      </c>
      <c r="E3" s="34" t="s">
        <v>4</v>
      </c>
      <c r="F3" s="34" t="s">
        <v>8</v>
      </c>
      <c r="G3" s="34" t="s">
        <v>1969</v>
      </c>
      <c r="H3" s="34"/>
      <c r="I3" s="34" t="s">
        <v>1968</v>
      </c>
      <c r="J3" s="34" t="s">
        <v>3</v>
      </c>
      <c r="K3" s="45" t="s">
        <v>2</v>
      </c>
    </row>
    <row r="4" spans="1:11" s="1" customFormat="1" ht="21" customHeight="1" thickBot="1" x14ac:dyDescent="0.25">
      <c r="A4" s="43"/>
      <c r="B4" s="35"/>
      <c r="C4" s="35"/>
      <c r="D4" s="35"/>
      <c r="E4" s="35"/>
      <c r="F4" s="35"/>
      <c r="G4" s="5" t="s">
        <v>1967</v>
      </c>
      <c r="H4" s="30" t="s">
        <v>1966</v>
      </c>
      <c r="I4" s="35"/>
      <c r="J4" s="35"/>
      <c r="K4" s="46"/>
    </row>
    <row r="5" spans="1:11" ht="15" x14ac:dyDescent="0.2">
      <c r="A5" s="33" t="s">
        <v>13</v>
      </c>
      <c r="B5" s="33"/>
      <c r="C5" s="33"/>
      <c r="D5" s="33"/>
      <c r="E5" s="33"/>
      <c r="F5" s="33"/>
      <c r="G5" s="33"/>
      <c r="H5" s="33"/>
      <c r="I5" s="33"/>
      <c r="J5" s="33"/>
    </row>
    <row r="6" spans="1:11" x14ac:dyDescent="0.2">
      <c r="A6" s="9" t="s">
        <v>2052</v>
      </c>
      <c r="B6" s="9" t="s">
        <v>2051</v>
      </c>
      <c r="C6" s="9" t="s">
        <v>2050</v>
      </c>
      <c r="D6" s="9" t="str">
        <f>"0,7279"</f>
        <v>0,7279</v>
      </c>
      <c r="E6" s="9" t="s">
        <v>18</v>
      </c>
      <c r="F6" s="9" t="s">
        <v>870</v>
      </c>
      <c r="G6" s="10" t="s">
        <v>529</v>
      </c>
      <c r="H6" s="29" t="s">
        <v>2049</v>
      </c>
      <c r="I6" s="9" t="str">
        <f>"3080,0"</f>
        <v>3080,0</v>
      </c>
      <c r="J6" s="10" t="str">
        <f>"2241,9321"</f>
        <v>2241,9321</v>
      </c>
      <c r="K6" s="9" t="s">
        <v>404</v>
      </c>
    </row>
    <row r="7" spans="1:11" x14ac:dyDescent="0.2">
      <c r="A7" s="12" t="s">
        <v>2048</v>
      </c>
      <c r="B7" s="12" t="s">
        <v>2047</v>
      </c>
      <c r="C7" s="12" t="s">
        <v>2046</v>
      </c>
      <c r="D7" s="12" t="str">
        <f>"0,6983"</f>
        <v>0,6983</v>
      </c>
      <c r="E7" s="12" t="s">
        <v>18</v>
      </c>
      <c r="F7" s="12" t="s">
        <v>1269</v>
      </c>
      <c r="G7" s="17" t="s">
        <v>23</v>
      </c>
      <c r="H7" s="31" t="s">
        <v>2041</v>
      </c>
      <c r="I7" s="12" t="str">
        <f>"2100,0"</f>
        <v>2100,0</v>
      </c>
      <c r="J7" s="17" t="str">
        <f>"1466,4300"</f>
        <v>1466,4300</v>
      </c>
      <c r="K7" s="12" t="s">
        <v>2045</v>
      </c>
    </row>
    <row r="8" spans="1:11" x14ac:dyDescent="0.2">
      <c r="A8" s="12" t="s">
        <v>2044</v>
      </c>
      <c r="B8" s="12" t="s">
        <v>2043</v>
      </c>
      <c r="C8" s="12" t="s">
        <v>2042</v>
      </c>
      <c r="D8" s="12" t="str">
        <f>"0,7221"</f>
        <v>0,7221</v>
      </c>
      <c r="E8" s="12" t="s">
        <v>18</v>
      </c>
      <c r="F8" s="12" t="s">
        <v>19</v>
      </c>
      <c r="G8" s="17" t="s">
        <v>564</v>
      </c>
      <c r="H8" s="31" t="s">
        <v>2041</v>
      </c>
      <c r="I8" s="12" t="str">
        <f>"2030,0"</f>
        <v>2030,0</v>
      </c>
      <c r="J8" s="17" t="str">
        <f>"1465,8630"</f>
        <v>1465,8630</v>
      </c>
      <c r="K8" s="12" t="s">
        <v>404</v>
      </c>
    </row>
    <row r="9" spans="1:11" x14ac:dyDescent="0.2">
      <c r="A9" s="14" t="s">
        <v>1165</v>
      </c>
      <c r="B9" s="14" t="s">
        <v>2040</v>
      </c>
      <c r="C9" s="14" t="s">
        <v>1167</v>
      </c>
      <c r="D9" s="14" t="str">
        <f>"0,6975"</f>
        <v>0,6975</v>
      </c>
      <c r="E9" s="14" t="s">
        <v>18</v>
      </c>
      <c r="F9" s="14" t="s">
        <v>19</v>
      </c>
      <c r="G9" s="15" t="s">
        <v>23</v>
      </c>
      <c r="H9" s="28" t="s">
        <v>2039</v>
      </c>
      <c r="I9" s="14" t="str">
        <f>"2550,0"</f>
        <v>2550,0</v>
      </c>
      <c r="J9" s="15" t="str">
        <f>"1855,2389"</f>
        <v>1855,2389</v>
      </c>
      <c r="K9" s="14" t="s">
        <v>1168</v>
      </c>
    </row>
    <row r="11" spans="1:11" ht="15" x14ac:dyDescent="0.2">
      <c r="A11" s="32" t="s">
        <v>390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1" x14ac:dyDescent="0.2">
      <c r="A12" s="9" t="s">
        <v>2038</v>
      </c>
      <c r="B12" s="9" t="s">
        <v>2037</v>
      </c>
      <c r="C12" s="9" t="s">
        <v>2036</v>
      </c>
      <c r="D12" s="9" t="str">
        <f>"0,6623"</f>
        <v>0,6623</v>
      </c>
      <c r="E12" s="9" t="s">
        <v>18</v>
      </c>
      <c r="F12" s="9" t="s">
        <v>2035</v>
      </c>
      <c r="G12" s="10" t="s">
        <v>335</v>
      </c>
      <c r="H12" s="29" t="s">
        <v>2027</v>
      </c>
      <c r="I12" s="9" t="str">
        <f>"2480,0"</f>
        <v>2480,0</v>
      </c>
      <c r="J12" s="10" t="str">
        <f>"1642,6280"</f>
        <v>1642,6280</v>
      </c>
      <c r="K12" s="9" t="s">
        <v>54</v>
      </c>
    </row>
    <row r="13" spans="1:11" x14ac:dyDescent="0.2">
      <c r="A13" s="14" t="s">
        <v>2034</v>
      </c>
      <c r="B13" s="14" t="s">
        <v>2033</v>
      </c>
      <c r="C13" s="14" t="s">
        <v>2032</v>
      </c>
      <c r="D13" s="14" t="str">
        <f>"0,6832"</f>
        <v>0,6832</v>
      </c>
      <c r="E13" s="14" t="s">
        <v>18</v>
      </c>
      <c r="F13" s="14" t="s">
        <v>870</v>
      </c>
      <c r="G13" s="15" t="s">
        <v>599</v>
      </c>
      <c r="H13" s="28" t="s">
        <v>1960</v>
      </c>
      <c r="I13" s="14" t="str">
        <f>"2325,0"</f>
        <v>2325,0</v>
      </c>
      <c r="J13" s="15" t="str">
        <f>"1794,9372"</f>
        <v>1794,9372</v>
      </c>
      <c r="K13" s="14" t="s">
        <v>2031</v>
      </c>
    </row>
    <row r="15" spans="1:11" ht="15" x14ac:dyDescent="0.2">
      <c r="A15" s="32" t="s">
        <v>26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1" x14ac:dyDescent="0.2">
      <c r="A16" s="9" t="s">
        <v>2030</v>
      </c>
      <c r="B16" s="9" t="s">
        <v>2029</v>
      </c>
      <c r="C16" s="9" t="s">
        <v>2028</v>
      </c>
      <c r="D16" s="9" t="str">
        <f>"0,6349"</f>
        <v>0,6349</v>
      </c>
      <c r="E16" s="9" t="s">
        <v>18</v>
      </c>
      <c r="F16" s="9" t="s">
        <v>19</v>
      </c>
      <c r="G16" s="10" t="s">
        <v>533</v>
      </c>
      <c r="H16" s="29" t="s">
        <v>2027</v>
      </c>
      <c r="I16" s="9" t="str">
        <f>"2635,0"</f>
        <v>2635,0</v>
      </c>
      <c r="J16" s="10" t="str">
        <f>"1673,0932"</f>
        <v>1673,0932</v>
      </c>
      <c r="K16" s="9" t="s">
        <v>54</v>
      </c>
    </row>
    <row r="17" spans="1:11" x14ac:dyDescent="0.2">
      <c r="A17" s="12" t="s">
        <v>2026</v>
      </c>
      <c r="B17" s="12" t="s">
        <v>1224</v>
      </c>
      <c r="C17" s="12" t="s">
        <v>1225</v>
      </c>
      <c r="D17" s="12" t="str">
        <f>"0,6181"</f>
        <v>0,6181</v>
      </c>
      <c r="E17" s="12" t="s">
        <v>18</v>
      </c>
      <c r="F17" s="12" t="s">
        <v>19</v>
      </c>
      <c r="G17" s="17" t="s">
        <v>325</v>
      </c>
      <c r="H17" s="31" t="s">
        <v>1960</v>
      </c>
      <c r="I17" s="12" t="str">
        <f>"2700,0"</f>
        <v>2700,0</v>
      </c>
      <c r="J17" s="17" t="str">
        <f>"1668,8700"</f>
        <v>1668,8700</v>
      </c>
      <c r="K17" s="12" t="s">
        <v>1226</v>
      </c>
    </row>
    <row r="18" spans="1:11" x14ac:dyDescent="0.2">
      <c r="A18" s="12" t="s">
        <v>2025</v>
      </c>
      <c r="B18" s="12" t="s">
        <v>2024</v>
      </c>
      <c r="C18" s="12" t="s">
        <v>2023</v>
      </c>
      <c r="D18" s="12" t="str">
        <f>"0,6378"</f>
        <v>0,6378</v>
      </c>
      <c r="E18" s="12" t="s">
        <v>18</v>
      </c>
      <c r="F18" s="12" t="s">
        <v>19</v>
      </c>
      <c r="G18" s="17" t="s">
        <v>533</v>
      </c>
      <c r="H18" s="31" t="s">
        <v>2014</v>
      </c>
      <c r="I18" s="12" t="str">
        <f>"1785,0"</f>
        <v>1785,0</v>
      </c>
      <c r="J18" s="17" t="str">
        <f>"1347,8464"</f>
        <v>1347,8464</v>
      </c>
      <c r="K18" s="12" t="s">
        <v>2022</v>
      </c>
    </row>
    <row r="19" spans="1:11" x14ac:dyDescent="0.2">
      <c r="A19" s="14" t="s">
        <v>1291</v>
      </c>
      <c r="B19" s="14" t="s">
        <v>2021</v>
      </c>
      <c r="C19" s="14" t="s">
        <v>1293</v>
      </c>
      <c r="D19" s="14" t="str">
        <f>"0,6149"</f>
        <v>0,6149</v>
      </c>
      <c r="E19" s="14" t="s">
        <v>18</v>
      </c>
      <c r="F19" s="14" t="s">
        <v>19</v>
      </c>
      <c r="G19" s="15" t="s">
        <v>325</v>
      </c>
      <c r="H19" s="28" t="s">
        <v>2020</v>
      </c>
      <c r="I19" s="14" t="str">
        <f>"1080,0"</f>
        <v>1080,0</v>
      </c>
      <c r="J19" s="15" t="str">
        <f>"925,0801"</f>
        <v>925,0801</v>
      </c>
      <c r="K19" s="14" t="s">
        <v>1294</v>
      </c>
    </row>
    <row r="21" spans="1:11" ht="15" x14ac:dyDescent="0.2">
      <c r="A21" s="32" t="s">
        <v>55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1" x14ac:dyDescent="0.2">
      <c r="A22" s="9" t="s">
        <v>2019</v>
      </c>
      <c r="B22" s="9" t="s">
        <v>747</v>
      </c>
      <c r="C22" s="9" t="s">
        <v>2017</v>
      </c>
      <c r="D22" s="9" t="str">
        <f>"0,5911"</f>
        <v>0,5911</v>
      </c>
      <c r="E22" s="9" t="s">
        <v>18</v>
      </c>
      <c r="F22" s="9" t="s">
        <v>19</v>
      </c>
      <c r="G22" s="10" t="s">
        <v>283</v>
      </c>
      <c r="H22" s="29" t="s">
        <v>1960</v>
      </c>
      <c r="I22" s="9" t="str">
        <f>"2925,0"</f>
        <v>2925,0</v>
      </c>
      <c r="J22" s="10" t="str">
        <f>"1728,9674"</f>
        <v>1728,9674</v>
      </c>
      <c r="K22" s="9" t="s">
        <v>54</v>
      </c>
    </row>
    <row r="23" spans="1:11" x14ac:dyDescent="0.2">
      <c r="A23" s="14" t="s">
        <v>2019</v>
      </c>
      <c r="B23" s="14" t="s">
        <v>2018</v>
      </c>
      <c r="C23" s="14" t="s">
        <v>2017</v>
      </c>
      <c r="D23" s="14" t="str">
        <f>"0,5911"</f>
        <v>0,5911</v>
      </c>
      <c r="E23" s="14" t="s">
        <v>18</v>
      </c>
      <c r="F23" s="14" t="s">
        <v>19</v>
      </c>
      <c r="G23" s="15" t="s">
        <v>283</v>
      </c>
      <c r="H23" s="28" t="s">
        <v>1960</v>
      </c>
      <c r="I23" s="14" t="str">
        <f>"2925,0"</f>
        <v>2925,0</v>
      </c>
      <c r="J23" s="15" t="str">
        <f>"1746,2571"</f>
        <v>1746,2571</v>
      </c>
      <c r="K23" s="14" t="s">
        <v>54</v>
      </c>
    </row>
    <row r="25" spans="1:11" ht="15" x14ac:dyDescent="0.2">
      <c r="A25" s="32" t="s">
        <v>97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1" x14ac:dyDescent="0.2">
      <c r="A26" s="6" t="s">
        <v>2016</v>
      </c>
      <c r="B26" s="6" t="s">
        <v>2015</v>
      </c>
      <c r="C26" s="6" t="s">
        <v>1858</v>
      </c>
      <c r="D26" s="6" t="str">
        <f>"0,5634"</f>
        <v>0,5634</v>
      </c>
      <c r="E26" s="6" t="s">
        <v>18</v>
      </c>
      <c r="F26" s="6" t="s">
        <v>620</v>
      </c>
      <c r="G26" s="8" t="s">
        <v>95</v>
      </c>
      <c r="H26" s="27" t="s">
        <v>2014</v>
      </c>
      <c r="I26" s="6" t="str">
        <f>"2310,0"</f>
        <v>2310,0</v>
      </c>
      <c r="J26" s="8" t="str">
        <f>"1314,3519"</f>
        <v>1314,3519</v>
      </c>
      <c r="K26" s="6" t="s">
        <v>1336</v>
      </c>
    </row>
    <row r="28" spans="1:11" ht="15" x14ac:dyDescent="0.2">
      <c r="A28" s="32" t="s">
        <v>121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1" x14ac:dyDescent="0.2">
      <c r="A29" s="6" t="s">
        <v>2013</v>
      </c>
      <c r="B29" s="6" t="s">
        <v>884</v>
      </c>
      <c r="C29" s="6" t="s">
        <v>2012</v>
      </c>
      <c r="D29" s="6" t="str">
        <f>"0,5611"</f>
        <v>0,5611</v>
      </c>
      <c r="E29" s="6" t="s">
        <v>18</v>
      </c>
      <c r="F29" s="6" t="s">
        <v>1280</v>
      </c>
      <c r="G29" s="8" t="s">
        <v>266</v>
      </c>
      <c r="H29" s="27" t="s">
        <v>2011</v>
      </c>
      <c r="I29" s="6" t="str">
        <f>"3262,5"</f>
        <v>3262,5</v>
      </c>
      <c r="J29" s="8" t="str">
        <f>"1830,5888"</f>
        <v>1830,5888</v>
      </c>
      <c r="K29" s="6" t="s">
        <v>2010</v>
      </c>
    </row>
    <row r="31" spans="1:11" ht="15" x14ac:dyDescent="0.2">
      <c r="E31" s="18" t="s">
        <v>151</v>
      </c>
    </row>
    <row r="32" spans="1:11" ht="15" x14ac:dyDescent="0.2">
      <c r="E32" s="18" t="s">
        <v>152</v>
      </c>
    </row>
    <row r="33" spans="1:5" ht="15" x14ac:dyDescent="0.2">
      <c r="E33" s="18" t="s">
        <v>153</v>
      </c>
    </row>
    <row r="34" spans="1:5" ht="15" x14ac:dyDescent="0.2">
      <c r="E34" s="18" t="s">
        <v>154</v>
      </c>
    </row>
    <row r="35" spans="1:5" ht="15" x14ac:dyDescent="0.2">
      <c r="E35" s="18" t="s">
        <v>154</v>
      </c>
    </row>
    <row r="36" spans="1:5" ht="15" x14ac:dyDescent="0.2">
      <c r="E36" s="18" t="s">
        <v>155</v>
      </c>
    </row>
    <row r="37" spans="1:5" ht="15" x14ac:dyDescent="0.2">
      <c r="E37" s="18"/>
    </row>
    <row r="39" spans="1:5" ht="18" x14ac:dyDescent="0.25">
      <c r="A39" s="19" t="s">
        <v>156</v>
      </c>
      <c r="B39" s="19"/>
    </row>
    <row r="40" spans="1:5" ht="15" x14ac:dyDescent="0.2">
      <c r="A40" s="20" t="s">
        <v>168</v>
      </c>
      <c r="B40" s="20"/>
    </row>
    <row r="41" spans="1:5" ht="14.25" x14ac:dyDescent="0.2">
      <c r="A41" s="22"/>
      <c r="B41" s="23" t="s">
        <v>169</v>
      </c>
    </row>
    <row r="42" spans="1:5" ht="15" x14ac:dyDescent="0.2">
      <c r="A42" s="24" t="s">
        <v>159</v>
      </c>
      <c r="B42" s="24" t="s">
        <v>160</v>
      </c>
      <c r="C42" s="24" t="s">
        <v>161</v>
      </c>
      <c r="D42" s="24" t="s">
        <v>162</v>
      </c>
      <c r="E42" s="24" t="s">
        <v>1949</v>
      </c>
    </row>
    <row r="43" spans="1:5" x14ac:dyDescent="0.2">
      <c r="A43" s="21" t="s">
        <v>2009</v>
      </c>
      <c r="B43" s="4" t="s">
        <v>169</v>
      </c>
      <c r="C43" s="4" t="s">
        <v>165</v>
      </c>
      <c r="D43" s="4" t="s">
        <v>2008</v>
      </c>
      <c r="E43" s="25" t="s">
        <v>2007</v>
      </c>
    </row>
    <row r="44" spans="1:5" x14ac:dyDescent="0.2">
      <c r="A44" s="21" t="s">
        <v>2006</v>
      </c>
      <c r="B44" s="4" t="s">
        <v>169</v>
      </c>
      <c r="C44" s="4" t="s">
        <v>173</v>
      </c>
      <c r="D44" s="4" t="s">
        <v>2005</v>
      </c>
      <c r="E44" s="25" t="s">
        <v>2004</v>
      </c>
    </row>
    <row r="45" spans="1:5" x14ac:dyDescent="0.2">
      <c r="A45" s="21" t="s">
        <v>1983</v>
      </c>
      <c r="B45" s="4" t="s">
        <v>169</v>
      </c>
      <c r="C45" s="4" t="s">
        <v>170</v>
      </c>
      <c r="D45" s="4" t="s">
        <v>1982</v>
      </c>
      <c r="E45" s="25" t="s">
        <v>2003</v>
      </c>
    </row>
    <row r="46" spans="1:5" x14ac:dyDescent="0.2">
      <c r="A46" s="21" t="s">
        <v>2002</v>
      </c>
      <c r="B46" s="4" t="s">
        <v>169</v>
      </c>
      <c r="C46" s="4" t="s">
        <v>187</v>
      </c>
      <c r="D46" s="4" t="s">
        <v>2001</v>
      </c>
      <c r="E46" s="25" t="s">
        <v>2000</v>
      </c>
    </row>
    <row r="47" spans="1:5" x14ac:dyDescent="0.2">
      <c r="A47" s="21" t="s">
        <v>1222</v>
      </c>
      <c r="B47" s="4" t="s">
        <v>169</v>
      </c>
      <c r="C47" s="4" t="s">
        <v>187</v>
      </c>
      <c r="D47" s="4" t="s">
        <v>1999</v>
      </c>
      <c r="E47" s="25" t="s">
        <v>1998</v>
      </c>
    </row>
    <row r="48" spans="1:5" x14ac:dyDescent="0.2">
      <c r="A48" s="21" t="s">
        <v>1997</v>
      </c>
      <c r="B48" s="4" t="s">
        <v>169</v>
      </c>
      <c r="C48" s="4" t="s">
        <v>497</v>
      </c>
      <c r="D48" s="4" t="s">
        <v>1996</v>
      </c>
      <c r="E48" s="25" t="s">
        <v>1995</v>
      </c>
    </row>
    <row r="49" spans="1:5" x14ac:dyDescent="0.2">
      <c r="A49" s="21" t="s">
        <v>1994</v>
      </c>
      <c r="B49" s="4" t="s">
        <v>169</v>
      </c>
      <c r="C49" s="4" t="s">
        <v>165</v>
      </c>
      <c r="D49" s="4" t="s">
        <v>1993</v>
      </c>
      <c r="E49" s="25" t="s">
        <v>1992</v>
      </c>
    </row>
    <row r="50" spans="1:5" x14ac:dyDescent="0.2">
      <c r="A50" s="21" t="s">
        <v>1991</v>
      </c>
      <c r="B50" s="4" t="s">
        <v>169</v>
      </c>
      <c r="C50" s="4" t="s">
        <v>165</v>
      </c>
      <c r="D50" s="4" t="s">
        <v>1990</v>
      </c>
      <c r="E50" s="25" t="s">
        <v>1989</v>
      </c>
    </row>
    <row r="52" spans="1:5" ht="14.25" x14ac:dyDescent="0.2">
      <c r="A52" s="22"/>
      <c r="B52" s="23" t="s">
        <v>1950</v>
      </c>
    </row>
    <row r="53" spans="1:5" ht="15" x14ac:dyDescent="0.2">
      <c r="A53" s="24" t="s">
        <v>159</v>
      </c>
      <c r="B53" s="24" t="s">
        <v>160</v>
      </c>
      <c r="C53" s="24" t="s">
        <v>161</v>
      </c>
      <c r="D53" s="24" t="s">
        <v>162</v>
      </c>
      <c r="E53" s="24" t="s">
        <v>1949</v>
      </c>
    </row>
    <row r="54" spans="1:5" x14ac:dyDescent="0.2">
      <c r="A54" s="21" t="s">
        <v>1164</v>
      </c>
      <c r="B54" s="4" t="s">
        <v>1945</v>
      </c>
      <c r="C54" s="4" t="s">
        <v>165</v>
      </c>
      <c r="D54" s="4" t="s">
        <v>1988</v>
      </c>
      <c r="E54" s="25" t="s">
        <v>1987</v>
      </c>
    </row>
    <row r="55" spans="1:5" x14ac:dyDescent="0.2">
      <c r="A55" s="21" t="s">
        <v>1986</v>
      </c>
      <c r="B55" s="4" t="s">
        <v>1979</v>
      </c>
      <c r="C55" s="4" t="s">
        <v>497</v>
      </c>
      <c r="D55" s="4" t="s">
        <v>1985</v>
      </c>
      <c r="E55" s="25" t="s">
        <v>1984</v>
      </c>
    </row>
    <row r="56" spans="1:5" x14ac:dyDescent="0.2">
      <c r="A56" s="21" t="s">
        <v>1983</v>
      </c>
      <c r="B56" s="4" t="s">
        <v>1945</v>
      </c>
      <c r="C56" s="4" t="s">
        <v>170</v>
      </c>
      <c r="D56" s="4" t="s">
        <v>1982</v>
      </c>
      <c r="E56" s="25" t="s">
        <v>1981</v>
      </c>
    </row>
    <row r="57" spans="1:5" x14ac:dyDescent="0.2">
      <c r="A57" s="21" t="s">
        <v>1980</v>
      </c>
      <c r="B57" s="4" t="s">
        <v>1979</v>
      </c>
      <c r="C57" s="4" t="s">
        <v>187</v>
      </c>
      <c r="D57" s="4" t="s">
        <v>1978</v>
      </c>
      <c r="E57" s="25" t="s">
        <v>1977</v>
      </c>
    </row>
    <row r="58" spans="1:5" x14ac:dyDescent="0.2">
      <c r="A58" s="21" t="s">
        <v>1976</v>
      </c>
      <c r="B58" s="4" t="s">
        <v>1945</v>
      </c>
      <c r="C58" s="4" t="s">
        <v>182</v>
      </c>
      <c r="D58" s="4" t="s">
        <v>1975</v>
      </c>
      <c r="E58" s="25" t="s">
        <v>1974</v>
      </c>
    </row>
    <row r="59" spans="1:5" x14ac:dyDescent="0.2">
      <c r="A59" s="21" t="s">
        <v>1290</v>
      </c>
      <c r="B59" s="4" t="s">
        <v>1973</v>
      </c>
      <c r="C59" s="4" t="s">
        <v>187</v>
      </c>
      <c r="D59" s="4" t="s">
        <v>1972</v>
      </c>
      <c r="E59" s="25" t="s">
        <v>1971</v>
      </c>
    </row>
  </sheetData>
  <mergeCells count="17">
    <mergeCell ref="A21:J21"/>
    <mergeCell ref="A25:J25"/>
    <mergeCell ref="A28:J28"/>
    <mergeCell ref="I3:I4"/>
    <mergeCell ref="J3:J4"/>
    <mergeCell ref="A5:J5"/>
    <mergeCell ref="A11:J11"/>
    <mergeCell ref="A15:J15"/>
    <mergeCell ref="A1:K2"/>
    <mergeCell ref="A3:A4"/>
    <mergeCell ref="B3:B4"/>
    <mergeCell ref="C3:C4"/>
    <mergeCell ref="D3:D4"/>
    <mergeCell ref="E3:E4"/>
    <mergeCell ref="F3:F4"/>
    <mergeCell ref="G3:H3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6.140625" style="4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29.85546875" style="4" bestFit="1" customWidth="1"/>
    <col min="22" max="16384" width="9.140625" style="3"/>
  </cols>
  <sheetData>
    <row r="1" spans="1:21" s="2" customFormat="1" ht="29.1" customHeight="1" x14ac:dyDescent="0.2">
      <c r="A1" s="36" t="s">
        <v>2129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10</v>
      </c>
      <c r="H3" s="34"/>
      <c r="I3" s="34"/>
      <c r="J3" s="34"/>
      <c r="K3" s="34" t="s">
        <v>11</v>
      </c>
      <c r="L3" s="34"/>
      <c r="M3" s="34"/>
      <c r="N3" s="34"/>
      <c r="O3" s="34" t="s">
        <v>12</v>
      </c>
      <c r="P3" s="34"/>
      <c r="Q3" s="34"/>
      <c r="R3" s="34"/>
      <c r="S3" s="34" t="s">
        <v>1</v>
      </c>
      <c r="T3" s="34" t="s">
        <v>3</v>
      </c>
      <c r="U3" s="45" t="s">
        <v>2</v>
      </c>
    </row>
    <row r="4" spans="1:21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5"/>
      <c r="T4" s="35"/>
      <c r="U4" s="46"/>
    </row>
    <row r="5" spans="1:21" ht="15" x14ac:dyDescent="0.2">
      <c r="A5" s="33" t="s">
        <v>199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x14ac:dyDescent="0.2">
      <c r="A6" s="6" t="s">
        <v>201</v>
      </c>
      <c r="B6" s="6" t="s">
        <v>202</v>
      </c>
      <c r="C6" s="6" t="s">
        <v>203</v>
      </c>
      <c r="D6" s="6" t="str">
        <f>"1,1866"</f>
        <v>1,1866</v>
      </c>
      <c r="E6" s="6" t="s">
        <v>18</v>
      </c>
      <c r="F6" s="6" t="s">
        <v>19</v>
      </c>
      <c r="G6" s="8" t="s">
        <v>34</v>
      </c>
      <c r="H6" s="8" t="s">
        <v>74</v>
      </c>
      <c r="I6" s="7" t="s">
        <v>20</v>
      </c>
      <c r="J6" s="7"/>
      <c r="K6" s="8" t="s">
        <v>204</v>
      </c>
      <c r="L6" s="7" t="s">
        <v>23</v>
      </c>
      <c r="M6" s="7" t="s">
        <v>23</v>
      </c>
      <c r="N6" s="7"/>
      <c r="O6" s="8" t="s">
        <v>21</v>
      </c>
      <c r="P6" s="8" t="s">
        <v>24</v>
      </c>
      <c r="Q6" s="7" t="s">
        <v>112</v>
      </c>
      <c r="R6" s="7"/>
      <c r="S6" s="6" t="str">
        <f>"377,5"</f>
        <v>377,5</v>
      </c>
      <c r="T6" s="8" t="str">
        <f>"447,9415"</f>
        <v>447,9415</v>
      </c>
      <c r="U6" s="6" t="s">
        <v>54</v>
      </c>
    </row>
    <row r="8" spans="1:21" ht="15" x14ac:dyDescent="0.2">
      <c r="A8" s="32" t="s">
        <v>26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x14ac:dyDescent="0.2">
      <c r="A9" s="9" t="s">
        <v>206</v>
      </c>
      <c r="B9" s="9" t="s">
        <v>207</v>
      </c>
      <c r="C9" s="9" t="s">
        <v>48</v>
      </c>
      <c r="D9" s="9" t="str">
        <f>"0,6402"</f>
        <v>0,6402</v>
      </c>
      <c r="E9" s="9" t="s">
        <v>18</v>
      </c>
      <c r="F9" s="9" t="s">
        <v>19</v>
      </c>
      <c r="G9" s="10" t="s">
        <v>77</v>
      </c>
      <c r="H9" s="10" t="s">
        <v>143</v>
      </c>
      <c r="I9" s="10" t="s">
        <v>60</v>
      </c>
      <c r="J9" s="11"/>
      <c r="K9" s="10" t="s">
        <v>112</v>
      </c>
      <c r="L9" s="10" t="s">
        <v>49</v>
      </c>
      <c r="M9" s="10" t="s">
        <v>64</v>
      </c>
      <c r="N9" s="11"/>
      <c r="O9" s="10" t="s">
        <v>66</v>
      </c>
      <c r="P9" s="10" t="s">
        <v>129</v>
      </c>
      <c r="Q9" s="10" t="s">
        <v>208</v>
      </c>
      <c r="R9" s="11"/>
      <c r="S9" s="9" t="str">
        <f>"790,0"</f>
        <v>790,0</v>
      </c>
      <c r="T9" s="10" t="str">
        <f>"505,7580"</f>
        <v>505,7580</v>
      </c>
      <c r="U9" s="9" t="s">
        <v>209</v>
      </c>
    </row>
    <row r="10" spans="1:21" x14ac:dyDescent="0.2">
      <c r="A10" s="14" t="s">
        <v>211</v>
      </c>
      <c r="B10" s="14" t="s">
        <v>212</v>
      </c>
      <c r="C10" s="14" t="s">
        <v>213</v>
      </c>
      <c r="D10" s="14" t="str">
        <f>"0,6410"</f>
        <v>0,6410</v>
      </c>
      <c r="E10" s="14" t="s">
        <v>18</v>
      </c>
      <c r="F10" s="14" t="s">
        <v>19</v>
      </c>
      <c r="G10" s="15" t="s">
        <v>37</v>
      </c>
      <c r="H10" s="15" t="s">
        <v>102</v>
      </c>
      <c r="I10" s="16" t="s">
        <v>77</v>
      </c>
      <c r="J10" s="16"/>
      <c r="K10" s="15" t="s">
        <v>20</v>
      </c>
      <c r="L10" s="15" t="s">
        <v>21</v>
      </c>
      <c r="M10" s="16" t="s">
        <v>76</v>
      </c>
      <c r="N10" s="16"/>
      <c r="O10" s="15" t="s">
        <v>214</v>
      </c>
      <c r="P10" s="15" t="s">
        <v>66</v>
      </c>
      <c r="Q10" s="15" t="s">
        <v>61</v>
      </c>
      <c r="R10" s="16"/>
      <c r="S10" s="14" t="str">
        <f>"712,5"</f>
        <v>712,5</v>
      </c>
      <c r="T10" s="15" t="str">
        <f>"456,7125"</f>
        <v>456,7125</v>
      </c>
      <c r="U10" s="14" t="s">
        <v>215</v>
      </c>
    </row>
    <row r="12" spans="1:21" ht="15" x14ac:dyDescent="0.2">
      <c r="A12" s="32" t="s">
        <v>55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1" x14ac:dyDescent="0.2">
      <c r="A13" s="9" t="s">
        <v>217</v>
      </c>
      <c r="B13" s="9" t="s">
        <v>218</v>
      </c>
      <c r="C13" s="9" t="s">
        <v>219</v>
      </c>
      <c r="D13" s="9" t="str">
        <f>"0,6086"</f>
        <v>0,6086</v>
      </c>
      <c r="E13" s="9" t="s">
        <v>18</v>
      </c>
      <c r="F13" s="9" t="s">
        <v>19</v>
      </c>
      <c r="G13" s="10" t="s">
        <v>102</v>
      </c>
      <c r="H13" s="10" t="s">
        <v>77</v>
      </c>
      <c r="I13" s="10" t="s">
        <v>214</v>
      </c>
      <c r="J13" s="11"/>
      <c r="K13" s="10" t="s">
        <v>24</v>
      </c>
      <c r="L13" s="10" t="s">
        <v>135</v>
      </c>
      <c r="M13" s="10" t="s">
        <v>49</v>
      </c>
      <c r="N13" s="11"/>
      <c r="O13" s="10" t="s">
        <v>66</v>
      </c>
      <c r="P13" s="11" t="s">
        <v>129</v>
      </c>
      <c r="Q13" s="10" t="s">
        <v>220</v>
      </c>
      <c r="R13" s="11"/>
      <c r="S13" s="9" t="str">
        <f>"770,0"</f>
        <v>770,0</v>
      </c>
      <c r="T13" s="10" t="str">
        <f>"468,6220"</f>
        <v>468,6220</v>
      </c>
      <c r="U13" s="9" t="s">
        <v>221</v>
      </c>
    </row>
    <row r="14" spans="1:21" x14ac:dyDescent="0.2">
      <c r="A14" s="12" t="s">
        <v>223</v>
      </c>
      <c r="B14" s="12" t="s">
        <v>224</v>
      </c>
      <c r="C14" s="12" t="s">
        <v>225</v>
      </c>
      <c r="D14" s="12" t="str">
        <f>"0,6118"</f>
        <v>0,6118</v>
      </c>
      <c r="E14" s="12" t="s">
        <v>18</v>
      </c>
      <c r="F14" s="12" t="s">
        <v>19</v>
      </c>
      <c r="G14" s="17" t="s">
        <v>37</v>
      </c>
      <c r="H14" s="17" t="s">
        <v>72</v>
      </c>
      <c r="I14" s="17" t="s">
        <v>78</v>
      </c>
      <c r="J14" s="13"/>
      <c r="K14" s="17" t="s">
        <v>20</v>
      </c>
      <c r="L14" s="17" t="s">
        <v>21</v>
      </c>
      <c r="M14" s="17" t="s">
        <v>76</v>
      </c>
      <c r="N14" s="13"/>
      <c r="O14" s="17" t="s">
        <v>60</v>
      </c>
      <c r="P14" s="17" t="s">
        <v>126</v>
      </c>
      <c r="Q14" s="13" t="s">
        <v>226</v>
      </c>
      <c r="R14" s="13"/>
      <c r="S14" s="12" t="str">
        <f>"725,0"</f>
        <v>725,0</v>
      </c>
      <c r="T14" s="17" t="str">
        <f>"443,5550"</f>
        <v>443,5550</v>
      </c>
      <c r="U14" s="12" t="s">
        <v>54</v>
      </c>
    </row>
    <row r="15" spans="1:21" x14ac:dyDescent="0.2">
      <c r="A15" s="12" t="s">
        <v>228</v>
      </c>
      <c r="B15" s="12" t="s">
        <v>229</v>
      </c>
      <c r="C15" s="12" t="s">
        <v>230</v>
      </c>
      <c r="D15" s="12" t="str">
        <f>"0,6101"</f>
        <v>0,6101</v>
      </c>
      <c r="E15" s="12" t="s">
        <v>18</v>
      </c>
      <c r="F15" s="12" t="s">
        <v>231</v>
      </c>
      <c r="G15" s="17" t="s">
        <v>102</v>
      </c>
      <c r="H15" s="17" t="s">
        <v>77</v>
      </c>
      <c r="I15" s="17" t="s">
        <v>232</v>
      </c>
      <c r="J15" s="13"/>
      <c r="K15" s="17" t="s">
        <v>21</v>
      </c>
      <c r="L15" s="17" t="s">
        <v>142</v>
      </c>
      <c r="M15" s="17" t="s">
        <v>112</v>
      </c>
      <c r="N15" s="13"/>
      <c r="O15" s="17" t="s">
        <v>77</v>
      </c>
      <c r="P15" s="17" t="s">
        <v>214</v>
      </c>
      <c r="Q15" s="13" t="s">
        <v>65</v>
      </c>
      <c r="R15" s="13"/>
      <c r="S15" s="12" t="str">
        <f>"712,5"</f>
        <v>712,5</v>
      </c>
      <c r="T15" s="17" t="str">
        <f>"434,6962"</f>
        <v>434,6962</v>
      </c>
      <c r="U15" s="12" t="s">
        <v>233</v>
      </c>
    </row>
    <row r="16" spans="1:21" x14ac:dyDescent="0.2">
      <c r="A16" s="12" t="s">
        <v>235</v>
      </c>
      <c r="B16" s="12" t="s">
        <v>236</v>
      </c>
      <c r="C16" s="12" t="s">
        <v>237</v>
      </c>
      <c r="D16" s="12" t="str">
        <f>"0,6158"</f>
        <v>0,6158</v>
      </c>
      <c r="E16" s="12" t="s">
        <v>18</v>
      </c>
      <c r="F16" s="12" t="s">
        <v>19</v>
      </c>
      <c r="G16" s="17" t="s">
        <v>36</v>
      </c>
      <c r="H16" s="13" t="s">
        <v>37</v>
      </c>
      <c r="I16" s="17" t="s">
        <v>71</v>
      </c>
      <c r="J16" s="13"/>
      <c r="K16" s="17" t="s">
        <v>238</v>
      </c>
      <c r="L16" s="17" t="s">
        <v>20</v>
      </c>
      <c r="M16" s="17" t="s">
        <v>239</v>
      </c>
      <c r="N16" s="13"/>
      <c r="O16" s="17" t="s">
        <v>78</v>
      </c>
      <c r="P16" s="13" t="s">
        <v>143</v>
      </c>
      <c r="Q16" s="13"/>
      <c r="R16" s="13"/>
      <c r="S16" s="12" t="str">
        <f>"665,0"</f>
        <v>665,0</v>
      </c>
      <c r="T16" s="17" t="str">
        <f>"409,5070"</f>
        <v>409,5070</v>
      </c>
      <c r="U16" s="12" t="s">
        <v>221</v>
      </c>
    </row>
    <row r="17" spans="1:21" x14ac:dyDescent="0.2">
      <c r="A17" s="14" t="s">
        <v>241</v>
      </c>
      <c r="B17" s="14" t="s">
        <v>242</v>
      </c>
      <c r="C17" s="14" t="s">
        <v>243</v>
      </c>
      <c r="D17" s="14" t="str">
        <f>"0,6091"</f>
        <v>0,6091</v>
      </c>
      <c r="E17" s="14" t="s">
        <v>18</v>
      </c>
      <c r="F17" s="14" t="s">
        <v>244</v>
      </c>
      <c r="G17" s="15" t="s">
        <v>32</v>
      </c>
      <c r="H17" s="15" t="s">
        <v>37</v>
      </c>
      <c r="I17" s="16" t="s">
        <v>102</v>
      </c>
      <c r="J17" s="16"/>
      <c r="K17" s="15" t="s">
        <v>33</v>
      </c>
      <c r="L17" s="15" t="s">
        <v>34</v>
      </c>
      <c r="M17" s="15" t="s">
        <v>74</v>
      </c>
      <c r="N17" s="16"/>
      <c r="O17" s="15" t="s">
        <v>32</v>
      </c>
      <c r="P17" s="15" t="s">
        <v>102</v>
      </c>
      <c r="Q17" s="15" t="s">
        <v>77</v>
      </c>
      <c r="R17" s="16"/>
      <c r="S17" s="14" t="str">
        <f>"640,0"</f>
        <v>640,0</v>
      </c>
      <c r="T17" s="15" t="str">
        <f>"427,6369"</f>
        <v>427,6369</v>
      </c>
      <c r="U17" s="14" t="s">
        <v>54</v>
      </c>
    </row>
    <row r="19" spans="1:21" ht="15" x14ac:dyDescent="0.2">
      <c r="A19" s="32" t="s">
        <v>97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1" x14ac:dyDescent="0.2">
      <c r="A20" s="9" t="s">
        <v>246</v>
      </c>
      <c r="B20" s="9" t="s">
        <v>247</v>
      </c>
      <c r="C20" s="9" t="s">
        <v>248</v>
      </c>
      <c r="D20" s="9" t="str">
        <f>"0,5885"</f>
        <v>0,5885</v>
      </c>
      <c r="E20" s="9" t="s">
        <v>18</v>
      </c>
      <c r="F20" s="9" t="s">
        <v>19</v>
      </c>
      <c r="G20" s="10" t="s">
        <v>77</v>
      </c>
      <c r="H20" s="10" t="s">
        <v>214</v>
      </c>
      <c r="I20" s="10" t="s">
        <v>249</v>
      </c>
      <c r="J20" s="11"/>
      <c r="K20" s="10" t="s">
        <v>53</v>
      </c>
      <c r="L20" s="10" t="s">
        <v>31</v>
      </c>
      <c r="M20" s="10" t="s">
        <v>51</v>
      </c>
      <c r="N20" s="11"/>
      <c r="O20" s="10" t="s">
        <v>77</v>
      </c>
      <c r="P20" s="10" t="s">
        <v>65</v>
      </c>
      <c r="Q20" s="10" t="s">
        <v>249</v>
      </c>
      <c r="R20" s="11"/>
      <c r="S20" s="9" t="str">
        <f>"780,0"</f>
        <v>780,0</v>
      </c>
      <c r="T20" s="10" t="str">
        <f>"459,0300"</f>
        <v>459,0300</v>
      </c>
      <c r="U20" s="9" t="s">
        <v>250</v>
      </c>
    </row>
    <row r="21" spans="1:21" x14ac:dyDescent="0.2">
      <c r="A21" s="12" t="s">
        <v>252</v>
      </c>
      <c r="B21" s="12" t="s">
        <v>253</v>
      </c>
      <c r="C21" s="12" t="s">
        <v>254</v>
      </c>
      <c r="D21" s="12" t="str">
        <f>"0,5903"</f>
        <v>0,5903</v>
      </c>
      <c r="E21" s="12" t="s">
        <v>18</v>
      </c>
      <c r="F21" s="12" t="s">
        <v>19</v>
      </c>
      <c r="G21" s="17" t="s">
        <v>37</v>
      </c>
      <c r="H21" s="17" t="s">
        <v>72</v>
      </c>
      <c r="I21" s="17" t="s">
        <v>78</v>
      </c>
      <c r="J21" s="13"/>
      <c r="K21" s="17" t="s">
        <v>76</v>
      </c>
      <c r="L21" s="17" t="s">
        <v>112</v>
      </c>
      <c r="M21" s="17" t="s">
        <v>63</v>
      </c>
      <c r="N21" s="13"/>
      <c r="O21" s="17" t="s">
        <v>214</v>
      </c>
      <c r="P21" s="17" t="s">
        <v>255</v>
      </c>
      <c r="Q21" s="13" t="s">
        <v>128</v>
      </c>
      <c r="R21" s="13"/>
      <c r="S21" s="12" t="str">
        <f>"732,5"</f>
        <v>732,5</v>
      </c>
      <c r="T21" s="17" t="str">
        <f>"432,3948"</f>
        <v>432,3948</v>
      </c>
      <c r="U21" s="12" t="s">
        <v>256</v>
      </c>
    </row>
    <row r="22" spans="1:21" x14ac:dyDescent="0.2">
      <c r="A22" s="14" t="s">
        <v>258</v>
      </c>
      <c r="B22" s="14" t="s">
        <v>259</v>
      </c>
      <c r="C22" s="14" t="s">
        <v>260</v>
      </c>
      <c r="D22" s="14" t="str">
        <f>"0,6002"</f>
        <v>0,6002</v>
      </c>
      <c r="E22" s="14" t="s">
        <v>18</v>
      </c>
      <c r="F22" s="14" t="s">
        <v>19</v>
      </c>
      <c r="G22" s="15" t="s">
        <v>42</v>
      </c>
      <c r="H22" s="15" t="s">
        <v>50</v>
      </c>
      <c r="I22" s="16" t="s">
        <v>51</v>
      </c>
      <c r="J22" s="16"/>
      <c r="K22" s="15" t="s">
        <v>21</v>
      </c>
      <c r="L22" s="15" t="s">
        <v>24</v>
      </c>
      <c r="M22" s="16" t="s">
        <v>112</v>
      </c>
      <c r="N22" s="16"/>
      <c r="O22" s="15" t="s">
        <v>36</v>
      </c>
      <c r="P22" s="16" t="s">
        <v>102</v>
      </c>
      <c r="Q22" s="16" t="s">
        <v>72</v>
      </c>
      <c r="R22" s="16"/>
      <c r="S22" s="14" t="str">
        <f>"605,0"</f>
        <v>605,0</v>
      </c>
      <c r="T22" s="15" t="str">
        <f>"363,1210"</f>
        <v>363,1210</v>
      </c>
      <c r="U22" s="14" t="s">
        <v>221</v>
      </c>
    </row>
    <row r="24" spans="1:21" ht="15" x14ac:dyDescent="0.2">
      <c r="A24" s="32" t="s">
        <v>121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1" x14ac:dyDescent="0.2">
      <c r="A25" s="9" t="s">
        <v>262</v>
      </c>
      <c r="B25" s="9" t="s">
        <v>263</v>
      </c>
      <c r="C25" s="9" t="s">
        <v>264</v>
      </c>
      <c r="D25" s="9" t="str">
        <f>"0,5768"</f>
        <v>0,5768</v>
      </c>
      <c r="E25" s="9" t="s">
        <v>18</v>
      </c>
      <c r="F25" s="9" t="s">
        <v>265</v>
      </c>
      <c r="G25" s="11" t="s">
        <v>21</v>
      </c>
      <c r="H25" s="10" t="s">
        <v>21</v>
      </c>
      <c r="I25" s="11" t="s">
        <v>112</v>
      </c>
      <c r="J25" s="11"/>
      <c r="K25" s="10" t="s">
        <v>94</v>
      </c>
      <c r="L25" s="11" t="s">
        <v>266</v>
      </c>
      <c r="M25" s="11" t="s">
        <v>266</v>
      </c>
      <c r="N25" s="11"/>
      <c r="O25" s="10" t="s">
        <v>21</v>
      </c>
      <c r="P25" s="10" t="s">
        <v>112</v>
      </c>
      <c r="Q25" s="10" t="s">
        <v>49</v>
      </c>
      <c r="R25" s="11"/>
      <c r="S25" s="9" t="str">
        <f>"450,0"</f>
        <v>450,0</v>
      </c>
      <c r="T25" s="10" t="str">
        <f>"259,5600"</f>
        <v>259,5600</v>
      </c>
      <c r="U25" s="9" t="s">
        <v>267</v>
      </c>
    </row>
    <row r="26" spans="1:21" x14ac:dyDescent="0.2">
      <c r="A26" s="12" t="s">
        <v>269</v>
      </c>
      <c r="B26" s="12" t="s">
        <v>270</v>
      </c>
      <c r="C26" s="12" t="s">
        <v>271</v>
      </c>
      <c r="D26" s="12" t="str">
        <f>"0,5824"</f>
        <v>0,5824</v>
      </c>
      <c r="E26" s="12" t="s">
        <v>18</v>
      </c>
      <c r="F26" s="12" t="s">
        <v>19</v>
      </c>
      <c r="G26" s="17" t="s">
        <v>31</v>
      </c>
      <c r="H26" s="13" t="s">
        <v>36</v>
      </c>
      <c r="I26" s="17" t="s">
        <v>36</v>
      </c>
      <c r="J26" s="13"/>
      <c r="K26" s="17" t="s">
        <v>74</v>
      </c>
      <c r="L26" s="17" t="s">
        <v>239</v>
      </c>
      <c r="M26" s="17" t="s">
        <v>24</v>
      </c>
      <c r="N26" s="13"/>
      <c r="O26" s="17" t="s">
        <v>36</v>
      </c>
      <c r="P26" s="17" t="s">
        <v>71</v>
      </c>
      <c r="Q26" s="17" t="s">
        <v>77</v>
      </c>
      <c r="R26" s="13"/>
      <c r="S26" s="12" t="str">
        <f>"660,0"</f>
        <v>660,0</v>
      </c>
      <c r="T26" s="17" t="str">
        <f>"384,3840"</f>
        <v>384,3840</v>
      </c>
      <c r="U26" s="12" t="s">
        <v>272</v>
      </c>
    </row>
    <row r="27" spans="1:21" x14ac:dyDescent="0.2">
      <c r="A27" s="14" t="s">
        <v>274</v>
      </c>
      <c r="B27" s="14" t="s">
        <v>275</v>
      </c>
      <c r="C27" s="14" t="s">
        <v>271</v>
      </c>
      <c r="D27" s="14" t="str">
        <f>"0,5824"</f>
        <v>0,5824</v>
      </c>
      <c r="E27" s="14" t="s">
        <v>18</v>
      </c>
      <c r="F27" s="14" t="s">
        <v>276</v>
      </c>
      <c r="G27" s="15" t="s">
        <v>24</v>
      </c>
      <c r="H27" s="16" t="s">
        <v>51</v>
      </c>
      <c r="I27" s="15" t="s">
        <v>51</v>
      </c>
      <c r="J27" s="16"/>
      <c r="K27" s="15" t="s">
        <v>21</v>
      </c>
      <c r="L27" s="16" t="s">
        <v>49</v>
      </c>
      <c r="M27" s="16" t="s">
        <v>49</v>
      </c>
      <c r="N27" s="16"/>
      <c r="O27" s="15" t="s">
        <v>32</v>
      </c>
      <c r="P27" s="16" t="s">
        <v>77</v>
      </c>
      <c r="Q27" s="16"/>
      <c r="R27" s="16"/>
      <c r="S27" s="14" t="str">
        <f>"595,0"</f>
        <v>595,0</v>
      </c>
      <c r="T27" s="15" t="str">
        <f>"374,9433"</f>
        <v>374,9433</v>
      </c>
      <c r="U27" s="14" t="s">
        <v>54</v>
      </c>
    </row>
    <row r="29" spans="1:21" ht="15" x14ac:dyDescent="0.2">
      <c r="A29" s="32" t="s">
        <v>146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1" x14ac:dyDescent="0.2">
      <c r="A30" s="6" t="s">
        <v>278</v>
      </c>
      <c r="B30" s="6" t="s">
        <v>279</v>
      </c>
      <c r="C30" s="6" t="s">
        <v>280</v>
      </c>
      <c r="D30" s="6" t="str">
        <f>"0,5609"</f>
        <v>0,5609</v>
      </c>
      <c r="E30" s="6" t="s">
        <v>18</v>
      </c>
      <c r="F30" s="6" t="s">
        <v>19</v>
      </c>
      <c r="G30" s="8" t="s">
        <v>281</v>
      </c>
      <c r="H30" s="8" t="s">
        <v>282</v>
      </c>
      <c r="I30" s="8" t="s">
        <v>74</v>
      </c>
      <c r="J30" s="7"/>
      <c r="K30" s="8" t="s">
        <v>283</v>
      </c>
      <c r="L30" s="8" t="s">
        <v>284</v>
      </c>
      <c r="M30" s="7" t="s">
        <v>285</v>
      </c>
      <c r="N30" s="7"/>
      <c r="O30" s="8" t="s">
        <v>282</v>
      </c>
      <c r="P30" s="8" t="s">
        <v>52</v>
      </c>
      <c r="Q30" s="8" t="s">
        <v>239</v>
      </c>
      <c r="R30" s="7"/>
      <c r="S30" s="6" t="str">
        <f>"397,5"</f>
        <v>397,5</v>
      </c>
      <c r="T30" s="8" t="str">
        <f>"222,9577"</f>
        <v>222,9577</v>
      </c>
      <c r="U30" s="6" t="s">
        <v>286</v>
      </c>
    </row>
    <row r="32" spans="1:21" ht="15" x14ac:dyDescent="0.2">
      <c r="E32" s="18" t="s">
        <v>151</v>
      </c>
    </row>
    <row r="33" spans="1:5" ht="15" x14ac:dyDescent="0.2">
      <c r="E33" s="18" t="s">
        <v>152</v>
      </c>
    </row>
    <row r="34" spans="1:5" ht="15" x14ac:dyDescent="0.2">
      <c r="E34" s="18" t="s">
        <v>153</v>
      </c>
    </row>
    <row r="35" spans="1:5" ht="15" x14ac:dyDescent="0.2">
      <c r="E35" s="18" t="s">
        <v>154</v>
      </c>
    </row>
    <row r="36" spans="1:5" ht="15" x14ac:dyDescent="0.2">
      <c r="E36" s="18" t="s">
        <v>154</v>
      </c>
    </row>
    <row r="37" spans="1:5" ht="15" x14ac:dyDescent="0.2">
      <c r="E37" s="18" t="s">
        <v>155</v>
      </c>
    </row>
    <row r="38" spans="1:5" ht="15" x14ac:dyDescent="0.2">
      <c r="E38" s="18"/>
    </row>
    <row r="40" spans="1:5" ht="18" x14ac:dyDescent="0.25">
      <c r="A40" s="19" t="s">
        <v>156</v>
      </c>
      <c r="B40" s="19"/>
    </row>
    <row r="41" spans="1:5" ht="15" x14ac:dyDescent="0.2">
      <c r="A41" s="20" t="s">
        <v>157</v>
      </c>
      <c r="B41" s="20"/>
    </row>
    <row r="42" spans="1:5" ht="14.25" x14ac:dyDescent="0.2">
      <c r="A42" s="22"/>
      <c r="B42" s="23" t="s">
        <v>169</v>
      </c>
    </row>
    <row r="43" spans="1:5" ht="15" x14ac:dyDescent="0.2">
      <c r="A43" s="24" t="s">
        <v>159</v>
      </c>
      <c r="B43" s="24" t="s">
        <v>160</v>
      </c>
      <c r="C43" s="24" t="s">
        <v>161</v>
      </c>
      <c r="D43" s="24" t="s">
        <v>162</v>
      </c>
      <c r="E43" s="24" t="s">
        <v>163</v>
      </c>
    </row>
    <row r="44" spans="1:5" x14ac:dyDescent="0.2">
      <c r="A44" s="21" t="s">
        <v>200</v>
      </c>
      <c r="B44" s="4" t="s">
        <v>169</v>
      </c>
      <c r="C44" s="4" t="s">
        <v>287</v>
      </c>
      <c r="D44" s="4" t="s">
        <v>288</v>
      </c>
      <c r="E44" s="25" t="s">
        <v>289</v>
      </c>
    </row>
    <row r="47" spans="1:5" ht="15" x14ac:dyDescent="0.2">
      <c r="A47" s="20" t="s">
        <v>168</v>
      </c>
      <c r="B47" s="20"/>
    </row>
    <row r="48" spans="1:5" ht="14.25" x14ac:dyDescent="0.2">
      <c r="A48" s="22"/>
      <c r="B48" s="23" t="s">
        <v>290</v>
      </c>
    </row>
    <row r="49" spans="1:5" ht="15" x14ac:dyDescent="0.2">
      <c r="A49" s="24" t="s">
        <v>159</v>
      </c>
      <c r="B49" s="24" t="s">
        <v>160</v>
      </c>
      <c r="C49" s="24" t="s">
        <v>161</v>
      </c>
      <c r="D49" s="24" t="s">
        <v>162</v>
      </c>
      <c r="E49" s="24" t="s">
        <v>163</v>
      </c>
    </row>
    <row r="50" spans="1:5" x14ac:dyDescent="0.2">
      <c r="A50" s="21" t="s">
        <v>261</v>
      </c>
      <c r="B50" s="4" t="s">
        <v>291</v>
      </c>
      <c r="C50" s="4" t="s">
        <v>173</v>
      </c>
      <c r="D50" s="4" t="s">
        <v>292</v>
      </c>
      <c r="E50" s="25" t="s">
        <v>293</v>
      </c>
    </row>
    <row r="51" spans="1:5" x14ac:dyDescent="0.2">
      <c r="A51" s="21" t="s">
        <v>277</v>
      </c>
      <c r="B51" s="4" t="s">
        <v>291</v>
      </c>
      <c r="C51" s="4" t="s">
        <v>294</v>
      </c>
      <c r="D51" s="4" t="s">
        <v>295</v>
      </c>
      <c r="E51" s="25" t="s">
        <v>296</v>
      </c>
    </row>
    <row r="53" spans="1:5" ht="14.25" x14ac:dyDescent="0.2">
      <c r="A53" s="22"/>
      <c r="B53" s="23" t="s">
        <v>169</v>
      </c>
    </row>
    <row r="54" spans="1:5" ht="15" x14ac:dyDescent="0.2">
      <c r="A54" s="24" t="s">
        <v>159</v>
      </c>
      <c r="B54" s="24" t="s">
        <v>160</v>
      </c>
      <c r="C54" s="24" t="s">
        <v>161</v>
      </c>
      <c r="D54" s="24" t="s">
        <v>162</v>
      </c>
      <c r="E54" s="24" t="s">
        <v>163</v>
      </c>
    </row>
    <row r="55" spans="1:5" x14ac:dyDescent="0.2">
      <c r="A55" s="21" t="s">
        <v>205</v>
      </c>
      <c r="B55" s="4" t="s">
        <v>169</v>
      </c>
      <c r="C55" s="4" t="s">
        <v>187</v>
      </c>
      <c r="D55" s="4" t="s">
        <v>297</v>
      </c>
      <c r="E55" s="25" t="s">
        <v>298</v>
      </c>
    </row>
    <row r="56" spans="1:5" x14ac:dyDescent="0.2">
      <c r="A56" s="21" t="s">
        <v>216</v>
      </c>
      <c r="B56" s="4" t="s">
        <v>169</v>
      </c>
      <c r="C56" s="4" t="s">
        <v>170</v>
      </c>
      <c r="D56" s="4" t="s">
        <v>299</v>
      </c>
      <c r="E56" s="25" t="s">
        <v>300</v>
      </c>
    </row>
    <row r="57" spans="1:5" x14ac:dyDescent="0.2">
      <c r="A57" s="21" t="s">
        <v>245</v>
      </c>
      <c r="B57" s="4" t="s">
        <v>169</v>
      </c>
      <c r="C57" s="4" t="s">
        <v>182</v>
      </c>
      <c r="D57" s="4" t="s">
        <v>174</v>
      </c>
      <c r="E57" s="25" t="s">
        <v>301</v>
      </c>
    </row>
    <row r="58" spans="1:5" x14ac:dyDescent="0.2">
      <c r="A58" s="21" t="s">
        <v>210</v>
      </c>
      <c r="B58" s="4" t="s">
        <v>169</v>
      </c>
      <c r="C58" s="4" t="s">
        <v>187</v>
      </c>
      <c r="D58" s="4" t="s">
        <v>302</v>
      </c>
      <c r="E58" s="25" t="s">
        <v>303</v>
      </c>
    </row>
    <row r="59" spans="1:5" x14ac:dyDescent="0.2">
      <c r="A59" s="21" t="s">
        <v>222</v>
      </c>
      <c r="B59" s="4" t="s">
        <v>169</v>
      </c>
      <c r="C59" s="4" t="s">
        <v>170</v>
      </c>
      <c r="D59" s="4" t="s">
        <v>304</v>
      </c>
      <c r="E59" s="25" t="s">
        <v>305</v>
      </c>
    </row>
    <row r="60" spans="1:5" x14ac:dyDescent="0.2">
      <c r="A60" s="21" t="s">
        <v>227</v>
      </c>
      <c r="B60" s="4" t="s">
        <v>169</v>
      </c>
      <c r="C60" s="4" t="s">
        <v>170</v>
      </c>
      <c r="D60" s="4" t="s">
        <v>302</v>
      </c>
      <c r="E60" s="25" t="s">
        <v>306</v>
      </c>
    </row>
    <row r="61" spans="1:5" x14ac:dyDescent="0.2">
      <c r="A61" s="21" t="s">
        <v>251</v>
      </c>
      <c r="B61" s="4" t="s">
        <v>169</v>
      </c>
      <c r="C61" s="4" t="s">
        <v>182</v>
      </c>
      <c r="D61" s="4" t="s">
        <v>307</v>
      </c>
      <c r="E61" s="25" t="s">
        <v>308</v>
      </c>
    </row>
    <row r="62" spans="1:5" x14ac:dyDescent="0.2">
      <c r="A62" s="21" t="s">
        <v>234</v>
      </c>
      <c r="B62" s="4" t="s">
        <v>169</v>
      </c>
      <c r="C62" s="4" t="s">
        <v>170</v>
      </c>
      <c r="D62" s="4" t="s">
        <v>309</v>
      </c>
      <c r="E62" s="25" t="s">
        <v>310</v>
      </c>
    </row>
    <row r="63" spans="1:5" x14ac:dyDescent="0.2">
      <c r="A63" s="21" t="s">
        <v>268</v>
      </c>
      <c r="B63" s="4" t="s">
        <v>169</v>
      </c>
      <c r="C63" s="4" t="s">
        <v>173</v>
      </c>
      <c r="D63" s="4" t="s">
        <v>311</v>
      </c>
      <c r="E63" s="25" t="s">
        <v>312</v>
      </c>
    </row>
    <row r="64" spans="1:5" x14ac:dyDescent="0.2">
      <c r="A64" s="21" t="s">
        <v>257</v>
      </c>
      <c r="B64" s="4" t="s">
        <v>169</v>
      </c>
      <c r="C64" s="4" t="s">
        <v>182</v>
      </c>
      <c r="D64" s="4" t="s">
        <v>313</v>
      </c>
      <c r="E64" s="25" t="s">
        <v>314</v>
      </c>
    </row>
    <row r="66" spans="1:5" ht="14.25" x14ac:dyDescent="0.2">
      <c r="A66" s="22"/>
      <c r="B66" s="23" t="s">
        <v>158</v>
      </c>
    </row>
    <row r="67" spans="1:5" ht="15" x14ac:dyDescent="0.2">
      <c r="A67" s="24" t="s">
        <v>159</v>
      </c>
      <c r="B67" s="24" t="s">
        <v>160</v>
      </c>
      <c r="C67" s="24" t="s">
        <v>161</v>
      </c>
      <c r="D67" s="24" t="s">
        <v>162</v>
      </c>
      <c r="E67" s="24" t="s">
        <v>163</v>
      </c>
    </row>
    <row r="68" spans="1:5" x14ac:dyDescent="0.2">
      <c r="A68" s="21" t="s">
        <v>240</v>
      </c>
      <c r="B68" s="4" t="s">
        <v>315</v>
      </c>
      <c r="C68" s="4" t="s">
        <v>170</v>
      </c>
      <c r="D68" s="4" t="s">
        <v>316</v>
      </c>
      <c r="E68" s="25" t="s">
        <v>317</v>
      </c>
    </row>
    <row r="69" spans="1:5" x14ac:dyDescent="0.2">
      <c r="A69" s="21" t="s">
        <v>273</v>
      </c>
      <c r="B69" s="4" t="s">
        <v>315</v>
      </c>
      <c r="C69" s="4" t="s">
        <v>173</v>
      </c>
      <c r="D69" s="4" t="s">
        <v>318</v>
      </c>
      <c r="E69" s="25" t="s">
        <v>319</v>
      </c>
    </row>
  </sheetData>
  <mergeCells count="19">
    <mergeCell ref="U3:U4"/>
    <mergeCell ref="A5:T5"/>
    <mergeCell ref="A8:T8"/>
    <mergeCell ref="A12:T12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19:T19"/>
    <mergeCell ref="A24:T24"/>
    <mergeCell ref="A29:T29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5703125" style="4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9" width="5.5703125" style="3" bestFit="1" customWidth="1"/>
    <col min="10" max="10" width="4.85546875" style="3" bestFit="1" customWidth="1"/>
    <col min="11" max="11" width="12.5703125" style="4" customWidth="1"/>
    <col min="12" max="12" width="8.5703125" style="3" bestFit="1" customWidth="1"/>
    <col min="13" max="13" width="12" style="4" bestFit="1" customWidth="1"/>
    <col min="14" max="16384" width="9.140625" style="3"/>
  </cols>
  <sheetData>
    <row r="1" spans="1:13" s="2" customFormat="1" ht="29.1" customHeight="1" x14ac:dyDescent="0.2">
      <c r="A1" s="36" t="s">
        <v>2130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11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390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6" t="s">
        <v>997</v>
      </c>
      <c r="B6" s="6" t="s">
        <v>998</v>
      </c>
      <c r="C6" s="6" t="s">
        <v>999</v>
      </c>
      <c r="D6" s="6" t="str">
        <f>"0,6843"</f>
        <v>0,6843</v>
      </c>
      <c r="E6" s="6" t="s">
        <v>18</v>
      </c>
      <c r="F6" s="6" t="s">
        <v>265</v>
      </c>
      <c r="G6" s="8" t="s">
        <v>24</v>
      </c>
      <c r="H6" s="7" t="s">
        <v>64</v>
      </c>
      <c r="I6" s="7" t="s">
        <v>64</v>
      </c>
      <c r="J6" s="7"/>
      <c r="K6" s="6" t="str">
        <f>"170,0"</f>
        <v>170,0</v>
      </c>
      <c r="L6" s="8" t="str">
        <f>"116,3310"</f>
        <v>116,3310</v>
      </c>
      <c r="M6" s="6" t="s">
        <v>1000</v>
      </c>
    </row>
    <row r="8" spans="1:13" ht="15" x14ac:dyDescent="0.2">
      <c r="E8" s="18" t="s">
        <v>151</v>
      </c>
    </row>
    <row r="9" spans="1:13" ht="15" x14ac:dyDescent="0.2">
      <c r="E9" s="18" t="s">
        <v>152</v>
      </c>
    </row>
    <row r="10" spans="1:13" ht="15" x14ac:dyDescent="0.2">
      <c r="E10" s="18" t="s">
        <v>153</v>
      </c>
    </row>
    <row r="11" spans="1:13" ht="15" x14ac:dyDescent="0.2">
      <c r="E11" s="18" t="s">
        <v>154</v>
      </c>
    </row>
    <row r="12" spans="1:13" ht="15" x14ac:dyDescent="0.2">
      <c r="E12" s="18" t="s">
        <v>154</v>
      </c>
    </row>
    <row r="13" spans="1:13" ht="15" x14ac:dyDescent="0.2">
      <c r="E13" s="18" t="s">
        <v>155</v>
      </c>
    </row>
    <row r="14" spans="1:13" ht="15" x14ac:dyDescent="0.2">
      <c r="E14" s="18"/>
    </row>
    <row r="16" spans="1:13" ht="18" x14ac:dyDescent="0.25">
      <c r="A16" s="19" t="s">
        <v>156</v>
      </c>
      <c r="B16" s="19"/>
    </row>
    <row r="17" spans="1:5" ht="15" x14ac:dyDescent="0.2">
      <c r="A17" s="20" t="s">
        <v>168</v>
      </c>
      <c r="B17" s="20"/>
    </row>
    <row r="18" spans="1:5" ht="14.25" x14ac:dyDescent="0.2">
      <c r="A18" s="22"/>
      <c r="B18" s="23" t="s">
        <v>169</v>
      </c>
    </row>
    <row r="19" spans="1:5" ht="15" x14ac:dyDescent="0.2">
      <c r="A19" s="24" t="s">
        <v>159</v>
      </c>
      <c r="B19" s="24" t="s">
        <v>160</v>
      </c>
      <c r="C19" s="24" t="s">
        <v>161</v>
      </c>
      <c r="D19" s="24" t="s">
        <v>162</v>
      </c>
      <c r="E19" s="24" t="s">
        <v>163</v>
      </c>
    </row>
    <row r="20" spans="1:5" x14ac:dyDescent="0.2">
      <c r="A20" s="21" t="s">
        <v>996</v>
      </c>
      <c r="B20" s="4" t="s">
        <v>169</v>
      </c>
      <c r="C20" s="4" t="s">
        <v>497</v>
      </c>
      <c r="D20" s="4" t="s">
        <v>24</v>
      </c>
      <c r="E20" s="25" t="s">
        <v>1001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6.5703125" style="4" customWidth="1"/>
    <col min="4" max="4" width="8.42578125" style="4" bestFit="1" customWidth="1"/>
    <col min="5" max="5" width="22.7109375" style="4" bestFit="1" customWidth="1"/>
    <col min="6" max="6" width="29.140625" style="4" bestFit="1" customWidth="1"/>
    <col min="7" max="9" width="5.5703125" style="3" bestFit="1" customWidth="1"/>
    <col min="10" max="10" width="4.85546875" style="3" bestFit="1" customWidth="1"/>
    <col min="11" max="11" width="11.7109375" style="4" customWidth="1"/>
    <col min="12" max="12" width="8.5703125" style="3" bestFit="1" customWidth="1"/>
    <col min="13" max="13" width="14.140625" style="4" bestFit="1" customWidth="1"/>
    <col min="14" max="16384" width="9.140625" style="3"/>
  </cols>
  <sheetData>
    <row r="1" spans="1:13" s="2" customFormat="1" ht="29.1" customHeight="1" x14ac:dyDescent="0.2">
      <c r="A1" s="36" t="s">
        <v>2131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11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13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6" t="s">
        <v>953</v>
      </c>
      <c r="B6" s="6" t="s">
        <v>954</v>
      </c>
      <c r="C6" s="6" t="s">
        <v>955</v>
      </c>
      <c r="D6" s="6" t="str">
        <f>"0,9734"</f>
        <v>0,9734</v>
      </c>
      <c r="E6" s="6" t="s">
        <v>18</v>
      </c>
      <c r="F6" s="6" t="s">
        <v>19</v>
      </c>
      <c r="G6" s="8" t="s">
        <v>738</v>
      </c>
      <c r="H6" s="8" t="s">
        <v>369</v>
      </c>
      <c r="I6" s="7" t="s">
        <v>370</v>
      </c>
      <c r="J6" s="7"/>
      <c r="K6" s="6" t="str">
        <f>"40,0"</f>
        <v>40,0</v>
      </c>
      <c r="L6" s="8" t="str">
        <f>"40,1430"</f>
        <v>40,1430</v>
      </c>
      <c r="M6" s="6" t="s">
        <v>956</v>
      </c>
    </row>
    <row r="8" spans="1:13" ht="15" x14ac:dyDescent="0.2">
      <c r="A8" s="32" t="s">
        <v>13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x14ac:dyDescent="0.2">
      <c r="A9" s="9" t="s">
        <v>766</v>
      </c>
      <c r="B9" s="9" t="s">
        <v>957</v>
      </c>
      <c r="C9" s="9" t="s">
        <v>768</v>
      </c>
      <c r="D9" s="9" t="str">
        <f>"0,7256"</f>
        <v>0,7256</v>
      </c>
      <c r="E9" s="9" t="s">
        <v>18</v>
      </c>
      <c r="F9" s="9" t="s">
        <v>19</v>
      </c>
      <c r="G9" s="10" t="s">
        <v>533</v>
      </c>
      <c r="H9" s="10" t="s">
        <v>536</v>
      </c>
      <c r="I9" s="11"/>
      <c r="J9" s="11"/>
      <c r="K9" s="9" t="str">
        <f>"92,5"</f>
        <v>92,5</v>
      </c>
      <c r="L9" s="10" t="str">
        <f>"67,1180"</f>
        <v>67,1180</v>
      </c>
      <c r="M9" s="9" t="s">
        <v>54</v>
      </c>
    </row>
    <row r="10" spans="1:13" x14ac:dyDescent="0.2">
      <c r="A10" s="12" t="s">
        <v>766</v>
      </c>
      <c r="B10" s="12" t="s">
        <v>767</v>
      </c>
      <c r="C10" s="12" t="s">
        <v>768</v>
      </c>
      <c r="D10" s="12" t="str">
        <f>"0,7256"</f>
        <v>0,7256</v>
      </c>
      <c r="E10" s="12" t="s">
        <v>18</v>
      </c>
      <c r="F10" s="12" t="s">
        <v>19</v>
      </c>
      <c r="G10" s="17" t="s">
        <v>533</v>
      </c>
      <c r="H10" s="17" t="s">
        <v>536</v>
      </c>
      <c r="I10" s="13"/>
      <c r="J10" s="13"/>
      <c r="K10" s="12" t="str">
        <f>"92,5"</f>
        <v>92,5</v>
      </c>
      <c r="L10" s="17" t="str">
        <f>"95,3747"</f>
        <v>95,3747</v>
      </c>
      <c r="M10" s="12" t="s">
        <v>54</v>
      </c>
    </row>
    <row r="11" spans="1:13" x14ac:dyDescent="0.2">
      <c r="A11" s="14" t="s">
        <v>775</v>
      </c>
      <c r="B11" s="14" t="s">
        <v>776</v>
      </c>
      <c r="C11" s="14" t="s">
        <v>777</v>
      </c>
      <c r="D11" s="14" t="str">
        <f>"0,7193"</f>
        <v>0,7193</v>
      </c>
      <c r="E11" s="14" t="s">
        <v>18</v>
      </c>
      <c r="F11" s="14" t="s">
        <v>778</v>
      </c>
      <c r="G11" s="15" t="s">
        <v>743</v>
      </c>
      <c r="H11" s="15" t="s">
        <v>533</v>
      </c>
      <c r="I11" s="16" t="s">
        <v>336</v>
      </c>
      <c r="J11" s="16"/>
      <c r="K11" s="14" t="str">
        <f>"85,0"</f>
        <v>85,0</v>
      </c>
      <c r="L11" s="15" t="str">
        <f>"128,1505"</f>
        <v>128,1505</v>
      </c>
      <c r="M11" s="14" t="s">
        <v>54</v>
      </c>
    </row>
    <row r="13" spans="1:13" ht="15" x14ac:dyDescent="0.2">
      <c r="A13" s="32" t="s">
        <v>55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3" x14ac:dyDescent="0.2">
      <c r="A14" s="9" t="s">
        <v>959</v>
      </c>
      <c r="B14" s="9" t="s">
        <v>960</v>
      </c>
      <c r="C14" s="9" t="s">
        <v>961</v>
      </c>
      <c r="D14" s="9" t="str">
        <f>"0,6163"</f>
        <v>0,6163</v>
      </c>
      <c r="E14" s="9" t="s">
        <v>18</v>
      </c>
      <c r="F14" s="9" t="s">
        <v>395</v>
      </c>
      <c r="G14" s="10" t="s">
        <v>36</v>
      </c>
      <c r="H14" s="10" t="s">
        <v>37</v>
      </c>
      <c r="I14" s="10" t="s">
        <v>102</v>
      </c>
      <c r="J14" s="11"/>
      <c r="K14" s="9" t="str">
        <f>"250,0"</f>
        <v>250,0</v>
      </c>
      <c r="L14" s="10" t="str">
        <f>"154,0750"</f>
        <v>154,0750</v>
      </c>
      <c r="M14" s="9" t="s">
        <v>54</v>
      </c>
    </row>
    <row r="15" spans="1:13" x14ac:dyDescent="0.2">
      <c r="A15" s="12" t="s">
        <v>963</v>
      </c>
      <c r="B15" s="12" t="s">
        <v>964</v>
      </c>
      <c r="C15" s="12" t="s">
        <v>965</v>
      </c>
      <c r="D15" s="12" t="str">
        <f>"0,6139"</f>
        <v>0,6139</v>
      </c>
      <c r="E15" s="12" t="s">
        <v>18</v>
      </c>
      <c r="F15" s="12" t="s">
        <v>19</v>
      </c>
      <c r="G15" s="17" t="s">
        <v>382</v>
      </c>
      <c r="H15" s="13" t="s">
        <v>37</v>
      </c>
      <c r="I15" s="13" t="s">
        <v>37</v>
      </c>
      <c r="J15" s="13"/>
      <c r="K15" s="12" t="str">
        <f>"232,5"</f>
        <v>232,5</v>
      </c>
      <c r="L15" s="17" t="str">
        <f>"142,7318"</f>
        <v>142,7318</v>
      </c>
      <c r="M15" s="12" t="s">
        <v>966</v>
      </c>
    </row>
    <row r="16" spans="1:13" x14ac:dyDescent="0.2">
      <c r="A16" s="12" t="s">
        <v>968</v>
      </c>
      <c r="B16" s="12" t="s">
        <v>969</v>
      </c>
      <c r="C16" s="12" t="s">
        <v>59</v>
      </c>
      <c r="D16" s="12" t="str">
        <f>"0,6111"</f>
        <v>0,6111</v>
      </c>
      <c r="E16" s="12" t="s">
        <v>347</v>
      </c>
      <c r="F16" s="12" t="s">
        <v>970</v>
      </c>
      <c r="G16" s="17" t="s">
        <v>42</v>
      </c>
      <c r="H16" s="13" t="s">
        <v>53</v>
      </c>
      <c r="I16" s="13" t="s">
        <v>53</v>
      </c>
      <c r="J16" s="13"/>
      <c r="K16" s="12" t="str">
        <f>"190,0"</f>
        <v>190,0</v>
      </c>
      <c r="L16" s="17" t="str">
        <f>"116,1090"</f>
        <v>116,1090</v>
      </c>
      <c r="M16" s="12" t="s">
        <v>971</v>
      </c>
    </row>
    <row r="17" spans="1:13" x14ac:dyDescent="0.2">
      <c r="A17" s="14" t="s">
        <v>972</v>
      </c>
      <c r="B17" s="14" t="s">
        <v>973</v>
      </c>
      <c r="C17" s="14" t="s">
        <v>59</v>
      </c>
      <c r="D17" s="14" t="str">
        <f>"0,6111"</f>
        <v>0,6111</v>
      </c>
      <c r="E17" s="14" t="s">
        <v>347</v>
      </c>
      <c r="F17" s="14" t="s">
        <v>970</v>
      </c>
      <c r="G17" s="15" t="s">
        <v>42</v>
      </c>
      <c r="H17" s="16" t="s">
        <v>53</v>
      </c>
      <c r="I17" s="16" t="s">
        <v>53</v>
      </c>
      <c r="J17" s="16"/>
      <c r="K17" s="14" t="str">
        <f>"190,0"</f>
        <v>190,0</v>
      </c>
      <c r="L17" s="15" t="str">
        <f>"116,1090"</f>
        <v>116,1090</v>
      </c>
      <c r="M17" s="14" t="s">
        <v>971</v>
      </c>
    </row>
    <row r="19" spans="1:13" ht="15" x14ac:dyDescent="0.2">
      <c r="A19" s="32" t="s">
        <v>97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3" x14ac:dyDescent="0.2">
      <c r="A20" s="9" t="s">
        <v>975</v>
      </c>
      <c r="B20" s="9" t="s">
        <v>976</v>
      </c>
      <c r="C20" s="9" t="s">
        <v>248</v>
      </c>
      <c r="D20" s="9" t="str">
        <f>"0,5885"</f>
        <v>0,5885</v>
      </c>
      <c r="E20" s="9" t="s">
        <v>18</v>
      </c>
      <c r="F20" s="9" t="s">
        <v>363</v>
      </c>
      <c r="G20" s="10" t="s">
        <v>232</v>
      </c>
      <c r="H20" s="11" t="s">
        <v>144</v>
      </c>
      <c r="I20" s="11" t="s">
        <v>60</v>
      </c>
      <c r="J20" s="11"/>
      <c r="K20" s="9" t="str">
        <f>"267,5"</f>
        <v>267,5</v>
      </c>
      <c r="L20" s="10" t="str">
        <f>"157,4238"</f>
        <v>157,4238</v>
      </c>
      <c r="M20" s="9" t="s">
        <v>977</v>
      </c>
    </row>
    <row r="21" spans="1:13" x14ac:dyDescent="0.2">
      <c r="A21" s="14" t="s">
        <v>979</v>
      </c>
      <c r="B21" s="14" t="s">
        <v>980</v>
      </c>
      <c r="C21" s="14" t="s">
        <v>981</v>
      </c>
      <c r="D21" s="14" t="str">
        <f>"0,5902"</f>
        <v>0,5902</v>
      </c>
      <c r="E21" s="14" t="s">
        <v>18</v>
      </c>
      <c r="F21" s="14" t="s">
        <v>833</v>
      </c>
      <c r="G21" s="15" t="s">
        <v>102</v>
      </c>
      <c r="H21" s="16" t="s">
        <v>77</v>
      </c>
      <c r="I21" s="16" t="s">
        <v>77</v>
      </c>
      <c r="J21" s="16"/>
      <c r="K21" s="14" t="str">
        <f>"250,0"</f>
        <v>250,0</v>
      </c>
      <c r="L21" s="15" t="str">
        <f>"169,2399"</f>
        <v>169,2399</v>
      </c>
      <c r="M21" s="14" t="s">
        <v>54</v>
      </c>
    </row>
    <row r="23" spans="1:13" ht="15" x14ac:dyDescent="0.2">
      <c r="A23" s="32" t="s">
        <v>121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3" x14ac:dyDescent="0.2">
      <c r="A24" s="9" t="s">
        <v>982</v>
      </c>
      <c r="B24" s="9" t="s">
        <v>983</v>
      </c>
      <c r="C24" s="9" t="s">
        <v>984</v>
      </c>
      <c r="D24" s="9" t="str">
        <f>"0,5806"</f>
        <v>0,5806</v>
      </c>
      <c r="E24" s="9" t="s">
        <v>18</v>
      </c>
      <c r="F24" s="9" t="s">
        <v>19</v>
      </c>
      <c r="G24" s="11" t="s">
        <v>232</v>
      </c>
      <c r="H24" s="11" t="s">
        <v>232</v>
      </c>
      <c r="I24" s="11"/>
      <c r="J24" s="11"/>
      <c r="K24" s="9" t="str">
        <f>"0.00"</f>
        <v>0.00</v>
      </c>
      <c r="L24" s="10" t="str">
        <f>"0,0000"</f>
        <v>0,0000</v>
      </c>
      <c r="M24" s="9" t="s">
        <v>985</v>
      </c>
    </row>
    <row r="25" spans="1:13" x14ac:dyDescent="0.2">
      <c r="A25" s="14" t="s">
        <v>982</v>
      </c>
      <c r="B25" s="14" t="s">
        <v>986</v>
      </c>
      <c r="C25" s="14" t="s">
        <v>984</v>
      </c>
      <c r="D25" s="14" t="str">
        <f>"0,5806"</f>
        <v>0,5806</v>
      </c>
      <c r="E25" s="14" t="s">
        <v>18</v>
      </c>
      <c r="F25" s="14" t="s">
        <v>19</v>
      </c>
      <c r="G25" s="16" t="s">
        <v>232</v>
      </c>
      <c r="H25" s="16" t="s">
        <v>232</v>
      </c>
      <c r="I25" s="16"/>
      <c r="J25" s="16"/>
      <c r="K25" s="14" t="str">
        <f>"0.00"</f>
        <v>0.00</v>
      </c>
      <c r="L25" s="15" t="str">
        <f>"0,0000"</f>
        <v>0,0000</v>
      </c>
      <c r="M25" s="14" t="s">
        <v>985</v>
      </c>
    </row>
    <row r="27" spans="1:13" ht="15" x14ac:dyDescent="0.2">
      <c r="E27" s="18" t="s">
        <v>151</v>
      </c>
    </row>
    <row r="28" spans="1:13" ht="15" x14ac:dyDescent="0.2">
      <c r="E28" s="18" t="s">
        <v>152</v>
      </c>
    </row>
    <row r="29" spans="1:13" ht="15" x14ac:dyDescent="0.2">
      <c r="E29" s="18" t="s">
        <v>153</v>
      </c>
    </row>
    <row r="30" spans="1:13" ht="15" x14ac:dyDescent="0.2">
      <c r="E30" s="18" t="s">
        <v>154</v>
      </c>
    </row>
    <row r="31" spans="1:13" ht="15" x14ac:dyDescent="0.2">
      <c r="E31" s="18" t="s">
        <v>154</v>
      </c>
    </row>
    <row r="32" spans="1:13" ht="15" x14ac:dyDescent="0.2">
      <c r="E32" s="18" t="s">
        <v>155</v>
      </c>
    </row>
    <row r="33" spans="1:5" ht="15" x14ac:dyDescent="0.2">
      <c r="E33" s="18"/>
    </row>
    <row r="35" spans="1:5" ht="18" x14ac:dyDescent="0.25">
      <c r="A35" s="19" t="s">
        <v>156</v>
      </c>
      <c r="B35" s="19"/>
    </row>
    <row r="36" spans="1:5" ht="15" x14ac:dyDescent="0.2">
      <c r="A36" s="20" t="s">
        <v>157</v>
      </c>
      <c r="B36" s="20"/>
    </row>
    <row r="37" spans="1:5" ht="14.25" x14ac:dyDescent="0.2">
      <c r="A37" s="22"/>
      <c r="B37" s="23" t="s">
        <v>158</v>
      </c>
    </row>
    <row r="38" spans="1:5" ht="15" x14ac:dyDescent="0.2">
      <c r="A38" s="24" t="s">
        <v>159</v>
      </c>
      <c r="B38" s="24" t="s">
        <v>160</v>
      </c>
      <c r="C38" s="24" t="s">
        <v>161</v>
      </c>
      <c r="D38" s="24" t="s">
        <v>162</v>
      </c>
      <c r="E38" s="24" t="s">
        <v>163</v>
      </c>
    </row>
    <row r="39" spans="1:5" x14ac:dyDescent="0.2">
      <c r="A39" s="21" t="s">
        <v>952</v>
      </c>
      <c r="B39" s="4" t="s">
        <v>164</v>
      </c>
      <c r="C39" s="4" t="s">
        <v>165</v>
      </c>
      <c r="D39" s="4" t="s">
        <v>369</v>
      </c>
      <c r="E39" s="25" t="s">
        <v>987</v>
      </c>
    </row>
    <row r="42" spans="1:5" ht="15" x14ac:dyDescent="0.2">
      <c r="A42" s="20" t="s">
        <v>168</v>
      </c>
      <c r="B42" s="20"/>
    </row>
    <row r="43" spans="1:5" ht="14.25" x14ac:dyDescent="0.2">
      <c r="A43" s="22"/>
      <c r="B43" s="23" t="s">
        <v>169</v>
      </c>
    </row>
    <row r="44" spans="1:5" ht="15" x14ac:dyDescent="0.2">
      <c r="A44" s="24" t="s">
        <v>159</v>
      </c>
      <c r="B44" s="24" t="s">
        <v>160</v>
      </c>
      <c r="C44" s="24" t="s">
        <v>161</v>
      </c>
      <c r="D44" s="24" t="s">
        <v>162</v>
      </c>
      <c r="E44" s="24" t="s">
        <v>163</v>
      </c>
    </row>
    <row r="45" spans="1:5" x14ac:dyDescent="0.2">
      <c r="A45" s="21" t="s">
        <v>974</v>
      </c>
      <c r="B45" s="4" t="s">
        <v>169</v>
      </c>
      <c r="C45" s="4" t="s">
        <v>182</v>
      </c>
      <c r="D45" s="4" t="s">
        <v>232</v>
      </c>
      <c r="E45" s="25" t="s">
        <v>988</v>
      </c>
    </row>
    <row r="46" spans="1:5" x14ac:dyDescent="0.2">
      <c r="A46" s="21" t="s">
        <v>958</v>
      </c>
      <c r="B46" s="4" t="s">
        <v>169</v>
      </c>
      <c r="C46" s="4" t="s">
        <v>170</v>
      </c>
      <c r="D46" s="4" t="s">
        <v>102</v>
      </c>
      <c r="E46" s="25" t="s">
        <v>989</v>
      </c>
    </row>
    <row r="47" spans="1:5" x14ac:dyDescent="0.2">
      <c r="A47" s="21" t="s">
        <v>962</v>
      </c>
      <c r="B47" s="4" t="s">
        <v>169</v>
      </c>
      <c r="C47" s="4" t="s">
        <v>170</v>
      </c>
      <c r="D47" s="4" t="s">
        <v>382</v>
      </c>
      <c r="E47" s="25" t="s">
        <v>990</v>
      </c>
    </row>
    <row r="48" spans="1:5" x14ac:dyDescent="0.2">
      <c r="A48" s="21" t="s">
        <v>967</v>
      </c>
      <c r="B48" s="4" t="s">
        <v>169</v>
      </c>
      <c r="C48" s="4" t="s">
        <v>170</v>
      </c>
      <c r="D48" s="4" t="s">
        <v>42</v>
      </c>
      <c r="E48" s="25" t="s">
        <v>991</v>
      </c>
    </row>
    <row r="49" spans="1:5" x14ac:dyDescent="0.2">
      <c r="A49" s="21" t="s">
        <v>765</v>
      </c>
      <c r="B49" s="4" t="s">
        <v>169</v>
      </c>
      <c r="C49" s="4" t="s">
        <v>165</v>
      </c>
      <c r="D49" s="4" t="s">
        <v>536</v>
      </c>
      <c r="E49" s="25" t="s">
        <v>992</v>
      </c>
    </row>
    <row r="51" spans="1:5" ht="14.25" x14ac:dyDescent="0.2">
      <c r="A51" s="22"/>
      <c r="B51" s="23" t="s">
        <v>158</v>
      </c>
    </row>
    <row r="52" spans="1:5" ht="15" x14ac:dyDescent="0.2">
      <c r="A52" s="24" t="s">
        <v>159</v>
      </c>
      <c r="B52" s="24" t="s">
        <v>160</v>
      </c>
      <c r="C52" s="24" t="s">
        <v>161</v>
      </c>
      <c r="D52" s="24" t="s">
        <v>162</v>
      </c>
      <c r="E52" s="24" t="s">
        <v>163</v>
      </c>
    </row>
    <row r="53" spans="1:5" x14ac:dyDescent="0.2">
      <c r="A53" s="21" t="s">
        <v>978</v>
      </c>
      <c r="B53" s="4" t="s">
        <v>480</v>
      </c>
      <c r="C53" s="4" t="s">
        <v>182</v>
      </c>
      <c r="D53" s="4" t="s">
        <v>102</v>
      </c>
      <c r="E53" s="25" t="s">
        <v>993</v>
      </c>
    </row>
    <row r="54" spans="1:5" x14ac:dyDescent="0.2">
      <c r="A54" s="21" t="s">
        <v>774</v>
      </c>
      <c r="B54" s="4" t="s">
        <v>942</v>
      </c>
      <c r="C54" s="4" t="s">
        <v>165</v>
      </c>
      <c r="D54" s="4" t="s">
        <v>533</v>
      </c>
      <c r="E54" s="25" t="s">
        <v>994</v>
      </c>
    </row>
    <row r="55" spans="1:5" x14ac:dyDescent="0.2">
      <c r="A55" s="21" t="s">
        <v>967</v>
      </c>
      <c r="B55" s="4" t="s">
        <v>164</v>
      </c>
      <c r="C55" s="4" t="s">
        <v>170</v>
      </c>
      <c r="D55" s="4" t="s">
        <v>42</v>
      </c>
      <c r="E55" s="25" t="s">
        <v>991</v>
      </c>
    </row>
    <row r="56" spans="1:5" x14ac:dyDescent="0.2">
      <c r="A56" s="21" t="s">
        <v>765</v>
      </c>
      <c r="B56" s="4" t="s">
        <v>195</v>
      </c>
      <c r="C56" s="4" t="s">
        <v>165</v>
      </c>
      <c r="D56" s="4" t="s">
        <v>536</v>
      </c>
      <c r="E56" s="25" t="s">
        <v>995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9:L19"/>
    <mergeCell ref="A23:L23"/>
    <mergeCell ref="K3:K4"/>
    <mergeCell ref="L3:L4"/>
    <mergeCell ref="M3:M4"/>
    <mergeCell ref="A5:L5"/>
    <mergeCell ref="A8:L8"/>
    <mergeCell ref="A13:L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7.7109375" style="4" customWidth="1"/>
    <col min="4" max="4" width="8.42578125" style="4" bestFit="1" customWidth="1"/>
    <col min="5" max="5" width="22.7109375" style="4" bestFit="1" customWidth="1"/>
    <col min="6" max="6" width="32.42578125" style="4" bestFit="1" customWidth="1"/>
    <col min="7" max="9" width="5.5703125" style="3" bestFit="1" customWidth="1"/>
    <col min="10" max="10" width="4.85546875" style="3" bestFit="1" customWidth="1"/>
    <col min="11" max="11" width="13" style="4" customWidth="1"/>
    <col min="12" max="12" width="8.5703125" style="3" bestFit="1" customWidth="1"/>
    <col min="13" max="13" width="22.42578125" style="4" bestFit="1" customWidth="1"/>
    <col min="14" max="16384" width="9.140625" style="3"/>
  </cols>
  <sheetData>
    <row r="1" spans="1:13" s="2" customFormat="1" ht="29.1" customHeight="1" x14ac:dyDescent="0.2">
      <c r="A1" s="36" t="s">
        <v>2132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11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199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6" t="s">
        <v>735</v>
      </c>
      <c r="B6" s="6" t="s">
        <v>736</v>
      </c>
      <c r="C6" s="6" t="s">
        <v>737</v>
      </c>
      <c r="D6" s="6" t="str">
        <f>"1,1883"</f>
        <v>1,1883</v>
      </c>
      <c r="E6" s="6" t="s">
        <v>625</v>
      </c>
      <c r="F6" s="6" t="s">
        <v>19</v>
      </c>
      <c r="G6" s="8" t="s">
        <v>520</v>
      </c>
      <c r="H6" s="8" t="s">
        <v>738</v>
      </c>
      <c r="I6" s="7" t="s">
        <v>521</v>
      </c>
      <c r="J6" s="7"/>
      <c r="K6" s="6" t="str">
        <f>"35,0"</f>
        <v>35,0</v>
      </c>
      <c r="L6" s="8" t="str">
        <f>"41,5905"</f>
        <v>41,5905</v>
      </c>
      <c r="M6" s="6" t="s">
        <v>221</v>
      </c>
    </row>
    <row r="8" spans="1:13" ht="15" x14ac:dyDescent="0.2">
      <c r="A8" s="32" t="s">
        <v>351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x14ac:dyDescent="0.2">
      <c r="A9" s="6" t="s">
        <v>740</v>
      </c>
      <c r="B9" s="6" t="s">
        <v>741</v>
      </c>
      <c r="C9" s="6" t="s">
        <v>742</v>
      </c>
      <c r="D9" s="6" t="str">
        <f>"1,1281"</f>
        <v>1,1281</v>
      </c>
      <c r="E9" s="6" t="s">
        <v>18</v>
      </c>
      <c r="F9" s="6" t="s">
        <v>19</v>
      </c>
      <c r="G9" s="8" t="s">
        <v>23</v>
      </c>
      <c r="H9" s="8" t="s">
        <v>599</v>
      </c>
      <c r="I9" s="8" t="s">
        <v>743</v>
      </c>
      <c r="J9" s="7"/>
      <c r="K9" s="6" t="str">
        <f>"82,5"</f>
        <v>82,5</v>
      </c>
      <c r="L9" s="8" t="str">
        <f>"93,0683"</f>
        <v>93,0683</v>
      </c>
      <c r="M9" s="6" t="s">
        <v>744</v>
      </c>
    </row>
    <row r="11" spans="1:13" ht="15" x14ac:dyDescent="0.2">
      <c r="A11" s="32" t="s">
        <v>358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3" x14ac:dyDescent="0.2">
      <c r="A12" s="9" t="s">
        <v>746</v>
      </c>
      <c r="B12" s="9" t="s">
        <v>747</v>
      </c>
      <c r="C12" s="9" t="s">
        <v>748</v>
      </c>
      <c r="D12" s="9" t="str">
        <f>"1,0250"</f>
        <v>1,0250</v>
      </c>
      <c r="E12" s="9" t="s">
        <v>18</v>
      </c>
      <c r="F12" s="9" t="s">
        <v>19</v>
      </c>
      <c r="G12" s="10" t="s">
        <v>325</v>
      </c>
      <c r="H12" s="10" t="s">
        <v>326</v>
      </c>
      <c r="I12" s="11" t="s">
        <v>94</v>
      </c>
      <c r="J12" s="11"/>
      <c r="K12" s="9" t="str">
        <f>"100,0"</f>
        <v>100,0</v>
      </c>
      <c r="L12" s="10" t="str">
        <f>"102,5000"</f>
        <v>102,5000</v>
      </c>
      <c r="M12" s="9" t="s">
        <v>44</v>
      </c>
    </row>
    <row r="13" spans="1:13" x14ac:dyDescent="0.2">
      <c r="A13" s="14" t="s">
        <v>750</v>
      </c>
      <c r="B13" s="14" t="s">
        <v>751</v>
      </c>
      <c r="C13" s="14" t="s">
        <v>752</v>
      </c>
      <c r="D13" s="14" t="str">
        <f>"1,0339"</f>
        <v>1,0339</v>
      </c>
      <c r="E13" s="14" t="s">
        <v>18</v>
      </c>
      <c r="F13" s="14" t="s">
        <v>753</v>
      </c>
      <c r="G13" s="15" t="s">
        <v>335</v>
      </c>
      <c r="H13" s="15" t="s">
        <v>336</v>
      </c>
      <c r="I13" s="16" t="s">
        <v>536</v>
      </c>
      <c r="J13" s="16"/>
      <c r="K13" s="14" t="str">
        <f>"87,5"</f>
        <v>87,5</v>
      </c>
      <c r="L13" s="15" t="str">
        <f>"102,2269"</f>
        <v>102,2269</v>
      </c>
      <c r="M13" s="14" t="s">
        <v>54</v>
      </c>
    </row>
    <row r="15" spans="1:13" ht="15" x14ac:dyDescent="0.2">
      <c r="A15" s="32" t="s">
        <v>358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3" x14ac:dyDescent="0.2">
      <c r="A16" s="6" t="s">
        <v>755</v>
      </c>
      <c r="B16" s="6" t="s">
        <v>756</v>
      </c>
      <c r="C16" s="6" t="s">
        <v>757</v>
      </c>
      <c r="D16" s="6" t="str">
        <f>"0,7729"</f>
        <v>0,7729</v>
      </c>
      <c r="E16" s="6" t="s">
        <v>18</v>
      </c>
      <c r="F16" s="6" t="s">
        <v>19</v>
      </c>
      <c r="G16" s="8" t="s">
        <v>325</v>
      </c>
      <c r="H16" s="8" t="s">
        <v>337</v>
      </c>
      <c r="I16" s="8" t="s">
        <v>326</v>
      </c>
      <c r="J16" s="7"/>
      <c r="K16" s="6" t="str">
        <f>"100,0"</f>
        <v>100,0</v>
      </c>
      <c r="L16" s="8" t="str">
        <f>"77,2900"</f>
        <v>77,2900</v>
      </c>
      <c r="M16" s="6" t="s">
        <v>758</v>
      </c>
    </row>
    <row r="18" spans="1:13" ht="15" x14ac:dyDescent="0.2">
      <c r="A18" s="32" t="s">
        <v>13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3" x14ac:dyDescent="0.2">
      <c r="A19" s="9" t="s">
        <v>760</v>
      </c>
      <c r="B19" s="9" t="s">
        <v>761</v>
      </c>
      <c r="C19" s="9" t="s">
        <v>762</v>
      </c>
      <c r="D19" s="9" t="str">
        <f>"0,7228"</f>
        <v>0,7228</v>
      </c>
      <c r="E19" s="9" t="s">
        <v>18</v>
      </c>
      <c r="F19" s="9" t="s">
        <v>763</v>
      </c>
      <c r="G19" s="10" t="s">
        <v>326</v>
      </c>
      <c r="H19" s="11" t="s">
        <v>266</v>
      </c>
      <c r="I19" s="11" t="s">
        <v>266</v>
      </c>
      <c r="J19" s="11"/>
      <c r="K19" s="9" t="str">
        <f>"100,0"</f>
        <v>100,0</v>
      </c>
      <c r="L19" s="10" t="str">
        <f>"72,2800"</f>
        <v>72,2800</v>
      </c>
      <c r="M19" s="9" t="s">
        <v>764</v>
      </c>
    </row>
    <row r="20" spans="1:13" x14ac:dyDescent="0.2">
      <c r="A20" s="12" t="s">
        <v>766</v>
      </c>
      <c r="B20" s="12" t="s">
        <v>767</v>
      </c>
      <c r="C20" s="12" t="s">
        <v>768</v>
      </c>
      <c r="D20" s="12" t="str">
        <f>"0,7256"</f>
        <v>0,7256</v>
      </c>
      <c r="E20" s="12" t="s">
        <v>18</v>
      </c>
      <c r="F20" s="12" t="s">
        <v>19</v>
      </c>
      <c r="G20" s="17" t="s">
        <v>533</v>
      </c>
      <c r="H20" s="17" t="s">
        <v>325</v>
      </c>
      <c r="I20" s="13"/>
      <c r="J20" s="13"/>
      <c r="K20" s="12" t="str">
        <f>"90,0"</f>
        <v>90,0</v>
      </c>
      <c r="L20" s="17" t="str">
        <f>"92,7970"</f>
        <v>92,7970</v>
      </c>
      <c r="M20" s="12" t="s">
        <v>54</v>
      </c>
    </row>
    <row r="21" spans="1:13" x14ac:dyDescent="0.2">
      <c r="A21" s="12" t="s">
        <v>770</v>
      </c>
      <c r="B21" s="12" t="s">
        <v>771</v>
      </c>
      <c r="C21" s="12" t="s">
        <v>772</v>
      </c>
      <c r="D21" s="12" t="str">
        <f>"0,7367"</f>
        <v>0,7367</v>
      </c>
      <c r="E21" s="12" t="s">
        <v>18</v>
      </c>
      <c r="F21" s="12" t="s">
        <v>19</v>
      </c>
      <c r="G21" s="17" t="s">
        <v>325</v>
      </c>
      <c r="H21" s="17" t="s">
        <v>326</v>
      </c>
      <c r="I21" s="13"/>
      <c r="J21" s="13"/>
      <c r="K21" s="12" t="str">
        <f>"100,0"</f>
        <v>100,0</v>
      </c>
      <c r="L21" s="17" t="str">
        <f>"121,1871"</f>
        <v>121,1871</v>
      </c>
      <c r="M21" s="12" t="s">
        <v>773</v>
      </c>
    </row>
    <row r="22" spans="1:13" x14ac:dyDescent="0.2">
      <c r="A22" s="14" t="s">
        <v>775</v>
      </c>
      <c r="B22" s="14" t="s">
        <v>776</v>
      </c>
      <c r="C22" s="14" t="s">
        <v>777</v>
      </c>
      <c r="D22" s="14" t="str">
        <f>"0,7193"</f>
        <v>0,7193</v>
      </c>
      <c r="E22" s="14" t="s">
        <v>18</v>
      </c>
      <c r="F22" s="14" t="s">
        <v>778</v>
      </c>
      <c r="G22" s="15" t="s">
        <v>335</v>
      </c>
      <c r="H22" s="15" t="s">
        <v>743</v>
      </c>
      <c r="I22" s="16"/>
      <c r="J22" s="16"/>
      <c r="K22" s="14" t="str">
        <f>"82,5"</f>
        <v>82,5</v>
      </c>
      <c r="L22" s="15" t="str">
        <f>"124,3814"</f>
        <v>124,3814</v>
      </c>
      <c r="M22" s="14" t="s">
        <v>54</v>
      </c>
    </row>
    <row r="24" spans="1:13" ht="15" x14ac:dyDescent="0.2">
      <c r="A24" s="32" t="s">
        <v>390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3" x14ac:dyDescent="0.2">
      <c r="A25" s="9" t="s">
        <v>780</v>
      </c>
      <c r="B25" s="9" t="s">
        <v>781</v>
      </c>
      <c r="C25" s="9" t="s">
        <v>782</v>
      </c>
      <c r="D25" s="9" t="str">
        <f>"0,6699"</f>
        <v>0,6699</v>
      </c>
      <c r="E25" s="9" t="s">
        <v>18</v>
      </c>
      <c r="F25" s="9" t="s">
        <v>19</v>
      </c>
      <c r="G25" s="10" t="s">
        <v>51</v>
      </c>
      <c r="H25" s="11" t="s">
        <v>32</v>
      </c>
      <c r="I25" s="11" t="s">
        <v>32</v>
      </c>
      <c r="J25" s="11"/>
      <c r="K25" s="9" t="str">
        <f>"215,0"</f>
        <v>215,0</v>
      </c>
      <c r="L25" s="10" t="str">
        <f>"144,0285"</f>
        <v>144,0285</v>
      </c>
      <c r="M25" s="9" t="s">
        <v>221</v>
      </c>
    </row>
    <row r="26" spans="1:13" x14ac:dyDescent="0.2">
      <c r="A26" s="12" t="s">
        <v>784</v>
      </c>
      <c r="B26" s="12" t="s">
        <v>785</v>
      </c>
      <c r="C26" s="12" t="s">
        <v>786</v>
      </c>
      <c r="D26" s="12" t="str">
        <f>"0,6774"</f>
        <v>0,6774</v>
      </c>
      <c r="E26" s="12" t="s">
        <v>18</v>
      </c>
      <c r="F26" s="12" t="s">
        <v>19</v>
      </c>
      <c r="G26" s="17" t="s">
        <v>34</v>
      </c>
      <c r="H26" s="13" t="s">
        <v>239</v>
      </c>
      <c r="I26" s="17" t="s">
        <v>239</v>
      </c>
      <c r="J26" s="13"/>
      <c r="K26" s="12" t="str">
        <f>"155,0"</f>
        <v>155,0</v>
      </c>
      <c r="L26" s="17" t="str">
        <f>"104,9970"</f>
        <v>104,9970</v>
      </c>
      <c r="M26" s="12" t="s">
        <v>54</v>
      </c>
    </row>
    <row r="27" spans="1:13" x14ac:dyDescent="0.2">
      <c r="A27" s="12" t="s">
        <v>788</v>
      </c>
      <c r="B27" s="12" t="s">
        <v>789</v>
      </c>
      <c r="C27" s="12" t="s">
        <v>790</v>
      </c>
      <c r="D27" s="12" t="str">
        <f>"0,6769"</f>
        <v>0,6769</v>
      </c>
      <c r="E27" s="12" t="s">
        <v>18</v>
      </c>
      <c r="F27" s="12" t="s">
        <v>19</v>
      </c>
      <c r="G27" s="17" t="s">
        <v>52</v>
      </c>
      <c r="H27" s="17" t="s">
        <v>20</v>
      </c>
      <c r="I27" s="13" t="s">
        <v>239</v>
      </c>
      <c r="J27" s="13"/>
      <c r="K27" s="12" t="str">
        <f>"150,0"</f>
        <v>150,0</v>
      </c>
      <c r="L27" s="17" t="str">
        <f>"101,5350"</f>
        <v>101,5350</v>
      </c>
      <c r="M27" s="12" t="s">
        <v>54</v>
      </c>
    </row>
    <row r="28" spans="1:13" x14ac:dyDescent="0.2">
      <c r="A28" s="12" t="s">
        <v>792</v>
      </c>
      <c r="B28" s="12" t="s">
        <v>793</v>
      </c>
      <c r="C28" s="12" t="s">
        <v>794</v>
      </c>
      <c r="D28" s="12" t="str">
        <f>"0,6744"</f>
        <v>0,6744</v>
      </c>
      <c r="E28" s="12" t="s">
        <v>18</v>
      </c>
      <c r="F28" s="12" t="s">
        <v>19</v>
      </c>
      <c r="G28" s="17" t="s">
        <v>33</v>
      </c>
      <c r="H28" s="17" t="s">
        <v>34</v>
      </c>
      <c r="I28" s="13" t="s">
        <v>35</v>
      </c>
      <c r="J28" s="13"/>
      <c r="K28" s="12" t="str">
        <f>"130,0"</f>
        <v>130,0</v>
      </c>
      <c r="L28" s="17" t="str">
        <f>"87,6720"</f>
        <v>87,6720</v>
      </c>
      <c r="M28" s="12" t="s">
        <v>795</v>
      </c>
    </row>
    <row r="29" spans="1:13" x14ac:dyDescent="0.2">
      <c r="A29" s="14" t="s">
        <v>796</v>
      </c>
      <c r="B29" s="14" t="s">
        <v>797</v>
      </c>
      <c r="C29" s="14" t="s">
        <v>798</v>
      </c>
      <c r="D29" s="14" t="str">
        <f>"0,6739"</f>
        <v>0,6739</v>
      </c>
      <c r="E29" s="14" t="s">
        <v>18</v>
      </c>
      <c r="F29" s="14" t="s">
        <v>19</v>
      </c>
      <c r="G29" s="16" t="s">
        <v>20</v>
      </c>
      <c r="H29" s="16" t="s">
        <v>119</v>
      </c>
      <c r="I29" s="16" t="s">
        <v>119</v>
      </c>
      <c r="J29" s="16"/>
      <c r="K29" s="14" t="str">
        <f>"0.00"</f>
        <v>0.00</v>
      </c>
      <c r="L29" s="15" t="str">
        <f>"0,0000"</f>
        <v>0,0000</v>
      </c>
      <c r="M29" s="14" t="s">
        <v>799</v>
      </c>
    </row>
    <row r="31" spans="1:13" ht="15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x14ac:dyDescent="0.2">
      <c r="A32" s="9" t="s">
        <v>801</v>
      </c>
      <c r="B32" s="9" t="s">
        <v>802</v>
      </c>
      <c r="C32" s="9" t="s">
        <v>41</v>
      </c>
      <c r="D32" s="9" t="str">
        <f>"0,6384"</f>
        <v>0,6384</v>
      </c>
      <c r="E32" s="9" t="s">
        <v>18</v>
      </c>
      <c r="F32" s="9" t="s">
        <v>19</v>
      </c>
      <c r="G32" s="10" t="s">
        <v>76</v>
      </c>
      <c r="H32" s="10" t="s">
        <v>112</v>
      </c>
      <c r="I32" s="11" t="s">
        <v>49</v>
      </c>
      <c r="J32" s="11"/>
      <c r="K32" s="9" t="str">
        <f>"175,0"</f>
        <v>175,0</v>
      </c>
      <c r="L32" s="10" t="str">
        <f>"111,7200"</f>
        <v>111,7200</v>
      </c>
      <c r="M32" s="9" t="s">
        <v>803</v>
      </c>
    </row>
    <row r="33" spans="1:13" x14ac:dyDescent="0.2">
      <c r="A33" s="12" t="s">
        <v>805</v>
      </c>
      <c r="B33" s="12" t="s">
        <v>806</v>
      </c>
      <c r="C33" s="12" t="s">
        <v>807</v>
      </c>
      <c r="D33" s="12" t="str">
        <f>"0,6491"</f>
        <v>0,6491</v>
      </c>
      <c r="E33" s="12" t="s">
        <v>18</v>
      </c>
      <c r="F33" s="12" t="s">
        <v>19</v>
      </c>
      <c r="G33" s="17" t="s">
        <v>239</v>
      </c>
      <c r="H33" s="17" t="s">
        <v>21</v>
      </c>
      <c r="I33" s="17" t="s">
        <v>76</v>
      </c>
      <c r="J33" s="13"/>
      <c r="K33" s="12" t="str">
        <f>"165,0"</f>
        <v>165,0</v>
      </c>
      <c r="L33" s="17" t="str">
        <f>"107,1015"</f>
        <v>107,1015</v>
      </c>
      <c r="M33" s="12" t="s">
        <v>808</v>
      </c>
    </row>
    <row r="34" spans="1:13" x14ac:dyDescent="0.2">
      <c r="A34" s="12" t="s">
        <v>810</v>
      </c>
      <c r="B34" s="12" t="s">
        <v>811</v>
      </c>
      <c r="C34" s="12" t="s">
        <v>812</v>
      </c>
      <c r="D34" s="12" t="str">
        <f>"0,6479"</f>
        <v>0,6479</v>
      </c>
      <c r="E34" s="12" t="s">
        <v>18</v>
      </c>
      <c r="F34" s="12" t="s">
        <v>813</v>
      </c>
      <c r="G34" s="17" t="s">
        <v>142</v>
      </c>
      <c r="H34" s="17" t="s">
        <v>112</v>
      </c>
      <c r="I34" s="17" t="s">
        <v>403</v>
      </c>
      <c r="J34" s="13"/>
      <c r="K34" s="12" t="str">
        <f>"177,5"</f>
        <v>177,5</v>
      </c>
      <c r="L34" s="17" t="str">
        <f>"145,8228"</f>
        <v>145,8228</v>
      </c>
      <c r="M34" s="12" t="s">
        <v>54</v>
      </c>
    </row>
    <row r="35" spans="1:13" x14ac:dyDescent="0.2">
      <c r="A35" s="14" t="s">
        <v>815</v>
      </c>
      <c r="B35" s="14" t="s">
        <v>816</v>
      </c>
      <c r="C35" s="14" t="s">
        <v>817</v>
      </c>
      <c r="D35" s="14" t="str">
        <f>"0,6447"</f>
        <v>0,6447</v>
      </c>
      <c r="E35" s="14" t="s">
        <v>18</v>
      </c>
      <c r="F35" s="14" t="s">
        <v>19</v>
      </c>
      <c r="G35" s="15" t="s">
        <v>33</v>
      </c>
      <c r="H35" s="15" t="s">
        <v>34</v>
      </c>
      <c r="I35" s="15" t="s">
        <v>349</v>
      </c>
      <c r="J35" s="16"/>
      <c r="K35" s="14" t="str">
        <f>"137,5"</f>
        <v>137,5</v>
      </c>
      <c r="L35" s="15" t="str">
        <f>"149,0143"</f>
        <v>149,0143</v>
      </c>
      <c r="M35" s="14" t="s">
        <v>773</v>
      </c>
    </row>
    <row r="37" spans="1:13" ht="15" x14ac:dyDescent="0.2">
      <c r="A37" s="32" t="s">
        <v>55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3" x14ac:dyDescent="0.2">
      <c r="A38" s="9" t="s">
        <v>819</v>
      </c>
      <c r="B38" s="9" t="s">
        <v>820</v>
      </c>
      <c r="C38" s="9" t="s">
        <v>219</v>
      </c>
      <c r="D38" s="9" t="str">
        <f>"0,6086"</f>
        <v>0,6086</v>
      </c>
      <c r="E38" s="9" t="s">
        <v>18</v>
      </c>
      <c r="F38" s="9" t="s">
        <v>19</v>
      </c>
      <c r="G38" s="10" t="s">
        <v>64</v>
      </c>
      <c r="H38" s="10" t="s">
        <v>53</v>
      </c>
      <c r="I38" s="10" t="s">
        <v>435</v>
      </c>
      <c r="J38" s="11"/>
      <c r="K38" s="9" t="str">
        <f>"202,5"</f>
        <v>202,5</v>
      </c>
      <c r="L38" s="10" t="str">
        <f>"123,2415"</f>
        <v>123,2415</v>
      </c>
      <c r="M38" s="9" t="s">
        <v>54</v>
      </c>
    </row>
    <row r="39" spans="1:13" x14ac:dyDescent="0.2">
      <c r="A39" s="12" t="s">
        <v>822</v>
      </c>
      <c r="B39" s="12" t="s">
        <v>823</v>
      </c>
      <c r="C39" s="12" t="s">
        <v>230</v>
      </c>
      <c r="D39" s="12" t="str">
        <f>"0,6101"</f>
        <v>0,6101</v>
      </c>
      <c r="E39" s="12" t="s">
        <v>18</v>
      </c>
      <c r="F39" s="12" t="s">
        <v>813</v>
      </c>
      <c r="G39" s="17" t="s">
        <v>135</v>
      </c>
      <c r="H39" s="17" t="s">
        <v>427</v>
      </c>
      <c r="I39" s="13" t="s">
        <v>435</v>
      </c>
      <c r="J39" s="13"/>
      <c r="K39" s="12" t="str">
        <f>"195,0"</f>
        <v>195,0</v>
      </c>
      <c r="L39" s="17" t="str">
        <f>"118,9695"</f>
        <v>118,9695</v>
      </c>
      <c r="M39" s="12" t="s">
        <v>824</v>
      </c>
    </row>
    <row r="40" spans="1:13" x14ac:dyDescent="0.2">
      <c r="A40" s="12" t="s">
        <v>826</v>
      </c>
      <c r="B40" s="12" t="s">
        <v>827</v>
      </c>
      <c r="C40" s="12" t="s">
        <v>828</v>
      </c>
      <c r="D40" s="12" t="str">
        <f>"0,6254"</f>
        <v>0,6254</v>
      </c>
      <c r="E40" s="12" t="s">
        <v>18</v>
      </c>
      <c r="F40" s="12" t="s">
        <v>19</v>
      </c>
      <c r="G40" s="17" t="s">
        <v>63</v>
      </c>
      <c r="H40" s="13" t="s">
        <v>64</v>
      </c>
      <c r="I40" s="13" t="s">
        <v>64</v>
      </c>
      <c r="J40" s="13"/>
      <c r="K40" s="12" t="str">
        <f>"182,5"</f>
        <v>182,5</v>
      </c>
      <c r="L40" s="17" t="str">
        <f>"127,0328"</f>
        <v>127,0328</v>
      </c>
      <c r="M40" s="12" t="s">
        <v>54</v>
      </c>
    </row>
    <row r="41" spans="1:13" x14ac:dyDescent="0.2">
      <c r="A41" s="12" t="s">
        <v>830</v>
      </c>
      <c r="B41" s="12" t="s">
        <v>831</v>
      </c>
      <c r="C41" s="12" t="s">
        <v>832</v>
      </c>
      <c r="D41" s="12" t="str">
        <f>"0,6257"</f>
        <v>0,6257</v>
      </c>
      <c r="E41" s="12" t="s">
        <v>18</v>
      </c>
      <c r="F41" s="12" t="s">
        <v>833</v>
      </c>
      <c r="G41" s="17" t="s">
        <v>20</v>
      </c>
      <c r="H41" s="17" t="s">
        <v>75</v>
      </c>
      <c r="I41" s="17" t="s">
        <v>21</v>
      </c>
      <c r="J41" s="13"/>
      <c r="K41" s="12" t="str">
        <f>"160,0"</f>
        <v>160,0</v>
      </c>
      <c r="L41" s="17" t="str">
        <f>"108,3212"</f>
        <v>108,3212</v>
      </c>
      <c r="M41" s="12" t="s">
        <v>834</v>
      </c>
    </row>
    <row r="42" spans="1:13" x14ac:dyDescent="0.2">
      <c r="A42" s="14" t="s">
        <v>836</v>
      </c>
      <c r="B42" s="14" t="s">
        <v>837</v>
      </c>
      <c r="C42" s="14" t="s">
        <v>838</v>
      </c>
      <c r="D42" s="14" t="str">
        <f>"0,6129"</f>
        <v>0,6129</v>
      </c>
      <c r="E42" s="14" t="s">
        <v>18</v>
      </c>
      <c r="F42" s="14" t="s">
        <v>19</v>
      </c>
      <c r="G42" s="16" t="s">
        <v>20</v>
      </c>
      <c r="H42" s="15" t="s">
        <v>239</v>
      </c>
      <c r="I42" s="16" t="s">
        <v>21</v>
      </c>
      <c r="J42" s="16"/>
      <c r="K42" s="14" t="str">
        <f>"155,0"</f>
        <v>155,0</v>
      </c>
      <c r="L42" s="15" t="str">
        <f>"102,7895"</f>
        <v>102,7895</v>
      </c>
      <c r="M42" s="14" t="s">
        <v>404</v>
      </c>
    </row>
    <row r="44" spans="1:13" ht="15" x14ac:dyDescent="0.2">
      <c r="A44" s="32" t="s">
        <v>97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3" x14ac:dyDescent="0.2">
      <c r="A45" s="9" t="s">
        <v>840</v>
      </c>
      <c r="B45" s="9" t="s">
        <v>841</v>
      </c>
      <c r="C45" s="9" t="s">
        <v>842</v>
      </c>
      <c r="D45" s="9" t="str">
        <f>"0,6046"</f>
        <v>0,6046</v>
      </c>
      <c r="E45" s="9" t="s">
        <v>18</v>
      </c>
      <c r="F45" s="9" t="s">
        <v>843</v>
      </c>
      <c r="G45" s="10" t="s">
        <v>53</v>
      </c>
      <c r="H45" s="10" t="s">
        <v>31</v>
      </c>
      <c r="I45" s="11" t="s">
        <v>32</v>
      </c>
      <c r="J45" s="11"/>
      <c r="K45" s="9" t="str">
        <f>"210,0"</f>
        <v>210,0</v>
      </c>
      <c r="L45" s="10" t="str">
        <f>"126,9660"</f>
        <v>126,9660</v>
      </c>
      <c r="M45" s="9" t="s">
        <v>844</v>
      </c>
    </row>
    <row r="46" spans="1:13" x14ac:dyDescent="0.2">
      <c r="A46" s="12" t="s">
        <v>846</v>
      </c>
      <c r="B46" s="12" t="s">
        <v>847</v>
      </c>
      <c r="C46" s="12" t="s">
        <v>848</v>
      </c>
      <c r="D46" s="12" t="str">
        <f>"0,5952"</f>
        <v>0,5952</v>
      </c>
      <c r="E46" s="12" t="s">
        <v>18</v>
      </c>
      <c r="F46" s="12" t="s">
        <v>849</v>
      </c>
      <c r="G46" s="17" t="s">
        <v>850</v>
      </c>
      <c r="H46" s="17" t="s">
        <v>50</v>
      </c>
      <c r="I46" s="17" t="s">
        <v>31</v>
      </c>
      <c r="J46" s="13"/>
      <c r="K46" s="12" t="str">
        <f>"210,0"</f>
        <v>210,0</v>
      </c>
      <c r="L46" s="17" t="str">
        <f>"124,9920"</f>
        <v>124,9920</v>
      </c>
      <c r="M46" s="12" t="s">
        <v>851</v>
      </c>
    </row>
    <row r="47" spans="1:13" x14ac:dyDescent="0.2">
      <c r="A47" s="12" t="s">
        <v>853</v>
      </c>
      <c r="B47" s="12" t="s">
        <v>854</v>
      </c>
      <c r="C47" s="12" t="s">
        <v>855</v>
      </c>
      <c r="D47" s="12" t="str">
        <f>"0,6021"</f>
        <v>0,6021</v>
      </c>
      <c r="E47" s="12" t="s">
        <v>18</v>
      </c>
      <c r="F47" s="12" t="s">
        <v>19</v>
      </c>
      <c r="G47" s="13" t="s">
        <v>49</v>
      </c>
      <c r="H47" s="17" t="s">
        <v>427</v>
      </c>
      <c r="I47" s="13" t="s">
        <v>127</v>
      </c>
      <c r="J47" s="13"/>
      <c r="K47" s="12" t="str">
        <f>"195,0"</f>
        <v>195,0</v>
      </c>
      <c r="L47" s="17" t="str">
        <f>"117,4095"</f>
        <v>117,4095</v>
      </c>
      <c r="M47" s="12" t="s">
        <v>856</v>
      </c>
    </row>
    <row r="48" spans="1:13" x14ac:dyDescent="0.2">
      <c r="A48" s="12" t="s">
        <v>858</v>
      </c>
      <c r="B48" s="12" t="s">
        <v>859</v>
      </c>
      <c r="C48" s="12" t="s">
        <v>860</v>
      </c>
      <c r="D48" s="12" t="str">
        <f>"0,5928"</f>
        <v>0,5928</v>
      </c>
      <c r="E48" s="12" t="s">
        <v>18</v>
      </c>
      <c r="F48" s="12" t="s">
        <v>19</v>
      </c>
      <c r="G48" s="13" t="s">
        <v>24</v>
      </c>
      <c r="H48" s="17" t="s">
        <v>135</v>
      </c>
      <c r="I48" s="17" t="s">
        <v>49</v>
      </c>
      <c r="J48" s="13"/>
      <c r="K48" s="12" t="str">
        <f>"185,0"</f>
        <v>185,0</v>
      </c>
      <c r="L48" s="17" t="str">
        <f>"109,6680"</f>
        <v>109,6680</v>
      </c>
      <c r="M48" s="12" t="s">
        <v>861</v>
      </c>
    </row>
    <row r="49" spans="1:13" x14ac:dyDescent="0.2">
      <c r="A49" s="12" t="s">
        <v>863</v>
      </c>
      <c r="B49" s="12" t="s">
        <v>864</v>
      </c>
      <c r="C49" s="12" t="s">
        <v>865</v>
      </c>
      <c r="D49" s="12" t="str">
        <f>"0,5921"</f>
        <v>0,5921</v>
      </c>
      <c r="E49" s="12" t="s">
        <v>18</v>
      </c>
      <c r="F49" s="12" t="s">
        <v>19</v>
      </c>
      <c r="G49" s="17" t="s">
        <v>49</v>
      </c>
      <c r="H49" s="13" t="s">
        <v>53</v>
      </c>
      <c r="I49" s="13" t="s">
        <v>53</v>
      </c>
      <c r="J49" s="13"/>
      <c r="K49" s="12" t="str">
        <f>"185,0"</f>
        <v>185,0</v>
      </c>
      <c r="L49" s="17" t="str">
        <f>"109,5385"</f>
        <v>109,5385</v>
      </c>
      <c r="M49" s="12" t="s">
        <v>54</v>
      </c>
    </row>
    <row r="50" spans="1:13" x14ac:dyDescent="0.2">
      <c r="A50" s="12" t="s">
        <v>867</v>
      </c>
      <c r="B50" s="12" t="s">
        <v>868</v>
      </c>
      <c r="C50" s="12" t="s">
        <v>869</v>
      </c>
      <c r="D50" s="12" t="str">
        <f>"0,6076"</f>
        <v>0,6076</v>
      </c>
      <c r="E50" s="12" t="s">
        <v>18</v>
      </c>
      <c r="F50" s="12" t="s">
        <v>870</v>
      </c>
      <c r="G50" s="17" t="s">
        <v>24</v>
      </c>
      <c r="H50" s="17" t="s">
        <v>112</v>
      </c>
      <c r="I50" s="13" t="s">
        <v>135</v>
      </c>
      <c r="J50" s="13"/>
      <c r="K50" s="12" t="str">
        <f>"175,0"</f>
        <v>175,0</v>
      </c>
      <c r="L50" s="17" t="str">
        <f>"109,6262"</f>
        <v>109,6262</v>
      </c>
      <c r="M50" s="12" t="s">
        <v>54</v>
      </c>
    </row>
    <row r="51" spans="1:13" x14ac:dyDescent="0.2">
      <c r="A51" s="14" t="s">
        <v>872</v>
      </c>
      <c r="B51" s="14" t="s">
        <v>873</v>
      </c>
      <c r="C51" s="14" t="s">
        <v>874</v>
      </c>
      <c r="D51" s="14" t="str">
        <f>"0,6026"</f>
        <v>0,6026</v>
      </c>
      <c r="E51" s="14" t="s">
        <v>875</v>
      </c>
      <c r="F51" s="14" t="s">
        <v>876</v>
      </c>
      <c r="G51" s="15" t="s">
        <v>95</v>
      </c>
      <c r="H51" s="16" t="s">
        <v>33</v>
      </c>
      <c r="I51" s="15" t="s">
        <v>33</v>
      </c>
      <c r="J51" s="16"/>
      <c r="K51" s="14" t="str">
        <f>"120,0"</f>
        <v>120,0</v>
      </c>
      <c r="L51" s="15" t="str">
        <f>"100,7306"</f>
        <v>100,7306</v>
      </c>
      <c r="M51" s="14" t="s">
        <v>54</v>
      </c>
    </row>
    <row r="53" spans="1:13" ht="15" x14ac:dyDescent="0.2">
      <c r="A53" s="32" t="s">
        <v>121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3" x14ac:dyDescent="0.2">
      <c r="A54" s="9" t="s">
        <v>878</v>
      </c>
      <c r="B54" s="9" t="s">
        <v>879</v>
      </c>
      <c r="C54" s="9" t="s">
        <v>880</v>
      </c>
      <c r="D54" s="9" t="str">
        <f>"0,5833"</f>
        <v>0,5833</v>
      </c>
      <c r="E54" s="9" t="s">
        <v>347</v>
      </c>
      <c r="F54" s="9" t="s">
        <v>881</v>
      </c>
      <c r="G54" s="10" t="s">
        <v>37</v>
      </c>
      <c r="H54" s="11" t="s">
        <v>102</v>
      </c>
      <c r="I54" s="11" t="s">
        <v>102</v>
      </c>
      <c r="J54" s="11"/>
      <c r="K54" s="9" t="str">
        <f>"240,0"</f>
        <v>240,0</v>
      </c>
      <c r="L54" s="10" t="str">
        <f>"139,9920"</f>
        <v>139,9920</v>
      </c>
      <c r="M54" s="9" t="s">
        <v>221</v>
      </c>
    </row>
    <row r="55" spans="1:13" x14ac:dyDescent="0.2">
      <c r="A55" s="12" t="s">
        <v>883</v>
      </c>
      <c r="B55" s="12" t="s">
        <v>884</v>
      </c>
      <c r="C55" s="12" t="s">
        <v>885</v>
      </c>
      <c r="D55" s="12" t="str">
        <f>"0,5730"</f>
        <v>0,5730</v>
      </c>
      <c r="E55" s="12" t="s">
        <v>18</v>
      </c>
      <c r="F55" s="12" t="s">
        <v>886</v>
      </c>
      <c r="G55" s="17" t="s">
        <v>435</v>
      </c>
      <c r="H55" s="17" t="s">
        <v>127</v>
      </c>
      <c r="I55" s="13" t="s">
        <v>31</v>
      </c>
      <c r="J55" s="13"/>
      <c r="K55" s="12" t="str">
        <f>"207,5"</f>
        <v>207,5</v>
      </c>
      <c r="L55" s="17" t="str">
        <f>"118,8975"</f>
        <v>118,8975</v>
      </c>
      <c r="M55" s="12" t="s">
        <v>404</v>
      </c>
    </row>
    <row r="56" spans="1:13" x14ac:dyDescent="0.2">
      <c r="A56" s="12" t="s">
        <v>888</v>
      </c>
      <c r="B56" s="12" t="s">
        <v>889</v>
      </c>
      <c r="C56" s="12" t="s">
        <v>890</v>
      </c>
      <c r="D56" s="12" t="str">
        <f>"0,5809"</f>
        <v>0,5809</v>
      </c>
      <c r="E56" s="12" t="s">
        <v>18</v>
      </c>
      <c r="F56" s="12" t="s">
        <v>19</v>
      </c>
      <c r="G56" s="17" t="s">
        <v>49</v>
      </c>
      <c r="H56" s="13" t="s">
        <v>64</v>
      </c>
      <c r="I56" s="13" t="s">
        <v>427</v>
      </c>
      <c r="J56" s="13"/>
      <c r="K56" s="12" t="str">
        <f>"185,0"</f>
        <v>185,0</v>
      </c>
      <c r="L56" s="17" t="str">
        <f>"107,4665"</f>
        <v>107,4665</v>
      </c>
      <c r="M56" s="12" t="s">
        <v>891</v>
      </c>
    </row>
    <row r="57" spans="1:13" x14ac:dyDescent="0.2">
      <c r="A57" s="14" t="s">
        <v>893</v>
      </c>
      <c r="B57" s="14" t="s">
        <v>894</v>
      </c>
      <c r="C57" s="14" t="s">
        <v>895</v>
      </c>
      <c r="D57" s="14" t="str">
        <f>"0,5749"</f>
        <v>0,5749</v>
      </c>
      <c r="E57" s="14" t="s">
        <v>18</v>
      </c>
      <c r="F57" s="14" t="s">
        <v>19</v>
      </c>
      <c r="G57" s="15" t="s">
        <v>239</v>
      </c>
      <c r="H57" s="15" t="s">
        <v>76</v>
      </c>
      <c r="I57" s="16" t="s">
        <v>24</v>
      </c>
      <c r="J57" s="16"/>
      <c r="K57" s="14" t="str">
        <f>"165,0"</f>
        <v>165,0</v>
      </c>
      <c r="L57" s="15" t="str">
        <f>"129,5767"</f>
        <v>129,5767</v>
      </c>
      <c r="M57" s="14" t="s">
        <v>896</v>
      </c>
    </row>
    <row r="59" spans="1:13" ht="15" x14ac:dyDescent="0.2">
      <c r="A59" s="32" t="s">
        <v>146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3" x14ac:dyDescent="0.2">
      <c r="A60" s="9" t="s">
        <v>898</v>
      </c>
      <c r="B60" s="9" t="s">
        <v>899</v>
      </c>
      <c r="C60" s="9" t="s">
        <v>900</v>
      </c>
      <c r="D60" s="9" t="str">
        <f>"0,5643"</f>
        <v>0,5643</v>
      </c>
      <c r="E60" s="9" t="s">
        <v>18</v>
      </c>
      <c r="F60" s="9" t="s">
        <v>843</v>
      </c>
      <c r="G60" s="10" t="s">
        <v>382</v>
      </c>
      <c r="H60" s="11" t="s">
        <v>37</v>
      </c>
      <c r="I60" s="10" t="s">
        <v>37</v>
      </c>
      <c r="J60" s="11"/>
      <c r="K60" s="9" t="str">
        <f>"240,0"</f>
        <v>240,0</v>
      </c>
      <c r="L60" s="10" t="str">
        <f>"135,4320"</f>
        <v>135,4320</v>
      </c>
      <c r="M60" s="9" t="s">
        <v>901</v>
      </c>
    </row>
    <row r="61" spans="1:13" x14ac:dyDescent="0.2">
      <c r="A61" s="12" t="s">
        <v>903</v>
      </c>
      <c r="B61" s="12" t="s">
        <v>904</v>
      </c>
      <c r="C61" s="12" t="s">
        <v>905</v>
      </c>
      <c r="D61" s="12" t="str">
        <f>"0,5678"</f>
        <v>0,5678</v>
      </c>
      <c r="E61" s="12" t="s">
        <v>906</v>
      </c>
      <c r="F61" s="12" t="s">
        <v>231</v>
      </c>
      <c r="G61" s="17" t="s">
        <v>76</v>
      </c>
      <c r="H61" s="17" t="s">
        <v>112</v>
      </c>
      <c r="I61" s="17" t="s">
        <v>135</v>
      </c>
      <c r="J61" s="13"/>
      <c r="K61" s="12" t="str">
        <f>"180,0"</f>
        <v>180,0</v>
      </c>
      <c r="L61" s="17" t="str">
        <f>"102,2040"</f>
        <v>102,2040</v>
      </c>
      <c r="M61" s="12" t="s">
        <v>54</v>
      </c>
    </row>
    <row r="62" spans="1:13" x14ac:dyDescent="0.2">
      <c r="A62" s="14" t="s">
        <v>908</v>
      </c>
      <c r="B62" s="14" t="s">
        <v>909</v>
      </c>
      <c r="C62" s="14" t="s">
        <v>910</v>
      </c>
      <c r="D62" s="14" t="str">
        <f>"0,5594"</f>
        <v>0,5594</v>
      </c>
      <c r="E62" s="14" t="s">
        <v>18</v>
      </c>
      <c r="F62" s="14" t="s">
        <v>813</v>
      </c>
      <c r="G62" s="15" t="s">
        <v>135</v>
      </c>
      <c r="H62" s="15" t="s">
        <v>427</v>
      </c>
      <c r="I62" s="16" t="s">
        <v>53</v>
      </c>
      <c r="J62" s="16"/>
      <c r="K62" s="14" t="str">
        <f>"195,0"</f>
        <v>195,0</v>
      </c>
      <c r="L62" s="15" t="str">
        <f>"119,6641"</f>
        <v>119,6641</v>
      </c>
      <c r="M62" s="14" t="s">
        <v>54</v>
      </c>
    </row>
    <row r="64" spans="1:13" ht="15" x14ac:dyDescent="0.2">
      <c r="E64" s="18" t="s">
        <v>151</v>
      </c>
    </row>
    <row r="65" spans="1:5" ht="15" x14ac:dyDescent="0.2">
      <c r="E65" s="18" t="s">
        <v>152</v>
      </c>
    </row>
    <row r="66" spans="1:5" ht="15" x14ac:dyDescent="0.2">
      <c r="E66" s="18" t="s">
        <v>153</v>
      </c>
    </row>
    <row r="67" spans="1:5" ht="15" x14ac:dyDescent="0.2">
      <c r="E67" s="18" t="s">
        <v>154</v>
      </c>
    </row>
    <row r="68" spans="1:5" ht="15" x14ac:dyDescent="0.2">
      <c r="E68" s="18" t="s">
        <v>154</v>
      </c>
    </row>
    <row r="69" spans="1:5" ht="15" x14ac:dyDescent="0.2">
      <c r="E69" s="18" t="s">
        <v>155</v>
      </c>
    </row>
    <row r="70" spans="1:5" ht="15" x14ac:dyDescent="0.2">
      <c r="E70" s="18"/>
    </row>
    <row r="72" spans="1:5" ht="18" x14ac:dyDescent="0.25">
      <c r="A72" s="19" t="s">
        <v>156</v>
      </c>
      <c r="B72" s="19"/>
    </row>
    <row r="73" spans="1:5" ht="15" x14ac:dyDescent="0.2">
      <c r="A73" s="20" t="s">
        <v>157</v>
      </c>
      <c r="B73" s="20"/>
    </row>
    <row r="74" spans="1:5" ht="14.25" x14ac:dyDescent="0.2">
      <c r="A74" s="22"/>
      <c r="B74" s="23" t="s">
        <v>169</v>
      </c>
    </row>
    <row r="75" spans="1:5" ht="15" x14ac:dyDescent="0.2">
      <c r="A75" s="24" t="s">
        <v>159</v>
      </c>
      <c r="B75" s="24" t="s">
        <v>160</v>
      </c>
      <c r="C75" s="24" t="s">
        <v>161</v>
      </c>
      <c r="D75" s="24" t="s">
        <v>162</v>
      </c>
      <c r="E75" s="24" t="s">
        <v>163</v>
      </c>
    </row>
    <row r="76" spans="1:5" x14ac:dyDescent="0.2">
      <c r="A76" s="21" t="s">
        <v>745</v>
      </c>
      <c r="B76" s="4" t="s">
        <v>169</v>
      </c>
      <c r="C76" s="4" t="s">
        <v>472</v>
      </c>
      <c r="D76" s="4" t="s">
        <v>326</v>
      </c>
      <c r="E76" s="25" t="s">
        <v>911</v>
      </c>
    </row>
    <row r="77" spans="1:5" x14ac:dyDescent="0.2">
      <c r="A77" s="21" t="s">
        <v>739</v>
      </c>
      <c r="B77" s="4" t="s">
        <v>169</v>
      </c>
      <c r="C77" s="4" t="s">
        <v>481</v>
      </c>
      <c r="D77" s="4" t="s">
        <v>743</v>
      </c>
      <c r="E77" s="25" t="s">
        <v>912</v>
      </c>
    </row>
    <row r="78" spans="1:5" x14ac:dyDescent="0.2">
      <c r="A78" s="21" t="s">
        <v>734</v>
      </c>
      <c r="B78" s="4" t="s">
        <v>169</v>
      </c>
      <c r="C78" s="4" t="s">
        <v>287</v>
      </c>
      <c r="D78" s="4" t="s">
        <v>738</v>
      </c>
      <c r="E78" s="25" t="s">
        <v>913</v>
      </c>
    </row>
    <row r="80" spans="1:5" ht="14.25" x14ac:dyDescent="0.2">
      <c r="A80" s="22"/>
      <c r="B80" s="23" t="s">
        <v>158</v>
      </c>
    </row>
    <row r="81" spans="1:5" ht="15" x14ac:dyDescent="0.2">
      <c r="A81" s="24" t="s">
        <v>159</v>
      </c>
      <c r="B81" s="24" t="s">
        <v>160</v>
      </c>
      <c r="C81" s="24" t="s">
        <v>161</v>
      </c>
      <c r="D81" s="24" t="s">
        <v>162</v>
      </c>
      <c r="E81" s="24" t="s">
        <v>163</v>
      </c>
    </row>
    <row r="82" spans="1:5" x14ac:dyDescent="0.2">
      <c r="A82" s="21" t="s">
        <v>749</v>
      </c>
      <c r="B82" s="4" t="s">
        <v>480</v>
      </c>
      <c r="C82" s="4" t="s">
        <v>472</v>
      </c>
      <c r="D82" s="4" t="s">
        <v>336</v>
      </c>
      <c r="E82" s="25" t="s">
        <v>914</v>
      </c>
    </row>
    <row r="85" spans="1:5" ht="15" x14ac:dyDescent="0.2">
      <c r="A85" s="20" t="s">
        <v>168</v>
      </c>
      <c r="B85" s="20"/>
    </row>
    <row r="86" spans="1:5" ht="14.25" x14ac:dyDescent="0.2">
      <c r="A86" s="22"/>
      <c r="B86" s="23" t="s">
        <v>290</v>
      </c>
    </row>
    <row r="87" spans="1:5" ht="15" x14ac:dyDescent="0.2">
      <c r="A87" s="24" t="s">
        <v>159</v>
      </c>
      <c r="B87" s="24" t="s">
        <v>160</v>
      </c>
      <c r="C87" s="24" t="s">
        <v>161</v>
      </c>
      <c r="D87" s="24" t="s">
        <v>162</v>
      </c>
      <c r="E87" s="24" t="s">
        <v>163</v>
      </c>
    </row>
    <row r="88" spans="1:5" x14ac:dyDescent="0.2">
      <c r="A88" s="21" t="s">
        <v>754</v>
      </c>
      <c r="B88" s="4" t="s">
        <v>291</v>
      </c>
      <c r="C88" s="4" t="s">
        <v>472</v>
      </c>
      <c r="D88" s="4" t="s">
        <v>326</v>
      </c>
      <c r="E88" s="25" t="s">
        <v>915</v>
      </c>
    </row>
    <row r="90" spans="1:5" ht="14.25" x14ac:dyDescent="0.2">
      <c r="A90" s="22"/>
      <c r="B90" s="23" t="s">
        <v>169</v>
      </c>
    </row>
    <row r="91" spans="1:5" ht="15" x14ac:dyDescent="0.2">
      <c r="A91" s="24" t="s">
        <v>159</v>
      </c>
      <c r="B91" s="24" t="s">
        <v>160</v>
      </c>
      <c r="C91" s="24" t="s">
        <v>161</v>
      </c>
      <c r="D91" s="24" t="s">
        <v>162</v>
      </c>
      <c r="E91" s="24" t="s">
        <v>163</v>
      </c>
    </row>
    <row r="92" spans="1:5" x14ac:dyDescent="0.2">
      <c r="A92" s="21" t="s">
        <v>779</v>
      </c>
      <c r="B92" s="4" t="s">
        <v>169</v>
      </c>
      <c r="C92" s="4" t="s">
        <v>497</v>
      </c>
      <c r="D92" s="4" t="s">
        <v>51</v>
      </c>
      <c r="E92" s="25" t="s">
        <v>916</v>
      </c>
    </row>
    <row r="93" spans="1:5" x14ac:dyDescent="0.2">
      <c r="A93" s="21" t="s">
        <v>877</v>
      </c>
      <c r="B93" s="4" t="s">
        <v>169</v>
      </c>
      <c r="C93" s="4" t="s">
        <v>173</v>
      </c>
      <c r="D93" s="4" t="s">
        <v>37</v>
      </c>
      <c r="E93" s="25" t="s">
        <v>917</v>
      </c>
    </row>
    <row r="94" spans="1:5" x14ac:dyDescent="0.2">
      <c r="A94" s="21" t="s">
        <v>897</v>
      </c>
      <c r="B94" s="4" t="s">
        <v>169</v>
      </c>
      <c r="C94" s="4" t="s">
        <v>294</v>
      </c>
      <c r="D94" s="4" t="s">
        <v>37</v>
      </c>
      <c r="E94" s="25" t="s">
        <v>918</v>
      </c>
    </row>
    <row r="95" spans="1:5" x14ac:dyDescent="0.2">
      <c r="A95" s="21" t="s">
        <v>839</v>
      </c>
      <c r="B95" s="4" t="s">
        <v>169</v>
      </c>
      <c r="C95" s="4" t="s">
        <v>182</v>
      </c>
      <c r="D95" s="4" t="s">
        <v>31</v>
      </c>
      <c r="E95" s="25" t="s">
        <v>919</v>
      </c>
    </row>
    <row r="96" spans="1:5" x14ac:dyDescent="0.2">
      <c r="A96" s="21" t="s">
        <v>845</v>
      </c>
      <c r="B96" s="4" t="s">
        <v>169</v>
      </c>
      <c r="C96" s="4" t="s">
        <v>182</v>
      </c>
      <c r="D96" s="4" t="s">
        <v>31</v>
      </c>
      <c r="E96" s="25" t="s">
        <v>920</v>
      </c>
    </row>
    <row r="97" spans="1:5" x14ac:dyDescent="0.2">
      <c r="A97" s="21" t="s">
        <v>818</v>
      </c>
      <c r="B97" s="4" t="s">
        <v>169</v>
      </c>
      <c r="C97" s="4" t="s">
        <v>170</v>
      </c>
      <c r="D97" s="4" t="s">
        <v>435</v>
      </c>
      <c r="E97" s="25" t="s">
        <v>921</v>
      </c>
    </row>
    <row r="98" spans="1:5" x14ac:dyDescent="0.2">
      <c r="A98" s="21" t="s">
        <v>821</v>
      </c>
      <c r="B98" s="4" t="s">
        <v>169</v>
      </c>
      <c r="C98" s="4" t="s">
        <v>170</v>
      </c>
      <c r="D98" s="4" t="s">
        <v>427</v>
      </c>
      <c r="E98" s="25" t="s">
        <v>922</v>
      </c>
    </row>
    <row r="99" spans="1:5" x14ac:dyDescent="0.2">
      <c r="A99" s="21" t="s">
        <v>882</v>
      </c>
      <c r="B99" s="4" t="s">
        <v>169</v>
      </c>
      <c r="C99" s="4" t="s">
        <v>173</v>
      </c>
      <c r="D99" s="4" t="s">
        <v>127</v>
      </c>
      <c r="E99" s="25" t="s">
        <v>923</v>
      </c>
    </row>
    <row r="100" spans="1:5" x14ac:dyDescent="0.2">
      <c r="A100" s="21" t="s">
        <v>852</v>
      </c>
      <c r="B100" s="4" t="s">
        <v>169</v>
      </c>
      <c r="C100" s="4" t="s">
        <v>182</v>
      </c>
      <c r="D100" s="4" t="s">
        <v>427</v>
      </c>
      <c r="E100" s="25" t="s">
        <v>924</v>
      </c>
    </row>
    <row r="101" spans="1:5" x14ac:dyDescent="0.2">
      <c r="A101" s="21" t="s">
        <v>800</v>
      </c>
      <c r="B101" s="4" t="s">
        <v>169</v>
      </c>
      <c r="C101" s="4" t="s">
        <v>187</v>
      </c>
      <c r="D101" s="4" t="s">
        <v>112</v>
      </c>
      <c r="E101" s="25" t="s">
        <v>925</v>
      </c>
    </row>
    <row r="102" spans="1:5" x14ac:dyDescent="0.2">
      <c r="A102" s="21" t="s">
        <v>857</v>
      </c>
      <c r="B102" s="4" t="s">
        <v>169</v>
      </c>
      <c r="C102" s="4" t="s">
        <v>182</v>
      </c>
      <c r="D102" s="4" t="s">
        <v>49</v>
      </c>
      <c r="E102" s="25" t="s">
        <v>926</v>
      </c>
    </row>
    <row r="103" spans="1:5" x14ac:dyDescent="0.2">
      <c r="A103" s="21" t="s">
        <v>862</v>
      </c>
      <c r="B103" s="4" t="s">
        <v>169</v>
      </c>
      <c r="C103" s="4" t="s">
        <v>182</v>
      </c>
      <c r="D103" s="4" t="s">
        <v>49</v>
      </c>
      <c r="E103" s="25" t="s">
        <v>927</v>
      </c>
    </row>
    <row r="104" spans="1:5" x14ac:dyDescent="0.2">
      <c r="A104" s="21" t="s">
        <v>887</v>
      </c>
      <c r="B104" s="4" t="s">
        <v>169</v>
      </c>
      <c r="C104" s="4" t="s">
        <v>173</v>
      </c>
      <c r="D104" s="4" t="s">
        <v>49</v>
      </c>
      <c r="E104" s="25" t="s">
        <v>928</v>
      </c>
    </row>
    <row r="105" spans="1:5" x14ac:dyDescent="0.2">
      <c r="A105" s="21" t="s">
        <v>804</v>
      </c>
      <c r="B105" s="4" t="s">
        <v>169</v>
      </c>
      <c r="C105" s="4" t="s">
        <v>187</v>
      </c>
      <c r="D105" s="4" t="s">
        <v>76</v>
      </c>
      <c r="E105" s="25" t="s">
        <v>929</v>
      </c>
    </row>
    <row r="106" spans="1:5" x14ac:dyDescent="0.2">
      <c r="A106" s="21" t="s">
        <v>783</v>
      </c>
      <c r="B106" s="4" t="s">
        <v>169</v>
      </c>
      <c r="C106" s="4" t="s">
        <v>497</v>
      </c>
      <c r="D106" s="4" t="s">
        <v>239</v>
      </c>
      <c r="E106" s="25" t="s">
        <v>930</v>
      </c>
    </row>
    <row r="107" spans="1:5" x14ac:dyDescent="0.2">
      <c r="A107" s="21" t="s">
        <v>902</v>
      </c>
      <c r="B107" s="4" t="s">
        <v>169</v>
      </c>
      <c r="C107" s="4" t="s">
        <v>294</v>
      </c>
      <c r="D107" s="4" t="s">
        <v>135</v>
      </c>
      <c r="E107" s="25" t="s">
        <v>931</v>
      </c>
    </row>
    <row r="108" spans="1:5" x14ac:dyDescent="0.2">
      <c r="A108" s="21" t="s">
        <v>787</v>
      </c>
      <c r="B108" s="4" t="s">
        <v>169</v>
      </c>
      <c r="C108" s="4" t="s">
        <v>497</v>
      </c>
      <c r="D108" s="4" t="s">
        <v>20</v>
      </c>
      <c r="E108" s="25" t="s">
        <v>932</v>
      </c>
    </row>
    <row r="109" spans="1:5" x14ac:dyDescent="0.2">
      <c r="A109" s="21" t="s">
        <v>791</v>
      </c>
      <c r="B109" s="4" t="s">
        <v>169</v>
      </c>
      <c r="C109" s="4" t="s">
        <v>497</v>
      </c>
      <c r="D109" s="4" t="s">
        <v>34</v>
      </c>
      <c r="E109" s="25" t="s">
        <v>933</v>
      </c>
    </row>
    <row r="110" spans="1:5" x14ac:dyDescent="0.2">
      <c r="A110" s="21" t="s">
        <v>759</v>
      </c>
      <c r="B110" s="4" t="s">
        <v>169</v>
      </c>
      <c r="C110" s="4" t="s">
        <v>165</v>
      </c>
      <c r="D110" s="4" t="s">
        <v>326</v>
      </c>
      <c r="E110" s="25" t="s">
        <v>934</v>
      </c>
    </row>
    <row r="112" spans="1:5" ht="14.25" x14ac:dyDescent="0.2">
      <c r="A112" s="22"/>
      <c r="B112" s="23" t="s">
        <v>158</v>
      </c>
    </row>
    <row r="113" spans="1:5" ht="15" x14ac:dyDescent="0.2">
      <c r="A113" s="24" t="s">
        <v>159</v>
      </c>
      <c r="B113" s="24" t="s">
        <v>160</v>
      </c>
      <c r="C113" s="24" t="s">
        <v>161</v>
      </c>
      <c r="D113" s="24" t="s">
        <v>162</v>
      </c>
      <c r="E113" s="24" t="s">
        <v>163</v>
      </c>
    </row>
    <row r="114" spans="1:5" x14ac:dyDescent="0.2">
      <c r="A114" s="21" t="s">
        <v>814</v>
      </c>
      <c r="B114" s="4" t="s">
        <v>935</v>
      </c>
      <c r="C114" s="4" t="s">
        <v>187</v>
      </c>
      <c r="D114" s="4" t="s">
        <v>349</v>
      </c>
      <c r="E114" s="25" t="s">
        <v>936</v>
      </c>
    </row>
    <row r="115" spans="1:5" x14ac:dyDescent="0.2">
      <c r="A115" s="21" t="s">
        <v>809</v>
      </c>
      <c r="B115" s="4" t="s">
        <v>937</v>
      </c>
      <c r="C115" s="4" t="s">
        <v>187</v>
      </c>
      <c r="D115" s="4" t="s">
        <v>403</v>
      </c>
      <c r="E115" s="25" t="s">
        <v>938</v>
      </c>
    </row>
    <row r="116" spans="1:5" x14ac:dyDescent="0.2">
      <c r="A116" s="21" t="s">
        <v>892</v>
      </c>
      <c r="B116" s="4" t="s">
        <v>939</v>
      </c>
      <c r="C116" s="4" t="s">
        <v>173</v>
      </c>
      <c r="D116" s="4" t="s">
        <v>76</v>
      </c>
      <c r="E116" s="25" t="s">
        <v>940</v>
      </c>
    </row>
    <row r="117" spans="1:5" x14ac:dyDescent="0.2">
      <c r="A117" s="21" t="s">
        <v>825</v>
      </c>
      <c r="B117" s="4" t="s">
        <v>315</v>
      </c>
      <c r="C117" s="4" t="s">
        <v>170</v>
      </c>
      <c r="D117" s="4" t="s">
        <v>63</v>
      </c>
      <c r="E117" s="25" t="s">
        <v>941</v>
      </c>
    </row>
    <row r="118" spans="1:5" x14ac:dyDescent="0.2">
      <c r="A118" s="21" t="s">
        <v>774</v>
      </c>
      <c r="B118" s="4" t="s">
        <v>942</v>
      </c>
      <c r="C118" s="4" t="s">
        <v>165</v>
      </c>
      <c r="D118" s="4" t="s">
        <v>743</v>
      </c>
      <c r="E118" s="25" t="s">
        <v>943</v>
      </c>
    </row>
    <row r="119" spans="1:5" x14ac:dyDescent="0.2">
      <c r="A119" s="21" t="s">
        <v>769</v>
      </c>
      <c r="B119" s="4" t="s">
        <v>935</v>
      </c>
      <c r="C119" s="4" t="s">
        <v>165</v>
      </c>
      <c r="D119" s="4" t="s">
        <v>326</v>
      </c>
      <c r="E119" s="25" t="s">
        <v>944</v>
      </c>
    </row>
    <row r="120" spans="1:5" x14ac:dyDescent="0.2">
      <c r="A120" s="21" t="s">
        <v>907</v>
      </c>
      <c r="B120" s="4" t="s">
        <v>315</v>
      </c>
      <c r="C120" s="4" t="s">
        <v>294</v>
      </c>
      <c r="D120" s="4" t="s">
        <v>427</v>
      </c>
      <c r="E120" s="25" t="s">
        <v>945</v>
      </c>
    </row>
    <row r="121" spans="1:5" x14ac:dyDescent="0.2">
      <c r="A121" s="21" t="s">
        <v>866</v>
      </c>
      <c r="B121" s="4" t="s">
        <v>164</v>
      </c>
      <c r="C121" s="4" t="s">
        <v>182</v>
      </c>
      <c r="D121" s="4" t="s">
        <v>112</v>
      </c>
      <c r="E121" s="25" t="s">
        <v>946</v>
      </c>
    </row>
    <row r="122" spans="1:5" x14ac:dyDescent="0.2">
      <c r="A122" s="21" t="s">
        <v>829</v>
      </c>
      <c r="B122" s="4" t="s">
        <v>315</v>
      </c>
      <c r="C122" s="4" t="s">
        <v>170</v>
      </c>
      <c r="D122" s="4" t="s">
        <v>21</v>
      </c>
      <c r="E122" s="25" t="s">
        <v>947</v>
      </c>
    </row>
    <row r="123" spans="1:5" x14ac:dyDescent="0.2">
      <c r="A123" s="21" t="s">
        <v>835</v>
      </c>
      <c r="B123" s="4" t="s">
        <v>315</v>
      </c>
      <c r="C123" s="4" t="s">
        <v>170</v>
      </c>
      <c r="D123" s="4" t="s">
        <v>239</v>
      </c>
      <c r="E123" s="25" t="s">
        <v>948</v>
      </c>
    </row>
    <row r="124" spans="1:5" x14ac:dyDescent="0.2">
      <c r="A124" s="21" t="s">
        <v>871</v>
      </c>
      <c r="B124" s="4" t="s">
        <v>939</v>
      </c>
      <c r="C124" s="4" t="s">
        <v>182</v>
      </c>
      <c r="D124" s="4" t="s">
        <v>33</v>
      </c>
      <c r="E124" s="25" t="s">
        <v>949</v>
      </c>
    </row>
    <row r="125" spans="1:5" x14ac:dyDescent="0.2">
      <c r="A125" s="21" t="s">
        <v>765</v>
      </c>
      <c r="B125" s="4" t="s">
        <v>195</v>
      </c>
      <c r="C125" s="4" t="s">
        <v>165</v>
      </c>
      <c r="D125" s="4" t="s">
        <v>325</v>
      </c>
      <c r="E125" s="25" t="s">
        <v>950</v>
      </c>
    </row>
  </sheetData>
  <mergeCells count="22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53:L53"/>
    <mergeCell ref="A59:L59"/>
    <mergeCell ref="A15:L15"/>
    <mergeCell ref="A18:L18"/>
    <mergeCell ref="A24:L24"/>
    <mergeCell ref="A31:L31"/>
    <mergeCell ref="A37:L37"/>
    <mergeCell ref="A44:L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activeCell="A3" sqref="A3:A4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5.42578125" style="4" customWidth="1"/>
    <col min="4" max="4" width="8.42578125" style="4" bestFit="1" customWidth="1"/>
    <col min="5" max="5" width="22.7109375" style="4" bestFit="1" customWidth="1"/>
    <col min="6" max="6" width="32.42578125" style="4" bestFit="1" customWidth="1"/>
    <col min="7" max="9" width="5.5703125" style="3" bestFit="1" customWidth="1"/>
    <col min="10" max="10" width="4.85546875" style="3" bestFit="1" customWidth="1"/>
    <col min="11" max="11" width="15" style="4" customWidth="1"/>
    <col min="12" max="12" width="8.5703125" style="3" bestFit="1" customWidth="1"/>
    <col min="13" max="13" width="16.28515625" style="4" bestFit="1" customWidth="1"/>
    <col min="14" max="16384" width="9.140625" style="3"/>
  </cols>
  <sheetData>
    <row r="1" spans="1:13" s="2" customFormat="1" ht="29.1" customHeight="1" x14ac:dyDescent="0.2">
      <c r="A1" s="36" t="s">
        <v>2133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12</v>
      </c>
      <c r="H3" s="34"/>
      <c r="I3" s="34"/>
      <c r="J3" s="34"/>
      <c r="K3" s="34" t="s">
        <v>951</v>
      </c>
      <c r="L3" s="34" t="s">
        <v>3</v>
      </c>
      <c r="M3" s="45" t="s">
        <v>2</v>
      </c>
    </row>
    <row r="4" spans="1:13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35"/>
      <c r="L4" s="35"/>
      <c r="M4" s="46"/>
    </row>
    <row r="5" spans="1:13" ht="15" x14ac:dyDescent="0.2">
      <c r="A5" s="33" t="s">
        <v>351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x14ac:dyDescent="0.2">
      <c r="A6" s="9" t="s">
        <v>1564</v>
      </c>
      <c r="B6" s="9" t="s">
        <v>1565</v>
      </c>
      <c r="C6" s="9" t="s">
        <v>1566</v>
      </c>
      <c r="D6" s="9" t="str">
        <f>"0,8635"</f>
        <v>0,8635</v>
      </c>
      <c r="E6" s="9" t="s">
        <v>18</v>
      </c>
      <c r="F6" s="9" t="s">
        <v>19</v>
      </c>
      <c r="G6" s="10" t="s">
        <v>95</v>
      </c>
      <c r="H6" s="10" t="s">
        <v>388</v>
      </c>
      <c r="I6" s="10" t="s">
        <v>281</v>
      </c>
      <c r="J6" s="11"/>
      <c r="K6" s="9" t="str">
        <f>"122,5"</f>
        <v>122,5</v>
      </c>
      <c r="L6" s="10" t="str">
        <f>"105,7787"</f>
        <v>105,7787</v>
      </c>
      <c r="M6" s="9" t="s">
        <v>1567</v>
      </c>
    </row>
    <row r="7" spans="1:13" x14ac:dyDescent="0.2">
      <c r="A7" s="14" t="s">
        <v>1569</v>
      </c>
      <c r="B7" s="14" t="s">
        <v>1570</v>
      </c>
      <c r="C7" s="14" t="s">
        <v>1571</v>
      </c>
      <c r="D7" s="14" t="str">
        <f>"0,8919"</f>
        <v>0,8919</v>
      </c>
      <c r="E7" s="14" t="s">
        <v>18</v>
      </c>
      <c r="F7" s="14" t="s">
        <v>778</v>
      </c>
      <c r="G7" s="15" t="s">
        <v>325</v>
      </c>
      <c r="H7" s="15" t="s">
        <v>94</v>
      </c>
      <c r="I7" s="16" t="s">
        <v>388</v>
      </c>
      <c r="J7" s="16"/>
      <c r="K7" s="14" t="str">
        <f>"105,0"</f>
        <v>105,0</v>
      </c>
      <c r="L7" s="15" t="str">
        <f>"93,6495"</f>
        <v>93,6495</v>
      </c>
      <c r="M7" s="14" t="s">
        <v>1339</v>
      </c>
    </row>
    <row r="9" spans="1:13" ht="15" x14ac:dyDescent="0.2">
      <c r="A9" s="32" t="s">
        <v>390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 x14ac:dyDescent="0.2">
      <c r="A10" s="9" t="s">
        <v>1573</v>
      </c>
      <c r="B10" s="9" t="s">
        <v>1574</v>
      </c>
      <c r="C10" s="9" t="s">
        <v>1184</v>
      </c>
      <c r="D10" s="9" t="str">
        <f>"0,6724"</f>
        <v>0,6724</v>
      </c>
      <c r="E10" s="9" t="s">
        <v>18</v>
      </c>
      <c r="F10" s="9" t="s">
        <v>19</v>
      </c>
      <c r="G10" s="10" t="s">
        <v>53</v>
      </c>
      <c r="H10" s="10" t="s">
        <v>51</v>
      </c>
      <c r="I10" s="10" t="s">
        <v>397</v>
      </c>
      <c r="J10" s="11"/>
      <c r="K10" s="9" t="str">
        <f>"225,0"</f>
        <v>225,0</v>
      </c>
      <c r="L10" s="10" t="str">
        <f>"151,2900"</f>
        <v>151,2900</v>
      </c>
      <c r="M10" s="9" t="s">
        <v>1575</v>
      </c>
    </row>
    <row r="11" spans="1:13" x14ac:dyDescent="0.2">
      <c r="A11" s="12" t="s">
        <v>1577</v>
      </c>
      <c r="B11" s="12" t="s">
        <v>1578</v>
      </c>
      <c r="C11" s="12" t="s">
        <v>782</v>
      </c>
      <c r="D11" s="12" t="str">
        <f>"0,6699"</f>
        <v>0,6699</v>
      </c>
      <c r="E11" s="12" t="s">
        <v>18</v>
      </c>
      <c r="F11" s="12" t="s">
        <v>19</v>
      </c>
      <c r="G11" s="17" t="s">
        <v>31</v>
      </c>
      <c r="H11" s="13" t="s">
        <v>32</v>
      </c>
      <c r="I11" s="13" t="s">
        <v>32</v>
      </c>
      <c r="J11" s="13"/>
      <c r="K11" s="12" t="str">
        <f>"210,0"</f>
        <v>210,0</v>
      </c>
      <c r="L11" s="17" t="str">
        <f>"140,6790"</f>
        <v>140,6790</v>
      </c>
      <c r="M11" s="12" t="s">
        <v>1579</v>
      </c>
    </row>
    <row r="12" spans="1:13" x14ac:dyDescent="0.2">
      <c r="A12" s="14" t="s">
        <v>1581</v>
      </c>
      <c r="B12" s="14" t="s">
        <v>1582</v>
      </c>
      <c r="C12" s="14" t="s">
        <v>1583</v>
      </c>
      <c r="D12" s="14" t="str">
        <f>"0,6779"</f>
        <v>0,6779</v>
      </c>
      <c r="E12" s="14" t="s">
        <v>18</v>
      </c>
      <c r="F12" s="14" t="s">
        <v>19</v>
      </c>
      <c r="G12" s="15" t="s">
        <v>21</v>
      </c>
      <c r="H12" s="15" t="s">
        <v>24</v>
      </c>
      <c r="I12" s="16" t="s">
        <v>112</v>
      </c>
      <c r="J12" s="16"/>
      <c r="K12" s="14" t="str">
        <f>"170,0"</f>
        <v>170,0</v>
      </c>
      <c r="L12" s="15" t="str">
        <f>"115,2430"</f>
        <v>115,2430</v>
      </c>
      <c r="M12" s="14" t="s">
        <v>404</v>
      </c>
    </row>
    <row r="14" spans="1:13" ht="15" x14ac:dyDescent="0.2">
      <c r="A14" s="32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3" x14ac:dyDescent="0.2">
      <c r="A15" s="9" t="s">
        <v>1585</v>
      </c>
      <c r="B15" s="9" t="s">
        <v>1586</v>
      </c>
      <c r="C15" s="9" t="s">
        <v>807</v>
      </c>
      <c r="D15" s="9" t="str">
        <f>"0,6491"</f>
        <v>0,6491</v>
      </c>
      <c r="E15" s="9" t="s">
        <v>18</v>
      </c>
      <c r="F15" s="9" t="s">
        <v>1587</v>
      </c>
      <c r="G15" s="10" t="s">
        <v>50</v>
      </c>
      <c r="H15" s="10" t="s">
        <v>51</v>
      </c>
      <c r="I15" s="11" t="s">
        <v>86</v>
      </c>
      <c r="J15" s="11"/>
      <c r="K15" s="9" t="str">
        <f>"215,0"</f>
        <v>215,0</v>
      </c>
      <c r="L15" s="10" t="str">
        <f>"139,5565"</f>
        <v>139,5565</v>
      </c>
      <c r="M15" s="9" t="s">
        <v>1588</v>
      </c>
    </row>
    <row r="16" spans="1:13" x14ac:dyDescent="0.2">
      <c r="A16" s="12" t="s">
        <v>1590</v>
      </c>
      <c r="B16" s="12" t="s">
        <v>1591</v>
      </c>
      <c r="C16" s="12" t="s">
        <v>1592</v>
      </c>
      <c r="D16" s="12" t="str">
        <f>"0,6417"</f>
        <v>0,6417</v>
      </c>
      <c r="E16" s="12" t="s">
        <v>18</v>
      </c>
      <c r="F16" s="12" t="s">
        <v>1593</v>
      </c>
      <c r="G16" s="17" t="s">
        <v>255</v>
      </c>
      <c r="H16" s="13" t="s">
        <v>226</v>
      </c>
      <c r="I16" s="13" t="s">
        <v>226</v>
      </c>
      <c r="J16" s="13"/>
      <c r="K16" s="12" t="str">
        <f>"285,0"</f>
        <v>285,0</v>
      </c>
      <c r="L16" s="17" t="str">
        <f>"182,8845"</f>
        <v>182,8845</v>
      </c>
      <c r="M16" s="12" t="s">
        <v>54</v>
      </c>
    </row>
    <row r="17" spans="1:13" x14ac:dyDescent="0.2">
      <c r="A17" s="12" t="s">
        <v>1595</v>
      </c>
      <c r="B17" s="12" t="s">
        <v>1596</v>
      </c>
      <c r="C17" s="12" t="s">
        <v>41</v>
      </c>
      <c r="D17" s="12" t="str">
        <f>"0,6384"</f>
        <v>0,6384</v>
      </c>
      <c r="E17" s="12" t="s">
        <v>18</v>
      </c>
      <c r="F17" s="12" t="s">
        <v>19</v>
      </c>
      <c r="G17" s="17" t="s">
        <v>73</v>
      </c>
      <c r="H17" s="17" t="s">
        <v>255</v>
      </c>
      <c r="I17" s="13" t="s">
        <v>478</v>
      </c>
      <c r="J17" s="13"/>
      <c r="K17" s="12" t="str">
        <f>"285,0"</f>
        <v>285,0</v>
      </c>
      <c r="L17" s="17" t="str">
        <f>"181,9440"</f>
        <v>181,9440</v>
      </c>
      <c r="M17" s="12" t="s">
        <v>548</v>
      </c>
    </row>
    <row r="18" spans="1:13" x14ac:dyDescent="0.2">
      <c r="A18" s="12" t="s">
        <v>1598</v>
      </c>
      <c r="B18" s="12" t="s">
        <v>1599</v>
      </c>
      <c r="C18" s="12" t="s">
        <v>1248</v>
      </c>
      <c r="D18" s="12" t="str">
        <f>"0,6459"</f>
        <v>0,6459</v>
      </c>
      <c r="E18" s="12" t="s">
        <v>18</v>
      </c>
      <c r="F18" s="12" t="s">
        <v>19</v>
      </c>
      <c r="G18" s="17" t="s">
        <v>37</v>
      </c>
      <c r="H18" s="13" t="s">
        <v>73</v>
      </c>
      <c r="I18" s="13"/>
      <c r="J18" s="13"/>
      <c r="K18" s="12" t="str">
        <f>"240,0"</f>
        <v>240,0</v>
      </c>
      <c r="L18" s="17" t="str">
        <f>"155,0160"</f>
        <v>155,0160</v>
      </c>
      <c r="M18" s="12" t="s">
        <v>1600</v>
      </c>
    </row>
    <row r="19" spans="1:13" x14ac:dyDescent="0.2">
      <c r="A19" s="14" t="s">
        <v>1602</v>
      </c>
      <c r="B19" s="14" t="s">
        <v>1603</v>
      </c>
      <c r="C19" s="14" t="s">
        <v>1239</v>
      </c>
      <c r="D19" s="14" t="str">
        <f>"0,6475"</f>
        <v>0,6475</v>
      </c>
      <c r="E19" s="14" t="s">
        <v>18</v>
      </c>
      <c r="F19" s="14" t="s">
        <v>881</v>
      </c>
      <c r="G19" s="15" t="s">
        <v>71</v>
      </c>
      <c r="H19" s="15" t="s">
        <v>77</v>
      </c>
      <c r="I19" s="16" t="s">
        <v>65</v>
      </c>
      <c r="J19" s="16"/>
      <c r="K19" s="14" t="str">
        <f>"260,0"</f>
        <v>260,0</v>
      </c>
      <c r="L19" s="15" t="str">
        <f>"184,6799"</f>
        <v>184,6799</v>
      </c>
      <c r="M19" s="14" t="s">
        <v>1604</v>
      </c>
    </row>
    <row r="21" spans="1:13" ht="15" x14ac:dyDescent="0.2">
      <c r="A21" s="32" t="s">
        <v>55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3" x14ac:dyDescent="0.2">
      <c r="A22" s="9" t="s">
        <v>1605</v>
      </c>
      <c r="B22" s="9" t="s">
        <v>229</v>
      </c>
      <c r="C22" s="9" t="s">
        <v>230</v>
      </c>
      <c r="D22" s="9" t="str">
        <f>"0,6101"</f>
        <v>0,6101</v>
      </c>
      <c r="E22" s="9" t="s">
        <v>18</v>
      </c>
      <c r="F22" s="9" t="s">
        <v>231</v>
      </c>
      <c r="G22" s="10" t="s">
        <v>77</v>
      </c>
      <c r="H22" s="10" t="s">
        <v>214</v>
      </c>
      <c r="I22" s="11" t="s">
        <v>65</v>
      </c>
      <c r="J22" s="11"/>
      <c r="K22" s="9" t="str">
        <f>"270,0"</f>
        <v>270,0</v>
      </c>
      <c r="L22" s="10" t="str">
        <f>"164,7270"</f>
        <v>164,7270</v>
      </c>
      <c r="M22" s="9" t="s">
        <v>233</v>
      </c>
    </row>
    <row r="23" spans="1:13" x14ac:dyDescent="0.2">
      <c r="A23" s="12" t="s">
        <v>1607</v>
      </c>
      <c r="B23" s="12" t="s">
        <v>1608</v>
      </c>
      <c r="C23" s="12" t="s">
        <v>1609</v>
      </c>
      <c r="D23" s="12" t="str">
        <f>"0,6134"</f>
        <v>0,6134</v>
      </c>
      <c r="E23" s="12" t="s">
        <v>18</v>
      </c>
      <c r="F23" s="12" t="s">
        <v>19</v>
      </c>
      <c r="G23" s="17" t="s">
        <v>42</v>
      </c>
      <c r="H23" s="13" t="s">
        <v>37</v>
      </c>
      <c r="I23" s="13" t="s">
        <v>37</v>
      </c>
      <c r="J23" s="13"/>
      <c r="K23" s="12" t="str">
        <f>"190,0"</f>
        <v>190,0</v>
      </c>
      <c r="L23" s="17" t="str">
        <f>"116,5460"</f>
        <v>116,5460</v>
      </c>
      <c r="M23" s="12" t="s">
        <v>221</v>
      </c>
    </row>
    <row r="24" spans="1:13" x14ac:dyDescent="0.2">
      <c r="A24" s="14" t="s">
        <v>1611</v>
      </c>
      <c r="B24" s="14" t="s">
        <v>1612</v>
      </c>
      <c r="C24" s="14" t="s">
        <v>1321</v>
      </c>
      <c r="D24" s="14" t="str">
        <f>"0,6098"</f>
        <v>0,6098</v>
      </c>
      <c r="E24" s="14" t="s">
        <v>18</v>
      </c>
      <c r="F24" s="14" t="s">
        <v>19</v>
      </c>
      <c r="G24" s="15" t="s">
        <v>31</v>
      </c>
      <c r="H24" s="16"/>
      <c r="I24" s="16"/>
      <c r="J24" s="16"/>
      <c r="K24" s="14" t="str">
        <f>"210,0"</f>
        <v>210,0</v>
      </c>
      <c r="L24" s="15" t="str">
        <f>"144,7055"</f>
        <v>144,7055</v>
      </c>
      <c r="M24" s="14" t="s">
        <v>1613</v>
      </c>
    </row>
    <row r="26" spans="1:13" ht="15" x14ac:dyDescent="0.2">
      <c r="A26" s="32" t="s">
        <v>97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3" x14ac:dyDescent="0.2">
      <c r="A27" s="9" t="s">
        <v>1615</v>
      </c>
      <c r="B27" s="9" t="s">
        <v>1616</v>
      </c>
      <c r="C27" s="9" t="s">
        <v>1617</v>
      </c>
      <c r="D27" s="9" t="str">
        <f>"0,5978"</f>
        <v>0,5978</v>
      </c>
      <c r="E27" s="9" t="s">
        <v>18</v>
      </c>
      <c r="F27" s="9" t="s">
        <v>563</v>
      </c>
      <c r="G27" s="10" t="s">
        <v>128</v>
      </c>
      <c r="H27" s="10" t="s">
        <v>220</v>
      </c>
      <c r="I27" s="10" t="s">
        <v>1618</v>
      </c>
      <c r="J27" s="11"/>
      <c r="K27" s="9" t="str">
        <f>"320,0"</f>
        <v>320,0</v>
      </c>
      <c r="L27" s="10" t="str">
        <f>"191,2960"</f>
        <v>191,2960</v>
      </c>
      <c r="M27" s="9" t="s">
        <v>221</v>
      </c>
    </row>
    <row r="28" spans="1:13" x14ac:dyDescent="0.2">
      <c r="A28" s="12" t="s">
        <v>1620</v>
      </c>
      <c r="B28" s="12" t="s">
        <v>1621</v>
      </c>
      <c r="C28" s="12" t="s">
        <v>1404</v>
      </c>
      <c r="D28" s="12" t="str">
        <f>"0,5996"</f>
        <v>0,5996</v>
      </c>
      <c r="E28" s="12" t="s">
        <v>18</v>
      </c>
      <c r="F28" s="12" t="s">
        <v>1280</v>
      </c>
      <c r="G28" s="17" t="s">
        <v>37</v>
      </c>
      <c r="H28" s="17" t="s">
        <v>71</v>
      </c>
      <c r="I28" s="17" t="s">
        <v>102</v>
      </c>
      <c r="J28" s="13"/>
      <c r="K28" s="12" t="str">
        <f>"250,0"</f>
        <v>250,0</v>
      </c>
      <c r="L28" s="17" t="str">
        <f>"149,9000"</f>
        <v>149,9000</v>
      </c>
      <c r="M28" s="12" t="s">
        <v>221</v>
      </c>
    </row>
    <row r="29" spans="1:13" x14ac:dyDescent="0.2">
      <c r="A29" s="12" t="s">
        <v>1622</v>
      </c>
      <c r="B29" s="12" t="s">
        <v>847</v>
      </c>
      <c r="C29" s="12" t="s">
        <v>848</v>
      </c>
      <c r="D29" s="12" t="str">
        <f>"0,5952"</f>
        <v>0,5952</v>
      </c>
      <c r="E29" s="12" t="s">
        <v>18</v>
      </c>
      <c r="F29" s="12" t="s">
        <v>849</v>
      </c>
      <c r="G29" s="13" t="s">
        <v>65</v>
      </c>
      <c r="H29" s="13"/>
      <c r="I29" s="13"/>
      <c r="J29" s="13"/>
      <c r="K29" s="12" t="str">
        <f>"0.00"</f>
        <v>0.00</v>
      </c>
      <c r="L29" s="17" t="str">
        <f>"0,0000"</f>
        <v>0,0000</v>
      </c>
      <c r="M29" s="12" t="s">
        <v>851</v>
      </c>
    </row>
    <row r="30" spans="1:13" x14ac:dyDescent="0.2">
      <c r="A30" s="14" t="s">
        <v>1624</v>
      </c>
      <c r="B30" s="14" t="s">
        <v>1625</v>
      </c>
      <c r="C30" s="14" t="s">
        <v>670</v>
      </c>
      <c r="D30" s="14" t="str">
        <f>"0,5926"</f>
        <v>0,5926</v>
      </c>
      <c r="E30" s="14" t="s">
        <v>18</v>
      </c>
      <c r="F30" s="14" t="s">
        <v>19</v>
      </c>
      <c r="G30" s="15" t="s">
        <v>71</v>
      </c>
      <c r="H30" s="15" t="s">
        <v>77</v>
      </c>
      <c r="I30" s="16" t="s">
        <v>214</v>
      </c>
      <c r="J30" s="16"/>
      <c r="K30" s="14" t="str">
        <f>"260,0"</f>
        <v>260,0</v>
      </c>
      <c r="L30" s="15" t="str">
        <f>"155,6168"</f>
        <v>155,6168</v>
      </c>
      <c r="M30" s="14" t="s">
        <v>130</v>
      </c>
    </row>
    <row r="32" spans="1:13" ht="15" x14ac:dyDescent="0.2">
      <c r="A32" s="32" t="s">
        <v>121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3" x14ac:dyDescent="0.2">
      <c r="A33" s="9" t="s">
        <v>1627</v>
      </c>
      <c r="B33" s="9" t="s">
        <v>1628</v>
      </c>
      <c r="C33" s="9" t="s">
        <v>1629</v>
      </c>
      <c r="D33" s="9" t="str">
        <f>"0,5788"</f>
        <v>0,5788</v>
      </c>
      <c r="E33" s="9" t="s">
        <v>18</v>
      </c>
      <c r="F33" s="9" t="s">
        <v>19</v>
      </c>
      <c r="G33" s="10" t="s">
        <v>421</v>
      </c>
      <c r="H33" s="10" t="s">
        <v>72</v>
      </c>
      <c r="I33" s="10" t="s">
        <v>78</v>
      </c>
      <c r="J33" s="11"/>
      <c r="K33" s="9" t="str">
        <f>"265,0"</f>
        <v>265,0</v>
      </c>
      <c r="L33" s="10" t="str">
        <f>"153,3820"</f>
        <v>153,3820</v>
      </c>
      <c r="M33" s="9" t="s">
        <v>1630</v>
      </c>
    </row>
    <row r="34" spans="1:13" x14ac:dyDescent="0.2">
      <c r="A34" s="14" t="s">
        <v>1632</v>
      </c>
      <c r="B34" s="14" t="s">
        <v>1633</v>
      </c>
      <c r="C34" s="14" t="s">
        <v>1634</v>
      </c>
      <c r="D34" s="14" t="str">
        <f>"0,5737"</f>
        <v>0,5737</v>
      </c>
      <c r="E34" s="14" t="s">
        <v>18</v>
      </c>
      <c r="F34" s="14" t="s">
        <v>19</v>
      </c>
      <c r="G34" s="15" t="s">
        <v>77</v>
      </c>
      <c r="H34" s="15" t="s">
        <v>214</v>
      </c>
      <c r="I34" s="15" t="s">
        <v>60</v>
      </c>
      <c r="J34" s="16"/>
      <c r="K34" s="14" t="str">
        <f>"280,0"</f>
        <v>280,0</v>
      </c>
      <c r="L34" s="15" t="str">
        <f>"171,5593"</f>
        <v>171,5593</v>
      </c>
      <c r="M34" s="14" t="s">
        <v>1635</v>
      </c>
    </row>
    <row r="36" spans="1:13" ht="15" x14ac:dyDescent="0.2">
      <c r="A36" s="32" t="s">
        <v>146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3" x14ac:dyDescent="0.2">
      <c r="A37" s="6" t="s">
        <v>1637</v>
      </c>
      <c r="B37" s="6" t="s">
        <v>1638</v>
      </c>
      <c r="C37" s="6" t="s">
        <v>1639</v>
      </c>
      <c r="D37" s="6" t="str">
        <f>"0,5637"</f>
        <v>0,5637</v>
      </c>
      <c r="E37" s="6" t="s">
        <v>18</v>
      </c>
      <c r="F37" s="6" t="s">
        <v>1280</v>
      </c>
      <c r="G37" s="8" t="s">
        <v>66</v>
      </c>
      <c r="H37" s="8" t="s">
        <v>226</v>
      </c>
      <c r="I37" s="8" t="s">
        <v>129</v>
      </c>
      <c r="J37" s="7"/>
      <c r="K37" s="6" t="str">
        <f>"310,0"</f>
        <v>310,0</v>
      </c>
      <c r="L37" s="8" t="str">
        <f>"180,1642"</f>
        <v>180,1642</v>
      </c>
      <c r="M37" s="6" t="s">
        <v>221</v>
      </c>
    </row>
    <row r="39" spans="1:13" ht="15" x14ac:dyDescent="0.2">
      <c r="E39" s="18" t="s">
        <v>151</v>
      </c>
    </row>
    <row r="40" spans="1:13" ht="15" x14ac:dyDescent="0.2">
      <c r="E40" s="18" t="s">
        <v>152</v>
      </c>
    </row>
    <row r="41" spans="1:13" ht="15" x14ac:dyDescent="0.2">
      <c r="E41" s="18" t="s">
        <v>153</v>
      </c>
    </row>
    <row r="42" spans="1:13" ht="15" x14ac:dyDescent="0.2">
      <c r="E42" s="18" t="s">
        <v>154</v>
      </c>
    </row>
    <row r="43" spans="1:13" ht="15" x14ac:dyDescent="0.2">
      <c r="E43" s="18" t="s">
        <v>154</v>
      </c>
    </row>
    <row r="44" spans="1:13" ht="15" x14ac:dyDescent="0.2">
      <c r="E44" s="18" t="s">
        <v>155</v>
      </c>
    </row>
    <row r="45" spans="1:13" ht="15" x14ac:dyDescent="0.2">
      <c r="E45" s="18"/>
    </row>
    <row r="47" spans="1:13" ht="18" x14ac:dyDescent="0.25">
      <c r="A47" s="19" t="s">
        <v>156</v>
      </c>
      <c r="B47" s="19"/>
    </row>
    <row r="48" spans="1:13" ht="15" x14ac:dyDescent="0.2">
      <c r="A48" s="20" t="s">
        <v>168</v>
      </c>
      <c r="B48" s="20"/>
    </row>
    <row r="49" spans="1:5" ht="14.25" x14ac:dyDescent="0.2">
      <c r="A49" s="22"/>
      <c r="B49" s="23" t="s">
        <v>290</v>
      </c>
    </row>
    <row r="50" spans="1:5" ht="15" x14ac:dyDescent="0.2">
      <c r="A50" s="24" t="s">
        <v>159</v>
      </c>
      <c r="B50" s="24" t="s">
        <v>160</v>
      </c>
      <c r="C50" s="24" t="s">
        <v>161</v>
      </c>
      <c r="D50" s="24" t="s">
        <v>162</v>
      </c>
      <c r="E50" s="24" t="s">
        <v>163</v>
      </c>
    </row>
    <row r="51" spans="1:5" x14ac:dyDescent="0.2">
      <c r="A51" s="21" t="s">
        <v>1563</v>
      </c>
      <c r="B51" s="4" t="s">
        <v>291</v>
      </c>
      <c r="C51" s="4" t="s">
        <v>481</v>
      </c>
      <c r="D51" s="4" t="s">
        <v>281</v>
      </c>
      <c r="E51" s="25" t="s">
        <v>1640</v>
      </c>
    </row>
    <row r="52" spans="1:5" x14ac:dyDescent="0.2">
      <c r="A52" s="21" t="s">
        <v>1568</v>
      </c>
      <c r="B52" s="4" t="s">
        <v>291</v>
      </c>
      <c r="C52" s="4" t="s">
        <v>481</v>
      </c>
      <c r="D52" s="4" t="s">
        <v>94</v>
      </c>
      <c r="E52" s="25" t="s">
        <v>1641</v>
      </c>
    </row>
    <row r="54" spans="1:5" ht="14.25" x14ac:dyDescent="0.2">
      <c r="A54" s="22"/>
      <c r="B54" s="23" t="s">
        <v>1474</v>
      </c>
    </row>
    <row r="55" spans="1:5" ht="15" x14ac:dyDescent="0.2">
      <c r="A55" s="24" t="s">
        <v>159</v>
      </c>
      <c r="B55" s="24" t="s">
        <v>160</v>
      </c>
      <c r="C55" s="24" t="s">
        <v>161</v>
      </c>
      <c r="D55" s="24" t="s">
        <v>162</v>
      </c>
      <c r="E55" s="24" t="s">
        <v>163</v>
      </c>
    </row>
    <row r="56" spans="1:5" x14ac:dyDescent="0.2">
      <c r="A56" s="21" t="s">
        <v>1584</v>
      </c>
      <c r="B56" s="4" t="s">
        <v>471</v>
      </c>
      <c r="C56" s="4" t="s">
        <v>187</v>
      </c>
      <c r="D56" s="4" t="s">
        <v>51</v>
      </c>
      <c r="E56" s="25" t="s">
        <v>1642</v>
      </c>
    </row>
    <row r="58" spans="1:5" ht="14.25" x14ac:dyDescent="0.2">
      <c r="A58" s="22"/>
      <c r="B58" s="23" t="s">
        <v>169</v>
      </c>
    </row>
    <row r="59" spans="1:5" ht="15" x14ac:dyDescent="0.2">
      <c r="A59" s="24" t="s">
        <v>159</v>
      </c>
      <c r="B59" s="24" t="s">
        <v>160</v>
      </c>
      <c r="C59" s="24" t="s">
        <v>161</v>
      </c>
      <c r="D59" s="24" t="s">
        <v>162</v>
      </c>
      <c r="E59" s="24" t="s">
        <v>163</v>
      </c>
    </row>
    <row r="60" spans="1:5" x14ac:dyDescent="0.2">
      <c r="A60" s="21" t="s">
        <v>1614</v>
      </c>
      <c r="B60" s="4" t="s">
        <v>169</v>
      </c>
      <c r="C60" s="4" t="s">
        <v>182</v>
      </c>
      <c r="D60" s="4" t="s">
        <v>1618</v>
      </c>
      <c r="E60" s="25" t="s">
        <v>1643</v>
      </c>
    </row>
    <row r="61" spans="1:5" x14ac:dyDescent="0.2">
      <c r="A61" s="21" t="s">
        <v>1589</v>
      </c>
      <c r="B61" s="4" t="s">
        <v>169</v>
      </c>
      <c r="C61" s="4" t="s">
        <v>187</v>
      </c>
      <c r="D61" s="4" t="s">
        <v>255</v>
      </c>
      <c r="E61" s="25" t="s">
        <v>1644</v>
      </c>
    </row>
    <row r="62" spans="1:5" x14ac:dyDescent="0.2">
      <c r="A62" s="21" t="s">
        <v>1594</v>
      </c>
      <c r="B62" s="4" t="s">
        <v>169</v>
      </c>
      <c r="C62" s="4" t="s">
        <v>187</v>
      </c>
      <c r="D62" s="4" t="s">
        <v>255</v>
      </c>
      <c r="E62" s="25" t="s">
        <v>1645</v>
      </c>
    </row>
    <row r="63" spans="1:5" x14ac:dyDescent="0.2">
      <c r="A63" s="21" t="s">
        <v>227</v>
      </c>
      <c r="B63" s="4" t="s">
        <v>169</v>
      </c>
      <c r="C63" s="4" t="s">
        <v>170</v>
      </c>
      <c r="D63" s="4" t="s">
        <v>214</v>
      </c>
      <c r="E63" s="25" t="s">
        <v>1646</v>
      </c>
    </row>
    <row r="64" spans="1:5" x14ac:dyDescent="0.2">
      <c r="A64" s="21" t="s">
        <v>1597</v>
      </c>
      <c r="B64" s="4" t="s">
        <v>169</v>
      </c>
      <c r="C64" s="4" t="s">
        <v>187</v>
      </c>
      <c r="D64" s="4" t="s">
        <v>37</v>
      </c>
      <c r="E64" s="25" t="s">
        <v>1647</v>
      </c>
    </row>
    <row r="65" spans="1:5" x14ac:dyDescent="0.2">
      <c r="A65" s="21" t="s">
        <v>1626</v>
      </c>
      <c r="B65" s="4" t="s">
        <v>169</v>
      </c>
      <c r="C65" s="4" t="s">
        <v>173</v>
      </c>
      <c r="D65" s="4" t="s">
        <v>78</v>
      </c>
      <c r="E65" s="25" t="s">
        <v>1648</v>
      </c>
    </row>
    <row r="66" spans="1:5" x14ac:dyDescent="0.2">
      <c r="A66" s="21" t="s">
        <v>1572</v>
      </c>
      <c r="B66" s="4" t="s">
        <v>169</v>
      </c>
      <c r="C66" s="4" t="s">
        <v>497</v>
      </c>
      <c r="D66" s="4" t="s">
        <v>397</v>
      </c>
      <c r="E66" s="25" t="s">
        <v>1649</v>
      </c>
    </row>
    <row r="67" spans="1:5" x14ac:dyDescent="0.2">
      <c r="A67" s="21" t="s">
        <v>1619</v>
      </c>
      <c r="B67" s="4" t="s">
        <v>169</v>
      </c>
      <c r="C67" s="4" t="s">
        <v>182</v>
      </c>
      <c r="D67" s="4" t="s">
        <v>102</v>
      </c>
      <c r="E67" s="25" t="s">
        <v>1650</v>
      </c>
    </row>
    <row r="68" spans="1:5" x14ac:dyDescent="0.2">
      <c r="A68" s="21" t="s">
        <v>1576</v>
      </c>
      <c r="B68" s="4" t="s">
        <v>169</v>
      </c>
      <c r="C68" s="4" t="s">
        <v>497</v>
      </c>
      <c r="D68" s="4" t="s">
        <v>31</v>
      </c>
      <c r="E68" s="25" t="s">
        <v>1651</v>
      </c>
    </row>
    <row r="69" spans="1:5" x14ac:dyDescent="0.2">
      <c r="A69" s="21" t="s">
        <v>1606</v>
      </c>
      <c r="B69" s="4" t="s">
        <v>169</v>
      </c>
      <c r="C69" s="4" t="s">
        <v>170</v>
      </c>
      <c r="D69" s="4" t="s">
        <v>42</v>
      </c>
      <c r="E69" s="25" t="s">
        <v>1652</v>
      </c>
    </row>
    <row r="70" spans="1:5" x14ac:dyDescent="0.2">
      <c r="A70" s="21" t="s">
        <v>1580</v>
      </c>
      <c r="B70" s="4" t="s">
        <v>169</v>
      </c>
      <c r="C70" s="4" t="s">
        <v>497</v>
      </c>
      <c r="D70" s="4" t="s">
        <v>24</v>
      </c>
      <c r="E70" s="25" t="s">
        <v>1653</v>
      </c>
    </row>
    <row r="72" spans="1:5" ht="14.25" x14ac:dyDescent="0.2">
      <c r="A72" s="22"/>
      <c r="B72" s="23" t="s">
        <v>158</v>
      </c>
    </row>
    <row r="73" spans="1:5" ht="15" x14ac:dyDescent="0.2">
      <c r="A73" s="24" t="s">
        <v>159</v>
      </c>
      <c r="B73" s="24" t="s">
        <v>160</v>
      </c>
      <c r="C73" s="24" t="s">
        <v>161</v>
      </c>
      <c r="D73" s="24" t="s">
        <v>162</v>
      </c>
      <c r="E73" s="24" t="s">
        <v>163</v>
      </c>
    </row>
    <row r="74" spans="1:5" x14ac:dyDescent="0.2">
      <c r="A74" s="21" t="s">
        <v>1601</v>
      </c>
      <c r="B74" s="4" t="s">
        <v>315</v>
      </c>
      <c r="C74" s="4" t="s">
        <v>187</v>
      </c>
      <c r="D74" s="4" t="s">
        <v>77</v>
      </c>
      <c r="E74" s="25" t="s">
        <v>1654</v>
      </c>
    </row>
    <row r="75" spans="1:5" x14ac:dyDescent="0.2">
      <c r="A75" s="21" t="s">
        <v>1636</v>
      </c>
      <c r="B75" s="4" t="s">
        <v>164</v>
      </c>
      <c r="C75" s="4" t="s">
        <v>294</v>
      </c>
      <c r="D75" s="4" t="s">
        <v>129</v>
      </c>
      <c r="E75" s="25" t="s">
        <v>1655</v>
      </c>
    </row>
    <row r="76" spans="1:5" x14ac:dyDescent="0.2">
      <c r="A76" s="21" t="s">
        <v>1631</v>
      </c>
      <c r="B76" s="4" t="s">
        <v>315</v>
      </c>
      <c r="C76" s="4" t="s">
        <v>173</v>
      </c>
      <c r="D76" s="4" t="s">
        <v>60</v>
      </c>
      <c r="E76" s="25" t="s">
        <v>1656</v>
      </c>
    </row>
    <row r="77" spans="1:5" x14ac:dyDescent="0.2">
      <c r="A77" s="21" t="s">
        <v>1623</v>
      </c>
      <c r="B77" s="4" t="s">
        <v>164</v>
      </c>
      <c r="C77" s="4" t="s">
        <v>182</v>
      </c>
      <c r="D77" s="4" t="s">
        <v>77</v>
      </c>
      <c r="E77" s="25" t="s">
        <v>1657</v>
      </c>
    </row>
    <row r="78" spans="1:5" x14ac:dyDescent="0.2">
      <c r="A78" s="21" t="s">
        <v>1610</v>
      </c>
      <c r="B78" s="4" t="s">
        <v>480</v>
      </c>
      <c r="C78" s="4" t="s">
        <v>170</v>
      </c>
      <c r="D78" s="4" t="s">
        <v>31</v>
      </c>
      <c r="E78" s="25" t="s">
        <v>1658</v>
      </c>
    </row>
  </sheetData>
  <mergeCells count="18">
    <mergeCell ref="M3:M4"/>
    <mergeCell ref="A5:L5"/>
    <mergeCell ref="A9:L9"/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A21:L21"/>
    <mergeCell ref="A26:L26"/>
    <mergeCell ref="A32:L32"/>
    <mergeCell ref="A36:L36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U2"/>
    </sheetView>
  </sheetViews>
  <sheetFormatPr defaultColWidth="9.140625" defaultRowHeight="12.75" x14ac:dyDescent="0.2"/>
  <cols>
    <col min="1" max="1" width="26" style="4" bestFit="1" customWidth="1"/>
    <col min="2" max="2" width="26.28515625" style="4" bestFit="1" customWidth="1"/>
    <col min="3" max="3" width="15.85546875" style="4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1.42578125" style="4" bestFit="1" customWidth="1"/>
    <col min="22" max="16384" width="9.140625" style="3"/>
  </cols>
  <sheetData>
    <row r="1" spans="1:21" s="2" customFormat="1" ht="29.1" customHeight="1" x14ac:dyDescent="0.2">
      <c r="A1" s="36" t="s">
        <v>724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10</v>
      </c>
      <c r="H3" s="34"/>
      <c r="I3" s="34"/>
      <c r="J3" s="34"/>
      <c r="K3" s="34" t="s">
        <v>11</v>
      </c>
      <c r="L3" s="34"/>
      <c r="M3" s="34"/>
      <c r="N3" s="34"/>
      <c r="O3" s="34" t="s">
        <v>12</v>
      </c>
      <c r="P3" s="34"/>
      <c r="Q3" s="34"/>
      <c r="R3" s="34"/>
      <c r="S3" s="34" t="s">
        <v>1</v>
      </c>
      <c r="T3" s="34" t="s">
        <v>3</v>
      </c>
      <c r="U3" s="45" t="s">
        <v>2</v>
      </c>
    </row>
    <row r="4" spans="1:21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5"/>
      <c r="T4" s="35"/>
      <c r="U4" s="46"/>
    </row>
    <row r="5" spans="1:21" ht="15" x14ac:dyDescent="0.2">
      <c r="A5" s="33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x14ac:dyDescent="0.2">
      <c r="A6" s="6" t="s">
        <v>726</v>
      </c>
      <c r="B6" s="6" t="s">
        <v>727</v>
      </c>
      <c r="C6" s="6" t="s">
        <v>728</v>
      </c>
      <c r="D6" s="6" t="str">
        <f>"0,6499"</f>
        <v>0,6499</v>
      </c>
      <c r="E6" s="6" t="s">
        <v>18</v>
      </c>
      <c r="F6" s="6" t="s">
        <v>19</v>
      </c>
      <c r="G6" s="8" t="s">
        <v>36</v>
      </c>
      <c r="H6" s="8" t="s">
        <v>729</v>
      </c>
      <c r="I6" s="8" t="s">
        <v>730</v>
      </c>
      <c r="J6" s="7"/>
      <c r="K6" s="8" t="s">
        <v>74</v>
      </c>
      <c r="L6" s="8" t="s">
        <v>594</v>
      </c>
      <c r="M6" s="8" t="s">
        <v>75</v>
      </c>
      <c r="N6" s="7"/>
      <c r="O6" s="8" t="s">
        <v>53</v>
      </c>
      <c r="P6" s="8" t="s">
        <v>127</v>
      </c>
      <c r="Q6" s="7" t="s">
        <v>31</v>
      </c>
      <c r="R6" s="7"/>
      <c r="S6" s="6" t="str">
        <f>"612,5"</f>
        <v>612,5</v>
      </c>
      <c r="T6" s="8" t="str">
        <f>"398,0638"</f>
        <v>398,0638</v>
      </c>
      <c r="U6" s="6" t="s">
        <v>731</v>
      </c>
    </row>
    <row r="8" spans="1:21" ht="15" x14ac:dyDescent="0.2">
      <c r="E8" s="18" t="s">
        <v>151</v>
      </c>
    </row>
    <row r="9" spans="1:21" ht="15" x14ac:dyDescent="0.2">
      <c r="E9" s="18" t="s">
        <v>152</v>
      </c>
    </row>
    <row r="10" spans="1:21" ht="15" x14ac:dyDescent="0.2">
      <c r="E10" s="18" t="s">
        <v>153</v>
      </c>
    </row>
    <row r="11" spans="1:21" ht="15" x14ac:dyDescent="0.2">
      <c r="E11" s="18" t="s">
        <v>154</v>
      </c>
    </row>
    <row r="12" spans="1:21" ht="15" x14ac:dyDescent="0.2">
      <c r="E12" s="18" t="s">
        <v>154</v>
      </c>
    </row>
    <row r="13" spans="1:21" ht="15" x14ac:dyDescent="0.2">
      <c r="E13" s="18" t="s">
        <v>155</v>
      </c>
    </row>
    <row r="14" spans="1:21" ht="15" x14ac:dyDescent="0.2">
      <c r="E14" s="18"/>
    </row>
    <row r="16" spans="1:21" ht="18" x14ac:dyDescent="0.25">
      <c r="A16" s="19" t="s">
        <v>156</v>
      </c>
      <c r="B16" s="19"/>
    </row>
    <row r="17" spans="1:5" ht="15" x14ac:dyDescent="0.2">
      <c r="A17" s="20" t="s">
        <v>168</v>
      </c>
      <c r="B17" s="20"/>
    </row>
    <row r="18" spans="1:5" ht="14.25" x14ac:dyDescent="0.2">
      <c r="A18" s="22"/>
      <c r="B18" s="23" t="s">
        <v>169</v>
      </c>
    </row>
    <row r="19" spans="1:5" ht="15" x14ac:dyDescent="0.2">
      <c r="A19" s="24" t="s">
        <v>159</v>
      </c>
      <c r="B19" s="24" t="s">
        <v>160</v>
      </c>
      <c r="C19" s="24" t="s">
        <v>161</v>
      </c>
      <c r="D19" s="24" t="s">
        <v>162</v>
      </c>
      <c r="E19" s="24" t="s">
        <v>163</v>
      </c>
    </row>
    <row r="20" spans="1:5" x14ac:dyDescent="0.2">
      <c r="A20" s="21" t="s">
        <v>725</v>
      </c>
      <c r="B20" s="4" t="s">
        <v>169</v>
      </c>
      <c r="C20" s="4" t="s">
        <v>187</v>
      </c>
      <c r="D20" s="4" t="s">
        <v>732</v>
      </c>
      <c r="E20" s="25" t="s">
        <v>733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workbookViewId="0">
      <selection activeCell="F33" sqref="F33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7" style="4" customWidth="1"/>
    <col min="4" max="4" width="8.42578125" style="4" bestFit="1" customWidth="1"/>
    <col min="5" max="5" width="22.7109375" style="4" bestFit="1" customWidth="1"/>
    <col min="6" max="6" width="32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31.140625" style="4" bestFit="1" customWidth="1"/>
    <col min="22" max="16384" width="9.140625" style="3"/>
  </cols>
  <sheetData>
    <row r="1" spans="1:21" s="2" customFormat="1" ht="29.1" customHeight="1" x14ac:dyDescent="0.2">
      <c r="A1" s="36" t="s">
        <v>2134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10</v>
      </c>
      <c r="H3" s="34"/>
      <c r="I3" s="34"/>
      <c r="J3" s="34"/>
      <c r="K3" s="34" t="s">
        <v>11</v>
      </c>
      <c r="L3" s="34"/>
      <c r="M3" s="34"/>
      <c r="N3" s="34"/>
      <c r="O3" s="34" t="s">
        <v>12</v>
      </c>
      <c r="P3" s="34"/>
      <c r="Q3" s="34"/>
      <c r="R3" s="34"/>
      <c r="S3" s="34" t="s">
        <v>1</v>
      </c>
      <c r="T3" s="34" t="s">
        <v>3</v>
      </c>
      <c r="U3" s="45" t="s">
        <v>2</v>
      </c>
    </row>
    <row r="4" spans="1:21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5"/>
      <c r="T4" s="35"/>
      <c r="U4" s="46"/>
    </row>
    <row r="5" spans="1:21" ht="15" x14ac:dyDescent="0.2">
      <c r="A5" s="33" t="s">
        <v>320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x14ac:dyDescent="0.2">
      <c r="A6" s="6" t="s">
        <v>322</v>
      </c>
      <c r="B6" s="6" t="s">
        <v>323</v>
      </c>
      <c r="C6" s="6" t="s">
        <v>324</v>
      </c>
      <c r="D6" s="6" t="str">
        <f>"1,3244"</f>
        <v>1,3244</v>
      </c>
      <c r="E6" s="6" t="s">
        <v>18</v>
      </c>
      <c r="F6" s="6" t="s">
        <v>19</v>
      </c>
      <c r="G6" s="8" t="s">
        <v>325</v>
      </c>
      <c r="H6" s="7" t="s">
        <v>326</v>
      </c>
      <c r="I6" s="8" t="s">
        <v>326</v>
      </c>
      <c r="J6" s="7"/>
      <c r="K6" s="8" t="s">
        <v>327</v>
      </c>
      <c r="L6" s="7" t="s">
        <v>328</v>
      </c>
      <c r="M6" s="7" t="s">
        <v>328</v>
      </c>
      <c r="N6" s="7"/>
      <c r="O6" s="8" t="s">
        <v>283</v>
      </c>
      <c r="P6" s="7" t="s">
        <v>94</v>
      </c>
      <c r="Q6" s="8" t="s">
        <v>95</v>
      </c>
      <c r="R6" s="7"/>
      <c r="S6" s="6" t="str">
        <f>"260,0"</f>
        <v>260,0</v>
      </c>
      <c r="T6" s="8" t="str">
        <f>"344,3440"</f>
        <v>344,3440</v>
      </c>
      <c r="U6" s="6" t="s">
        <v>329</v>
      </c>
    </row>
    <row r="8" spans="1:21" ht="15" x14ac:dyDescent="0.2">
      <c r="A8" s="32" t="s">
        <v>199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x14ac:dyDescent="0.2">
      <c r="A9" s="9" t="s">
        <v>331</v>
      </c>
      <c r="B9" s="9" t="s">
        <v>332</v>
      </c>
      <c r="C9" s="9" t="s">
        <v>333</v>
      </c>
      <c r="D9" s="9" t="str">
        <f>"1,1766"</f>
        <v>1,1766</v>
      </c>
      <c r="E9" s="9" t="s">
        <v>18</v>
      </c>
      <c r="F9" s="9" t="s">
        <v>19</v>
      </c>
      <c r="G9" s="11" t="s">
        <v>283</v>
      </c>
      <c r="H9" s="10" t="s">
        <v>283</v>
      </c>
      <c r="I9" s="11" t="s">
        <v>284</v>
      </c>
      <c r="J9" s="11"/>
      <c r="K9" s="10" t="s">
        <v>334</v>
      </c>
      <c r="L9" s="11" t="s">
        <v>327</v>
      </c>
      <c r="M9" s="11" t="s">
        <v>327</v>
      </c>
      <c r="N9" s="11"/>
      <c r="O9" s="10" t="s">
        <v>335</v>
      </c>
      <c r="P9" s="10" t="s">
        <v>336</v>
      </c>
      <c r="Q9" s="11" t="s">
        <v>337</v>
      </c>
      <c r="R9" s="11"/>
      <c r="S9" s="9" t="str">
        <f>"232,5"</f>
        <v>232,5</v>
      </c>
      <c r="T9" s="10" t="str">
        <f>"273,5595"</f>
        <v>273,5595</v>
      </c>
      <c r="U9" s="9" t="s">
        <v>338</v>
      </c>
    </row>
    <row r="10" spans="1:21" x14ac:dyDescent="0.2">
      <c r="A10" s="12" t="s">
        <v>340</v>
      </c>
      <c r="B10" s="12" t="s">
        <v>341</v>
      </c>
      <c r="C10" s="12" t="s">
        <v>342</v>
      </c>
      <c r="D10" s="12" t="str">
        <f>"1,1816"</f>
        <v>1,1816</v>
      </c>
      <c r="E10" s="12" t="s">
        <v>18</v>
      </c>
      <c r="F10" s="12" t="s">
        <v>19</v>
      </c>
      <c r="G10" s="13" t="s">
        <v>326</v>
      </c>
      <c r="H10" s="17" t="s">
        <v>285</v>
      </c>
      <c r="I10" s="17" t="s">
        <v>266</v>
      </c>
      <c r="J10" s="13"/>
      <c r="K10" s="17" t="s">
        <v>327</v>
      </c>
      <c r="L10" s="17" t="s">
        <v>328</v>
      </c>
      <c r="M10" s="13" t="s">
        <v>343</v>
      </c>
      <c r="N10" s="13"/>
      <c r="O10" s="17" t="s">
        <v>326</v>
      </c>
      <c r="P10" s="17" t="s">
        <v>285</v>
      </c>
      <c r="Q10" s="17" t="s">
        <v>266</v>
      </c>
      <c r="R10" s="13"/>
      <c r="S10" s="12" t="str">
        <f>"280,0"</f>
        <v>280,0</v>
      </c>
      <c r="T10" s="17" t="str">
        <f>"330,8480"</f>
        <v>330,8480</v>
      </c>
      <c r="U10" s="12" t="s">
        <v>344</v>
      </c>
    </row>
    <row r="11" spans="1:21" x14ac:dyDescent="0.2">
      <c r="A11" s="14" t="s">
        <v>345</v>
      </c>
      <c r="B11" s="14" t="s">
        <v>346</v>
      </c>
      <c r="C11" s="14" t="s">
        <v>203</v>
      </c>
      <c r="D11" s="14" t="str">
        <f>"1,1866"</f>
        <v>1,1866</v>
      </c>
      <c r="E11" s="14" t="s">
        <v>347</v>
      </c>
      <c r="F11" s="14" t="s">
        <v>348</v>
      </c>
      <c r="G11" s="16" t="s">
        <v>349</v>
      </c>
      <c r="H11" s="16" t="s">
        <v>349</v>
      </c>
      <c r="I11" s="16" t="s">
        <v>349</v>
      </c>
      <c r="J11" s="16"/>
      <c r="K11" s="16" t="s">
        <v>328</v>
      </c>
      <c r="L11" s="16"/>
      <c r="M11" s="16"/>
      <c r="N11" s="16"/>
      <c r="O11" s="16" t="s">
        <v>52</v>
      </c>
      <c r="P11" s="16"/>
      <c r="Q11" s="16"/>
      <c r="R11" s="16"/>
      <c r="S11" s="14" t="str">
        <f>"0.00"</f>
        <v>0.00</v>
      </c>
      <c r="T11" s="15" t="str">
        <f>"0,0000"</f>
        <v>0,0000</v>
      </c>
      <c r="U11" s="14" t="s">
        <v>350</v>
      </c>
    </row>
    <row r="13" spans="1:21" ht="15" x14ac:dyDescent="0.2">
      <c r="A13" s="32" t="s">
        <v>351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1" x14ac:dyDescent="0.2">
      <c r="A14" s="6" t="s">
        <v>353</v>
      </c>
      <c r="B14" s="6" t="s">
        <v>354</v>
      </c>
      <c r="C14" s="6" t="s">
        <v>355</v>
      </c>
      <c r="D14" s="6" t="str">
        <f>"1,1236"</f>
        <v>1,1236</v>
      </c>
      <c r="E14" s="6" t="s">
        <v>18</v>
      </c>
      <c r="F14" s="6" t="s">
        <v>19</v>
      </c>
      <c r="G14" s="8" t="s">
        <v>326</v>
      </c>
      <c r="H14" s="8" t="s">
        <v>95</v>
      </c>
      <c r="I14" s="7" t="s">
        <v>356</v>
      </c>
      <c r="J14" s="7"/>
      <c r="K14" s="8" t="s">
        <v>328</v>
      </c>
      <c r="L14" s="7" t="s">
        <v>357</v>
      </c>
      <c r="M14" s="7" t="s">
        <v>357</v>
      </c>
      <c r="N14" s="7"/>
      <c r="O14" s="8" t="s">
        <v>284</v>
      </c>
      <c r="P14" s="8" t="s">
        <v>356</v>
      </c>
      <c r="Q14" s="8" t="s">
        <v>281</v>
      </c>
      <c r="R14" s="7"/>
      <c r="S14" s="6" t="str">
        <f>"287,5"</f>
        <v>287,5</v>
      </c>
      <c r="T14" s="8" t="str">
        <f>"382,4734"</f>
        <v>382,4734</v>
      </c>
      <c r="U14" s="6" t="s">
        <v>54</v>
      </c>
    </row>
    <row r="16" spans="1:21" ht="15" x14ac:dyDescent="0.2">
      <c r="A16" s="32" t="s">
        <v>358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1" x14ac:dyDescent="0.2">
      <c r="A17" s="6" t="s">
        <v>360</v>
      </c>
      <c r="B17" s="6" t="s">
        <v>361</v>
      </c>
      <c r="C17" s="6" t="s">
        <v>362</v>
      </c>
      <c r="D17" s="6" t="str">
        <f>"1,0779"</f>
        <v>1,0779</v>
      </c>
      <c r="E17" s="6" t="s">
        <v>18</v>
      </c>
      <c r="F17" s="6" t="s">
        <v>363</v>
      </c>
      <c r="G17" s="8" t="s">
        <v>94</v>
      </c>
      <c r="H17" s="8" t="s">
        <v>356</v>
      </c>
      <c r="I17" s="7" t="s">
        <v>281</v>
      </c>
      <c r="J17" s="7"/>
      <c r="K17" s="8" t="s">
        <v>327</v>
      </c>
      <c r="L17" s="7" t="s">
        <v>364</v>
      </c>
      <c r="M17" s="8" t="s">
        <v>364</v>
      </c>
      <c r="N17" s="7"/>
      <c r="O17" s="8" t="s">
        <v>337</v>
      </c>
      <c r="P17" s="8" t="s">
        <v>94</v>
      </c>
      <c r="Q17" s="7" t="s">
        <v>266</v>
      </c>
      <c r="R17" s="7"/>
      <c r="S17" s="6" t="str">
        <f>"272,5"</f>
        <v>272,5</v>
      </c>
      <c r="T17" s="8" t="str">
        <f>"293,7278"</f>
        <v>293,7278</v>
      </c>
      <c r="U17" s="6" t="s">
        <v>233</v>
      </c>
    </row>
    <row r="19" spans="1:21" ht="15" x14ac:dyDescent="0.2">
      <c r="A19" s="32" t="s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1" x14ac:dyDescent="0.2">
      <c r="A20" s="6" t="s">
        <v>366</v>
      </c>
      <c r="B20" s="6" t="s">
        <v>367</v>
      </c>
      <c r="C20" s="6" t="s">
        <v>368</v>
      </c>
      <c r="D20" s="6" t="str">
        <f>"0,9862"</f>
        <v>0,9862</v>
      </c>
      <c r="E20" s="6" t="s">
        <v>18</v>
      </c>
      <c r="F20" s="6" t="s">
        <v>19</v>
      </c>
      <c r="G20" s="7" t="s">
        <v>95</v>
      </c>
      <c r="H20" s="8" t="s">
        <v>95</v>
      </c>
      <c r="I20" s="7"/>
      <c r="J20" s="7"/>
      <c r="K20" s="8" t="s">
        <v>369</v>
      </c>
      <c r="L20" s="7" t="s">
        <v>370</v>
      </c>
      <c r="M20" s="7"/>
      <c r="N20" s="7"/>
      <c r="O20" s="8" t="s">
        <v>285</v>
      </c>
      <c r="P20" s="8" t="s">
        <v>356</v>
      </c>
      <c r="Q20" s="7"/>
      <c r="R20" s="7"/>
      <c r="S20" s="6" t="str">
        <f>"265,0"</f>
        <v>265,0</v>
      </c>
      <c r="T20" s="8" t="str">
        <f>"261,3430"</f>
        <v>261,3430</v>
      </c>
      <c r="U20" s="6" t="s">
        <v>371</v>
      </c>
    </row>
    <row r="22" spans="1:21" ht="15" x14ac:dyDescent="0.2">
      <c r="A22" s="32" t="s">
        <v>26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1" x14ac:dyDescent="0.2">
      <c r="A23" s="6" t="s">
        <v>373</v>
      </c>
      <c r="B23" s="6" t="s">
        <v>374</v>
      </c>
      <c r="C23" s="6" t="s">
        <v>375</v>
      </c>
      <c r="D23" s="6" t="str">
        <f>"0,8896"</f>
        <v>0,8896</v>
      </c>
      <c r="E23" s="6" t="s">
        <v>18</v>
      </c>
      <c r="F23" s="6" t="s">
        <v>363</v>
      </c>
      <c r="G23" s="8" t="s">
        <v>337</v>
      </c>
      <c r="H23" s="8" t="s">
        <v>94</v>
      </c>
      <c r="I23" s="8" t="s">
        <v>356</v>
      </c>
      <c r="J23" s="7"/>
      <c r="K23" s="8" t="s">
        <v>328</v>
      </c>
      <c r="L23" s="8" t="s">
        <v>357</v>
      </c>
      <c r="M23" s="8" t="s">
        <v>376</v>
      </c>
      <c r="N23" s="7"/>
      <c r="O23" s="8" t="s">
        <v>326</v>
      </c>
      <c r="P23" s="8" t="s">
        <v>285</v>
      </c>
      <c r="Q23" s="8" t="s">
        <v>356</v>
      </c>
      <c r="R23" s="7"/>
      <c r="S23" s="6" t="str">
        <f>"292,5"</f>
        <v>292,5</v>
      </c>
      <c r="T23" s="8" t="str">
        <f>"260,2080"</f>
        <v>260,2080</v>
      </c>
      <c r="U23" s="6" t="s">
        <v>233</v>
      </c>
    </row>
    <row r="25" spans="1:21" ht="15" x14ac:dyDescent="0.2">
      <c r="A25" s="32" t="s">
        <v>358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x14ac:dyDescent="0.2">
      <c r="A26" s="6" t="s">
        <v>378</v>
      </c>
      <c r="B26" s="6" t="s">
        <v>379</v>
      </c>
      <c r="C26" s="6" t="s">
        <v>380</v>
      </c>
      <c r="D26" s="6" t="str">
        <f>"0,7932"</f>
        <v>0,7932</v>
      </c>
      <c r="E26" s="6" t="s">
        <v>18</v>
      </c>
      <c r="F26" s="6" t="s">
        <v>19</v>
      </c>
      <c r="G26" s="8" t="s">
        <v>51</v>
      </c>
      <c r="H26" s="8" t="s">
        <v>381</v>
      </c>
      <c r="I26" s="8" t="s">
        <v>382</v>
      </c>
      <c r="J26" s="7"/>
      <c r="K26" s="8" t="s">
        <v>356</v>
      </c>
      <c r="L26" s="8" t="s">
        <v>33</v>
      </c>
      <c r="M26" s="7" t="s">
        <v>281</v>
      </c>
      <c r="N26" s="7"/>
      <c r="O26" s="7" t="s">
        <v>53</v>
      </c>
      <c r="P26" s="8" t="s">
        <v>53</v>
      </c>
      <c r="Q26" s="8" t="s">
        <v>31</v>
      </c>
      <c r="R26" s="7"/>
      <c r="S26" s="6" t="str">
        <f>"562,5"</f>
        <v>562,5</v>
      </c>
      <c r="T26" s="8" t="str">
        <f>"446,1750"</f>
        <v>446,1750</v>
      </c>
      <c r="U26" s="6" t="s">
        <v>54</v>
      </c>
    </row>
    <row r="28" spans="1:21" ht="15" x14ac:dyDescent="0.2">
      <c r="A28" s="32" t="s">
        <v>13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1" x14ac:dyDescent="0.2">
      <c r="A29" s="6" t="s">
        <v>384</v>
      </c>
      <c r="B29" s="6" t="s">
        <v>385</v>
      </c>
      <c r="C29" s="6" t="s">
        <v>386</v>
      </c>
      <c r="D29" s="6" t="str">
        <f>"0,7360"</f>
        <v>0,7360</v>
      </c>
      <c r="E29" s="6" t="s">
        <v>18</v>
      </c>
      <c r="F29" s="6" t="s">
        <v>387</v>
      </c>
      <c r="G29" s="7" t="s">
        <v>34</v>
      </c>
      <c r="H29" s="8" t="s">
        <v>34</v>
      </c>
      <c r="I29" s="7" t="s">
        <v>52</v>
      </c>
      <c r="J29" s="7"/>
      <c r="K29" s="7" t="s">
        <v>94</v>
      </c>
      <c r="L29" s="8" t="s">
        <v>95</v>
      </c>
      <c r="M29" s="7" t="s">
        <v>388</v>
      </c>
      <c r="N29" s="7"/>
      <c r="O29" s="8" t="s">
        <v>74</v>
      </c>
      <c r="P29" s="8" t="s">
        <v>20</v>
      </c>
      <c r="Q29" s="7" t="s">
        <v>76</v>
      </c>
      <c r="R29" s="7"/>
      <c r="S29" s="6" t="str">
        <f>"390,0"</f>
        <v>390,0</v>
      </c>
      <c r="T29" s="8" t="str">
        <f>"292,7808"</f>
        <v>292,7808</v>
      </c>
      <c r="U29" s="6" t="s">
        <v>389</v>
      </c>
    </row>
    <row r="31" spans="1:21" ht="15" x14ac:dyDescent="0.2">
      <c r="A31" s="32" t="s">
        <v>390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1" x14ac:dyDescent="0.2">
      <c r="A32" s="9" t="s">
        <v>392</v>
      </c>
      <c r="B32" s="9" t="s">
        <v>393</v>
      </c>
      <c r="C32" s="9" t="s">
        <v>394</v>
      </c>
      <c r="D32" s="9" t="str">
        <f>"0,6764"</f>
        <v>0,6764</v>
      </c>
      <c r="E32" s="9" t="s">
        <v>18</v>
      </c>
      <c r="F32" s="9" t="s">
        <v>395</v>
      </c>
      <c r="G32" s="10" t="s">
        <v>135</v>
      </c>
      <c r="H32" s="10" t="s">
        <v>53</v>
      </c>
      <c r="I32" s="11" t="s">
        <v>31</v>
      </c>
      <c r="J32" s="11"/>
      <c r="K32" s="10" t="s">
        <v>33</v>
      </c>
      <c r="L32" s="10" t="s">
        <v>396</v>
      </c>
      <c r="M32" s="10" t="s">
        <v>34</v>
      </c>
      <c r="N32" s="11"/>
      <c r="O32" s="10" t="s">
        <v>42</v>
      </c>
      <c r="P32" s="10" t="s">
        <v>31</v>
      </c>
      <c r="Q32" s="11" t="s">
        <v>397</v>
      </c>
      <c r="R32" s="11"/>
      <c r="S32" s="9" t="str">
        <f>"540,0"</f>
        <v>540,0</v>
      </c>
      <c r="T32" s="10" t="str">
        <f>"365,2560"</f>
        <v>365,2560</v>
      </c>
      <c r="U32" s="9" t="s">
        <v>398</v>
      </c>
    </row>
    <row r="33" spans="1:21" x14ac:dyDescent="0.2">
      <c r="A33" s="14" t="s">
        <v>400</v>
      </c>
      <c r="B33" s="14" t="s">
        <v>401</v>
      </c>
      <c r="C33" s="14" t="s">
        <v>402</v>
      </c>
      <c r="D33" s="14" t="str">
        <f>"0,6910"</f>
        <v>0,6910</v>
      </c>
      <c r="E33" s="14" t="s">
        <v>18</v>
      </c>
      <c r="F33" s="14" t="s">
        <v>19</v>
      </c>
      <c r="G33" s="16" t="s">
        <v>112</v>
      </c>
      <c r="H33" s="15" t="s">
        <v>403</v>
      </c>
      <c r="I33" s="15" t="s">
        <v>49</v>
      </c>
      <c r="J33" s="16"/>
      <c r="K33" s="15" t="s">
        <v>356</v>
      </c>
      <c r="L33" s="15" t="s">
        <v>33</v>
      </c>
      <c r="M33" s="15" t="s">
        <v>43</v>
      </c>
      <c r="N33" s="16"/>
      <c r="O33" s="15" t="s">
        <v>21</v>
      </c>
      <c r="P33" s="15" t="s">
        <v>142</v>
      </c>
      <c r="Q33" s="15" t="s">
        <v>135</v>
      </c>
      <c r="R33" s="16"/>
      <c r="S33" s="14" t="str">
        <f>"490,0"</f>
        <v>490,0</v>
      </c>
      <c r="T33" s="15" t="str">
        <f>"338,5900"</f>
        <v>338,5900</v>
      </c>
      <c r="U33" s="14" t="s">
        <v>404</v>
      </c>
    </row>
    <row r="35" spans="1:21" ht="15" x14ac:dyDescent="0.2">
      <c r="A35" s="32" t="s">
        <v>26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1" x14ac:dyDescent="0.2">
      <c r="A36" s="9" t="s">
        <v>406</v>
      </c>
      <c r="B36" s="9" t="s">
        <v>407</v>
      </c>
      <c r="C36" s="9" t="s">
        <v>408</v>
      </c>
      <c r="D36" s="9" t="str">
        <f>"0,6388"</f>
        <v>0,6388</v>
      </c>
      <c r="E36" s="9" t="s">
        <v>18</v>
      </c>
      <c r="F36" s="9" t="s">
        <v>19</v>
      </c>
      <c r="G36" s="10" t="s">
        <v>53</v>
      </c>
      <c r="H36" s="10" t="s">
        <v>31</v>
      </c>
      <c r="I36" s="11" t="s">
        <v>51</v>
      </c>
      <c r="J36" s="11"/>
      <c r="K36" s="10" t="s">
        <v>356</v>
      </c>
      <c r="L36" s="10" t="s">
        <v>33</v>
      </c>
      <c r="M36" s="11"/>
      <c r="N36" s="11"/>
      <c r="O36" s="10" t="s">
        <v>53</v>
      </c>
      <c r="P36" s="10" t="s">
        <v>51</v>
      </c>
      <c r="Q36" s="10" t="s">
        <v>32</v>
      </c>
      <c r="R36" s="11"/>
      <c r="S36" s="9" t="str">
        <f>"550,0"</f>
        <v>550,0</v>
      </c>
      <c r="T36" s="10" t="str">
        <f>"351,3400"</f>
        <v>351,3400</v>
      </c>
      <c r="U36" s="9" t="s">
        <v>409</v>
      </c>
    </row>
    <row r="37" spans="1:21" x14ac:dyDescent="0.2">
      <c r="A37" s="14" t="s">
        <v>410</v>
      </c>
      <c r="B37" s="14" t="s">
        <v>411</v>
      </c>
      <c r="C37" s="14" t="s">
        <v>41</v>
      </c>
      <c r="D37" s="14" t="str">
        <f>"0,6384"</f>
        <v>0,6384</v>
      </c>
      <c r="E37" s="14" t="s">
        <v>18</v>
      </c>
      <c r="F37" s="14" t="s">
        <v>19</v>
      </c>
      <c r="G37" s="16" t="s">
        <v>31</v>
      </c>
      <c r="H37" s="16" t="s">
        <v>31</v>
      </c>
      <c r="I37" s="16" t="s">
        <v>31</v>
      </c>
      <c r="J37" s="16"/>
      <c r="K37" s="16" t="s">
        <v>35</v>
      </c>
      <c r="L37" s="16"/>
      <c r="M37" s="16"/>
      <c r="N37" s="16"/>
      <c r="O37" s="16" t="s">
        <v>31</v>
      </c>
      <c r="P37" s="16"/>
      <c r="Q37" s="16"/>
      <c r="R37" s="16"/>
      <c r="S37" s="14" t="str">
        <f>"0.00"</f>
        <v>0.00</v>
      </c>
      <c r="T37" s="15" t="str">
        <f>"0,0000"</f>
        <v>0,0000</v>
      </c>
      <c r="U37" s="14" t="s">
        <v>404</v>
      </c>
    </row>
    <row r="39" spans="1:21" ht="15" x14ac:dyDescent="0.2">
      <c r="A39" s="32" t="s">
        <v>55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1" x14ac:dyDescent="0.2">
      <c r="A40" s="9" t="s">
        <v>413</v>
      </c>
      <c r="B40" s="9" t="s">
        <v>414</v>
      </c>
      <c r="C40" s="9" t="s">
        <v>219</v>
      </c>
      <c r="D40" s="9" t="str">
        <f>"0,6086"</f>
        <v>0,6086</v>
      </c>
      <c r="E40" s="9" t="s">
        <v>18</v>
      </c>
      <c r="F40" s="9" t="s">
        <v>415</v>
      </c>
      <c r="G40" s="10" t="s">
        <v>37</v>
      </c>
      <c r="H40" s="10" t="s">
        <v>77</v>
      </c>
      <c r="I40" s="11" t="s">
        <v>60</v>
      </c>
      <c r="J40" s="11"/>
      <c r="K40" s="10" t="s">
        <v>52</v>
      </c>
      <c r="L40" s="10" t="s">
        <v>239</v>
      </c>
      <c r="M40" s="11" t="s">
        <v>21</v>
      </c>
      <c r="N40" s="11"/>
      <c r="O40" s="10" t="s">
        <v>77</v>
      </c>
      <c r="P40" s="10" t="s">
        <v>60</v>
      </c>
      <c r="Q40" s="10" t="s">
        <v>128</v>
      </c>
      <c r="R40" s="11"/>
      <c r="S40" s="9" t="str">
        <f>"715,0"</f>
        <v>715,0</v>
      </c>
      <c r="T40" s="10" t="str">
        <f>"435,1490"</f>
        <v>435,1490</v>
      </c>
      <c r="U40" s="9" t="s">
        <v>416</v>
      </c>
    </row>
    <row r="41" spans="1:21" x14ac:dyDescent="0.2">
      <c r="A41" s="12" t="s">
        <v>418</v>
      </c>
      <c r="B41" s="12" t="s">
        <v>419</v>
      </c>
      <c r="C41" s="12" t="s">
        <v>420</v>
      </c>
      <c r="D41" s="12" t="str">
        <f>"0,6263"</f>
        <v>0,6263</v>
      </c>
      <c r="E41" s="12" t="s">
        <v>18</v>
      </c>
      <c r="F41" s="12" t="s">
        <v>19</v>
      </c>
      <c r="G41" s="17" t="s">
        <v>32</v>
      </c>
      <c r="H41" s="13" t="s">
        <v>421</v>
      </c>
      <c r="I41" s="17" t="s">
        <v>421</v>
      </c>
      <c r="J41" s="13"/>
      <c r="K41" s="17" t="s">
        <v>20</v>
      </c>
      <c r="L41" s="17" t="s">
        <v>21</v>
      </c>
      <c r="M41" s="17" t="s">
        <v>119</v>
      </c>
      <c r="N41" s="13"/>
      <c r="O41" s="17" t="s">
        <v>42</v>
      </c>
      <c r="P41" s="17" t="s">
        <v>31</v>
      </c>
      <c r="Q41" s="17" t="s">
        <v>32</v>
      </c>
      <c r="R41" s="13"/>
      <c r="S41" s="12" t="str">
        <f>"622,5"</f>
        <v>622,5</v>
      </c>
      <c r="T41" s="17" t="str">
        <f>"389,8717"</f>
        <v>389,8717</v>
      </c>
      <c r="U41" s="12" t="s">
        <v>54</v>
      </c>
    </row>
    <row r="42" spans="1:21" x14ac:dyDescent="0.2">
      <c r="A42" s="12" t="s">
        <v>423</v>
      </c>
      <c r="B42" s="12" t="s">
        <v>424</v>
      </c>
      <c r="C42" s="12" t="s">
        <v>425</v>
      </c>
      <c r="D42" s="12" t="str">
        <f>"0,6214"</f>
        <v>0,6214</v>
      </c>
      <c r="E42" s="12" t="s">
        <v>18</v>
      </c>
      <c r="F42" s="12" t="s">
        <v>426</v>
      </c>
      <c r="G42" s="17" t="s">
        <v>135</v>
      </c>
      <c r="H42" s="17" t="s">
        <v>427</v>
      </c>
      <c r="I42" s="13" t="s">
        <v>50</v>
      </c>
      <c r="J42" s="13"/>
      <c r="K42" s="17" t="s">
        <v>74</v>
      </c>
      <c r="L42" s="17" t="s">
        <v>20</v>
      </c>
      <c r="M42" s="17" t="s">
        <v>239</v>
      </c>
      <c r="N42" s="13"/>
      <c r="O42" s="17" t="s">
        <v>42</v>
      </c>
      <c r="P42" s="17" t="s">
        <v>50</v>
      </c>
      <c r="Q42" s="17" t="s">
        <v>31</v>
      </c>
      <c r="R42" s="13"/>
      <c r="S42" s="12" t="str">
        <f>"560,0"</f>
        <v>560,0</v>
      </c>
      <c r="T42" s="17" t="str">
        <f>"347,9840"</f>
        <v>347,9840</v>
      </c>
      <c r="U42" s="12" t="s">
        <v>221</v>
      </c>
    </row>
    <row r="43" spans="1:21" x14ac:dyDescent="0.2">
      <c r="A43" s="12" t="s">
        <v>429</v>
      </c>
      <c r="B43" s="12" t="s">
        <v>430</v>
      </c>
      <c r="C43" s="12" t="s">
        <v>237</v>
      </c>
      <c r="D43" s="12" t="str">
        <f>"0,6158"</f>
        <v>0,6158</v>
      </c>
      <c r="E43" s="12" t="s">
        <v>18</v>
      </c>
      <c r="F43" s="12" t="s">
        <v>19</v>
      </c>
      <c r="G43" s="17" t="s">
        <v>135</v>
      </c>
      <c r="H43" s="13" t="s">
        <v>42</v>
      </c>
      <c r="I43" s="17" t="s">
        <v>42</v>
      </c>
      <c r="J43" s="13"/>
      <c r="K43" s="17" t="s">
        <v>74</v>
      </c>
      <c r="L43" s="13" t="s">
        <v>52</v>
      </c>
      <c r="M43" s="13" t="s">
        <v>52</v>
      </c>
      <c r="N43" s="13"/>
      <c r="O43" s="17" t="s">
        <v>53</v>
      </c>
      <c r="P43" s="17" t="s">
        <v>50</v>
      </c>
      <c r="Q43" s="13" t="s">
        <v>31</v>
      </c>
      <c r="R43" s="13"/>
      <c r="S43" s="12" t="str">
        <f>"535,0"</f>
        <v>535,0</v>
      </c>
      <c r="T43" s="17" t="str">
        <f>"329,4530"</f>
        <v>329,4530</v>
      </c>
      <c r="U43" s="12" t="s">
        <v>404</v>
      </c>
    </row>
    <row r="44" spans="1:21" x14ac:dyDescent="0.2">
      <c r="A44" s="12" t="s">
        <v>432</v>
      </c>
      <c r="B44" s="12" t="s">
        <v>433</v>
      </c>
      <c r="C44" s="12" t="s">
        <v>434</v>
      </c>
      <c r="D44" s="12" t="str">
        <f>"0,6131"</f>
        <v>0,6131</v>
      </c>
      <c r="E44" s="12" t="s">
        <v>18</v>
      </c>
      <c r="F44" s="12" t="s">
        <v>19</v>
      </c>
      <c r="G44" s="17" t="s">
        <v>20</v>
      </c>
      <c r="H44" s="17" t="s">
        <v>119</v>
      </c>
      <c r="I44" s="17" t="s">
        <v>63</v>
      </c>
      <c r="J44" s="13"/>
      <c r="K44" s="17" t="s">
        <v>356</v>
      </c>
      <c r="L44" s="17" t="s">
        <v>33</v>
      </c>
      <c r="M44" s="17" t="s">
        <v>43</v>
      </c>
      <c r="N44" s="13"/>
      <c r="O44" s="17" t="s">
        <v>49</v>
      </c>
      <c r="P44" s="17" t="s">
        <v>427</v>
      </c>
      <c r="Q44" s="17" t="s">
        <v>435</v>
      </c>
      <c r="R44" s="13"/>
      <c r="S44" s="12" t="str">
        <f>"510,0"</f>
        <v>510,0</v>
      </c>
      <c r="T44" s="17" t="str">
        <f>"312,6810"</f>
        <v>312,6810</v>
      </c>
      <c r="U44" s="12" t="s">
        <v>436</v>
      </c>
    </row>
    <row r="45" spans="1:21" x14ac:dyDescent="0.2">
      <c r="A45" s="14" t="s">
        <v>438</v>
      </c>
      <c r="B45" s="14" t="s">
        <v>439</v>
      </c>
      <c r="C45" s="14" t="s">
        <v>440</v>
      </c>
      <c r="D45" s="14" t="str">
        <f>"0,6260"</f>
        <v>0,6260</v>
      </c>
      <c r="E45" s="14" t="s">
        <v>18</v>
      </c>
      <c r="F45" s="14" t="s">
        <v>19</v>
      </c>
      <c r="G45" s="16" t="s">
        <v>52</v>
      </c>
      <c r="H45" s="15" t="s">
        <v>52</v>
      </c>
      <c r="I45" s="16" t="s">
        <v>21</v>
      </c>
      <c r="J45" s="16"/>
      <c r="K45" s="15" t="s">
        <v>326</v>
      </c>
      <c r="L45" s="15" t="s">
        <v>94</v>
      </c>
      <c r="M45" s="16" t="s">
        <v>285</v>
      </c>
      <c r="N45" s="16"/>
      <c r="O45" s="15" t="s">
        <v>76</v>
      </c>
      <c r="P45" s="15" t="s">
        <v>403</v>
      </c>
      <c r="Q45" s="15" t="s">
        <v>63</v>
      </c>
      <c r="R45" s="16"/>
      <c r="S45" s="14" t="str">
        <f>"432,5"</f>
        <v>432,5</v>
      </c>
      <c r="T45" s="15" t="str">
        <f>"276,1599"</f>
        <v>276,1599</v>
      </c>
      <c r="U45" s="14" t="s">
        <v>441</v>
      </c>
    </row>
    <row r="47" spans="1:21" ht="15" x14ac:dyDescent="0.2">
      <c r="A47" s="32" t="s">
        <v>97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1" x14ac:dyDescent="0.2">
      <c r="A48" s="9" t="s">
        <v>443</v>
      </c>
      <c r="B48" s="9" t="s">
        <v>444</v>
      </c>
      <c r="C48" s="9" t="s">
        <v>445</v>
      </c>
      <c r="D48" s="9" t="str">
        <f>"0,5941"</f>
        <v>0,5941</v>
      </c>
      <c r="E48" s="9" t="s">
        <v>18</v>
      </c>
      <c r="F48" s="9" t="s">
        <v>446</v>
      </c>
      <c r="G48" s="10" t="s">
        <v>102</v>
      </c>
      <c r="H48" s="10" t="s">
        <v>78</v>
      </c>
      <c r="I48" s="11" t="s">
        <v>144</v>
      </c>
      <c r="J48" s="11"/>
      <c r="K48" s="10" t="s">
        <v>85</v>
      </c>
      <c r="L48" s="10" t="s">
        <v>21</v>
      </c>
      <c r="M48" s="10" t="s">
        <v>76</v>
      </c>
      <c r="N48" s="11"/>
      <c r="O48" s="10" t="s">
        <v>397</v>
      </c>
      <c r="P48" s="10" t="s">
        <v>421</v>
      </c>
      <c r="Q48" s="10" t="s">
        <v>102</v>
      </c>
      <c r="R48" s="11"/>
      <c r="S48" s="9" t="str">
        <f>"680,0"</f>
        <v>680,0</v>
      </c>
      <c r="T48" s="10" t="str">
        <f>"403,9880"</f>
        <v>403,9880</v>
      </c>
      <c r="U48" s="9" t="s">
        <v>447</v>
      </c>
    </row>
    <row r="49" spans="1:21" x14ac:dyDescent="0.2">
      <c r="A49" s="14" t="s">
        <v>449</v>
      </c>
      <c r="B49" s="14" t="s">
        <v>450</v>
      </c>
      <c r="C49" s="14" t="s">
        <v>111</v>
      </c>
      <c r="D49" s="14" t="str">
        <f>"0,5988"</f>
        <v>0,5988</v>
      </c>
      <c r="E49" s="14" t="s">
        <v>18</v>
      </c>
      <c r="F49" s="14" t="s">
        <v>19</v>
      </c>
      <c r="G49" s="16" t="s">
        <v>37</v>
      </c>
      <c r="H49" s="15" t="s">
        <v>102</v>
      </c>
      <c r="I49" s="16" t="s">
        <v>214</v>
      </c>
      <c r="J49" s="16"/>
      <c r="K49" s="15" t="s">
        <v>21</v>
      </c>
      <c r="L49" s="16" t="s">
        <v>24</v>
      </c>
      <c r="M49" s="16" t="s">
        <v>24</v>
      </c>
      <c r="N49" s="16"/>
      <c r="O49" s="15" t="s">
        <v>32</v>
      </c>
      <c r="P49" s="16" t="s">
        <v>72</v>
      </c>
      <c r="Q49" s="16" t="s">
        <v>72</v>
      </c>
      <c r="R49" s="16"/>
      <c r="S49" s="14" t="str">
        <f>"630,0"</f>
        <v>630,0</v>
      </c>
      <c r="T49" s="15" t="str">
        <f>"377,2440"</f>
        <v>377,2440</v>
      </c>
      <c r="U49" s="14" t="s">
        <v>451</v>
      </c>
    </row>
    <row r="51" spans="1:21" ht="15" x14ac:dyDescent="0.2">
      <c r="A51" s="32" t="s">
        <v>121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1" x14ac:dyDescent="0.2">
      <c r="A52" s="9" t="s">
        <v>453</v>
      </c>
      <c r="B52" s="9" t="s">
        <v>454</v>
      </c>
      <c r="C52" s="9" t="s">
        <v>455</v>
      </c>
      <c r="D52" s="9" t="str">
        <f>"0,5727"</f>
        <v>0,5727</v>
      </c>
      <c r="E52" s="9" t="s">
        <v>18</v>
      </c>
      <c r="F52" s="9" t="s">
        <v>456</v>
      </c>
      <c r="G52" s="10" t="s">
        <v>214</v>
      </c>
      <c r="H52" s="10" t="s">
        <v>66</v>
      </c>
      <c r="I52" s="10" t="s">
        <v>129</v>
      </c>
      <c r="J52" s="11"/>
      <c r="K52" s="10" t="s">
        <v>24</v>
      </c>
      <c r="L52" s="10" t="s">
        <v>49</v>
      </c>
      <c r="M52" s="10" t="s">
        <v>427</v>
      </c>
      <c r="N52" s="11"/>
      <c r="O52" s="10" t="s">
        <v>37</v>
      </c>
      <c r="P52" s="10" t="s">
        <v>77</v>
      </c>
      <c r="Q52" s="10" t="s">
        <v>60</v>
      </c>
      <c r="R52" s="11"/>
      <c r="S52" s="9" t="str">
        <f>"785,0"</f>
        <v>785,0</v>
      </c>
      <c r="T52" s="10" t="str">
        <f>"449,5695"</f>
        <v>449,5695</v>
      </c>
      <c r="U52" s="9" t="s">
        <v>457</v>
      </c>
    </row>
    <row r="53" spans="1:21" x14ac:dyDescent="0.2">
      <c r="A53" s="14" t="s">
        <v>459</v>
      </c>
      <c r="B53" s="14" t="s">
        <v>460</v>
      </c>
      <c r="C53" s="14" t="s">
        <v>461</v>
      </c>
      <c r="D53" s="14" t="str">
        <f>"0,5863"</f>
        <v>0,5863</v>
      </c>
      <c r="E53" s="14" t="s">
        <v>18</v>
      </c>
      <c r="F53" s="14" t="s">
        <v>19</v>
      </c>
      <c r="G53" s="15" t="s">
        <v>32</v>
      </c>
      <c r="H53" s="16" t="s">
        <v>37</v>
      </c>
      <c r="I53" s="16" t="s">
        <v>37</v>
      </c>
      <c r="J53" s="16"/>
      <c r="K53" s="15" t="s">
        <v>74</v>
      </c>
      <c r="L53" s="15" t="s">
        <v>20</v>
      </c>
      <c r="M53" s="15" t="s">
        <v>21</v>
      </c>
      <c r="N53" s="16"/>
      <c r="O53" s="15" t="s">
        <v>50</v>
      </c>
      <c r="P53" s="15" t="s">
        <v>32</v>
      </c>
      <c r="Q53" s="15" t="s">
        <v>36</v>
      </c>
      <c r="R53" s="16"/>
      <c r="S53" s="14" t="str">
        <f>"610,0"</f>
        <v>610,0</v>
      </c>
      <c r="T53" s="15" t="str">
        <f>"373,0217"</f>
        <v>373,0217</v>
      </c>
      <c r="U53" s="14" t="s">
        <v>462</v>
      </c>
    </row>
    <row r="55" spans="1:21" ht="15" x14ac:dyDescent="0.2">
      <c r="A55" s="32" t="s">
        <v>146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1" x14ac:dyDescent="0.2">
      <c r="A56" s="6" t="s">
        <v>464</v>
      </c>
      <c r="B56" s="6" t="s">
        <v>465</v>
      </c>
      <c r="C56" s="6" t="s">
        <v>466</v>
      </c>
      <c r="D56" s="6" t="str">
        <f>"0,5688"</f>
        <v>0,5688</v>
      </c>
      <c r="E56" s="6" t="s">
        <v>18</v>
      </c>
      <c r="F56" s="6" t="s">
        <v>467</v>
      </c>
      <c r="G56" s="8" t="s">
        <v>214</v>
      </c>
      <c r="H56" s="8" t="s">
        <v>60</v>
      </c>
      <c r="I56" s="8" t="s">
        <v>66</v>
      </c>
      <c r="J56" s="7"/>
      <c r="K56" s="8" t="s">
        <v>24</v>
      </c>
      <c r="L56" s="8" t="s">
        <v>135</v>
      </c>
      <c r="M56" s="8" t="s">
        <v>49</v>
      </c>
      <c r="N56" s="7"/>
      <c r="O56" s="8" t="s">
        <v>77</v>
      </c>
      <c r="P56" s="8" t="s">
        <v>214</v>
      </c>
      <c r="Q56" s="7"/>
      <c r="R56" s="7"/>
      <c r="S56" s="6" t="str">
        <f>"745,0"</f>
        <v>745,0</v>
      </c>
      <c r="T56" s="8" t="str">
        <f>"423,7560"</f>
        <v>423,7560</v>
      </c>
      <c r="U56" s="6" t="s">
        <v>54</v>
      </c>
    </row>
    <row r="58" spans="1:21" ht="15" x14ac:dyDescent="0.2">
      <c r="E58" s="18" t="s">
        <v>151</v>
      </c>
    </row>
    <row r="59" spans="1:21" ht="15" x14ac:dyDescent="0.2">
      <c r="E59" s="18" t="s">
        <v>152</v>
      </c>
    </row>
    <row r="60" spans="1:21" ht="15" x14ac:dyDescent="0.2">
      <c r="E60" s="18" t="s">
        <v>153</v>
      </c>
    </row>
    <row r="61" spans="1:21" ht="15" x14ac:dyDescent="0.2">
      <c r="E61" s="18" t="s">
        <v>154</v>
      </c>
    </row>
    <row r="62" spans="1:21" ht="15" x14ac:dyDescent="0.2">
      <c r="E62" s="18" t="s">
        <v>154</v>
      </c>
    </row>
    <row r="63" spans="1:21" ht="15" x14ac:dyDescent="0.2">
      <c r="E63" s="18" t="s">
        <v>155</v>
      </c>
    </row>
    <row r="64" spans="1:21" ht="15" x14ac:dyDescent="0.2">
      <c r="E64" s="18"/>
    </row>
    <row r="66" spans="1:5" ht="18" x14ac:dyDescent="0.25">
      <c r="A66" s="19" t="s">
        <v>156</v>
      </c>
      <c r="B66" s="19"/>
    </row>
    <row r="67" spans="1:5" ht="15" x14ac:dyDescent="0.2">
      <c r="A67" s="20" t="s">
        <v>157</v>
      </c>
      <c r="B67" s="20"/>
    </row>
    <row r="68" spans="1:5" ht="14.25" x14ac:dyDescent="0.2">
      <c r="A68" s="22"/>
      <c r="B68" s="23" t="s">
        <v>468</v>
      </c>
    </row>
    <row r="69" spans="1:5" ht="15" x14ac:dyDescent="0.2">
      <c r="A69" s="24" t="s">
        <v>159</v>
      </c>
      <c r="B69" s="24" t="s">
        <v>160</v>
      </c>
      <c r="C69" s="24" t="s">
        <v>161</v>
      </c>
      <c r="D69" s="24" t="s">
        <v>162</v>
      </c>
      <c r="E69" s="24" t="s">
        <v>163</v>
      </c>
    </row>
    <row r="70" spans="1:5" x14ac:dyDescent="0.2">
      <c r="A70" s="21" t="s">
        <v>330</v>
      </c>
      <c r="B70" s="4" t="s">
        <v>291</v>
      </c>
      <c r="C70" s="4" t="s">
        <v>287</v>
      </c>
      <c r="D70" s="4" t="s">
        <v>382</v>
      </c>
      <c r="E70" s="25" t="s">
        <v>469</v>
      </c>
    </row>
    <row r="72" spans="1:5" ht="14.25" x14ac:dyDescent="0.2">
      <c r="A72" s="22"/>
      <c r="B72" s="23" t="s">
        <v>470</v>
      </c>
    </row>
    <row r="73" spans="1:5" ht="15" x14ac:dyDescent="0.2">
      <c r="A73" s="24" t="s">
        <v>159</v>
      </c>
      <c r="B73" s="24" t="s">
        <v>160</v>
      </c>
      <c r="C73" s="24" t="s">
        <v>161</v>
      </c>
      <c r="D73" s="24" t="s">
        <v>162</v>
      </c>
      <c r="E73" s="24" t="s">
        <v>163</v>
      </c>
    </row>
    <row r="74" spans="1:5" x14ac:dyDescent="0.2">
      <c r="A74" s="21" t="s">
        <v>359</v>
      </c>
      <c r="B74" s="4" t="s">
        <v>471</v>
      </c>
      <c r="C74" s="4" t="s">
        <v>472</v>
      </c>
      <c r="D74" s="4" t="s">
        <v>143</v>
      </c>
      <c r="E74" s="25" t="s">
        <v>473</v>
      </c>
    </row>
    <row r="75" spans="1:5" x14ac:dyDescent="0.2">
      <c r="A75" s="21" t="s">
        <v>365</v>
      </c>
      <c r="B75" s="4" t="s">
        <v>471</v>
      </c>
      <c r="C75" s="4" t="s">
        <v>165</v>
      </c>
      <c r="D75" s="4" t="s">
        <v>78</v>
      </c>
      <c r="E75" s="25" t="s">
        <v>474</v>
      </c>
    </row>
    <row r="77" spans="1:5" ht="14.25" x14ac:dyDescent="0.2">
      <c r="A77" s="22"/>
      <c r="B77" s="23" t="s">
        <v>169</v>
      </c>
    </row>
    <row r="78" spans="1:5" ht="15" x14ac:dyDescent="0.2">
      <c r="A78" s="24" t="s">
        <v>159</v>
      </c>
      <c r="B78" s="24" t="s">
        <v>160</v>
      </c>
      <c r="C78" s="24" t="s">
        <v>161</v>
      </c>
      <c r="D78" s="24" t="s">
        <v>162</v>
      </c>
      <c r="E78" s="24" t="s">
        <v>163</v>
      </c>
    </row>
    <row r="79" spans="1:5" x14ac:dyDescent="0.2">
      <c r="A79" s="21" t="s">
        <v>321</v>
      </c>
      <c r="B79" s="4" t="s">
        <v>169</v>
      </c>
      <c r="C79" s="4" t="s">
        <v>475</v>
      </c>
      <c r="D79" s="4" t="s">
        <v>77</v>
      </c>
      <c r="E79" s="25" t="s">
        <v>476</v>
      </c>
    </row>
    <row r="80" spans="1:5" x14ac:dyDescent="0.2">
      <c r="A80" s="21" t="s">
        <v>339</v>
      </c>
      <c r="B80" s="4" t="s">
        <v>169</v>
      </c>
      <c r="C80" s="4" t="s">
        <v>287</v>
      </c>
      <c r="D80" s="4" t="s">
        <v>60</v>
      </c>
      <c r="E80" s="25" t="s">
        <v>477</v>
      </c>
    </row>
    <row r="81" spans="1:5" x14ac:dyDescent="0.2">
      <c r="A81" s="21" t="s">
        <v>372</v>
      </c>
      <c r="B81" s="4" t="s">
        <v>169</v>
      </c>
      <c r="C81" s="4" t="s">
        <v>187</v>
      </c>
      <c r="D81" s="4" t="s">
        <v>478</v>
      </c>
      <c r="E81" s="25" t="s">
        <v>479</v>
      </c>
    </row>
    <row r="83" spans="1:5" ht="14.25" x14ac:dyDescent="0.2">
      <c r="A83" s="22"/>
      <c r="B83" s="23" t="s">
        <v>158</v>
      </c>
    </row>
    <row r="84" spans="1:5" ht="15" x14ac:dyDescent="0.2">
      <c r="A84" s="24" t="s">
        <v>159</v>
      </c>
      <c r="B84" s="24" t="s">
        <v>160</v>
      </c>
      <c r="C84" s="24" t="s">
        <v>161</v>
      </c>
      <c r="D84" s="24" t="s">
        <v>162</v>
      </c>
      <c r="E84" s="24" t="s">
        <v>163</v>
      </c>
    </row>
    <row r="85" spans="1:5" x14ac:dyDescent="0.2">
      <c r="A85" s="21" t="s">
        <v>352</v>
      </c>
      <c r="B85" s="4" t="s">
        <v>480</v>
      </c>
      <c r="C85" s="4" t="s">
        <v>481</v>
      </c>
      <c r="D85" s="4" t="s">
        <v>482</v>
      </c>
      <c r="E85" s="25" t="s">
        <v>483</v>
      </c>
    </row>
    <row r="88" spans="1:5" ht="15" x14ac:dyDescent="0.2">
      <c r="A88" s="20" t="s">
        <v>168</v>
      </c>
      <c r="B88" s="20"/>
    </row>
    <row r="89" spans="1:5" ht="14.25" x14ac:dyDescent="0.2">
      <c r="A89" s="22"/>
      <c r="B89" s="23" t="s">
        <v>169</v>
      </c>
    </row>
    <row r="90" spans="1:5" ht="15" x14ac:dyDescent="0.2">
      <c r="A90" s="24" t="s">
        <v>159</v>
      </c>
      <c r="B90" s="24" t="s">
        <v>160</v>
      </c>
      <c r="C90" s="24" t="s">
        <v>161</v>
      </c>
      <c r="D90" s="24" t="s">
        <v>162</v>
      </c>
      <c r="E90" s="24" t="s">
        <v>163</v>
      </c>
    </row>
    <row r="91" spans="1:5" x14ac:dyDescent="0.2">
      <c r="A91" s="21" t="s">
        <v>452</v>
      </c>
      <c r="B91" s="4" t="s">
        <v>169</v>
      </c>
      <c r="C91" s="4" t="s">
        <v>173</v>
      </c>
      <c r="D91" s="4" t="s">
        <v>484</v>
      </c>
      <c r="E91" s="25" t="s">
        <v>485</v>
      </c>
    </row>
    <row r="92" spans="1:5" x14ac:dyDescent="0.2">
      <c r="A92" s="21" t="s">
        <v>377</v>
      </c>
      <c r="B92" s="4" t="s">
        <v>169</v>
      </c>
      <c r="C92" s="4" t="s">
        <v>472</v>
      </c>
      <c r="D92" s="4" t="s">
        <v>486</v>
      </c>
      <c r="E92" s="25" t="s">
        <v>487</v>
      </c>
    </row>
    <row r="93" spans="1:5" x14ac:dyDescent="0.2">
      <c r="A93" s="21" t="s">
        <v>412</v>
      </c>
      <c r="B93" s="4" t="s">
        <v>169</v>
      </c>
      <c r="C93" s="4" t="s">
        <v>170</v>
      </c>
      <c r="D93" s="4" t="s">
        <v>488</v>
      </c>
      <c r="E93" s="25" t="s">
        <v>489</v>
      </c>
    </row>
    <row r="94" spans="1:5" x14ac:dyDescent="0.2">
      <c r="A94" s="21" t="s">
        <v>463</v>
      </c>
      <c r="B94" s="4" t="s">
        <v>169</v>
      </c>
      <c r="C94" s="4" t="s">
        <v>294</v>
      </c>
      <c r="D94" s="4" t="s">
        <v>490</v>
      </c>
      <c r="E94" s="25" t="s">
        <v>491</v>
      </c>
    </row>
    <row r="95" spans="1:5" x14ac:dyDescent="0.2">
      <c r="A95" s="21" t="s">
        <v>442</v>
      </c>
      <c r="B95" s="4" t="s">
        <v>169</v>
      </c>
      <c r="C95" s="4" t="s">
        <v>182</v>
      </c>
      <c r="D95" s="4" t="s">
        <v>178</v>
      </c>
      <c r="E95" s="25" t="s">
        <v>492</v>
      </c>
    </row>
    <row r="96" spans="1:5" x14ac:dyDescent="0.2">
      <c r="A96" s="21" t="s">
        <v>417</v>
      </c>
      <c r="B96" s="4" t="s">
        <v>169</v>
      </c>
      <c r="C96" s="4" t="s">
        <v>170</v>
      </c>
      <c r="D96" s="4" t="s">
        <v>493</v>
      </c>
      <c r="E96" s="25" t="s">
        <v>494</v>
      </c>
    </row>
    <row r="97" spans="1:5" x14ac:dyDescent="0.2">
      <c r="A97" s="21" t="s">
        <v>448</v>
      </c>
      <c r="B97" s="4" t="s">
        <v>169</v>
      </c>
      <c r="C97" s="4" t="s">
        <v>182</v>
      </c>
      <c r="D97" s="4" t="s">
        <v>495</v>
      </c>
      <c r="E97" s="25" t="s">
        <v>496</v>
      </c>
    </row>
    <row r="98" spans="1:5" x14ac:dyDescent="0.2">
      <c r="A98" s="21" t="s">
        <v>391</v>
      </c>
      <c r="B98" s="4" t="s">
        <v>169</v>
      </c>
      <c r="C98" s="4" t="s">
        <v>497</v>
      </c>
      <c r="D98" s="4" t="s">
        <v>498</v>
      </c>
      <c r="E98" s="25" t="s">
        <v>499</v>
      </c>
    </row>
    <row r="99" spans="1:5" x14ac:dyDescent="0.2">
      <c r="A99" s="21" t="s">
        <v>405</v>
      </c>
      <c r="B99" s="4" t="s">
        <v>169</v>
      </c>
      <c r="C99" s="4" t="s">
        <v>187</v>
      </c>
      <c r="D99" s="4" t="s">
        <v>500</v>
      </c>
      <c r="E99" s="25" t="s">
        <v>501</v>
      </c>
    </row>
    <row r="100" spans="1:5" x14ac:dyDescent="0.2">
      <c r="A100" s="21" t="s">
        <v>422</v>
      </c>
      <c r="B100" s="4" t="s">
        <v>169</v>
      </c>
      <c r="C100" s="4" t="s">
        <v>170</v>
      </c>
      <c r="D100" s="4" t="s">
        <v>188</v>
      </c>
      <c r="E100" s="25" t="s">
        <v>502</v>
      </c>
    </row>
    <row r="101" spans="1:5" x14ac:dyDescent="0.2">
      <c r="A101" s="21" t="s">
        <v>399</v>
      </c>
      <c r="B101" s="4" t="s">
        <v>169</v>
      </c>
      <c r="C101" s="4" t="s">
        <v>497</v>
      </c>
      <c r="D101" s="4" t="s">
        <v>503</v>
      </c>
      <c r="E101" s="25" t="s">
        <v>504</v>
      </c>
    </row>
    <row r="102" spans="1:5" x14ac:dyDescent="0.2">
      <c r="A102" s="21" t="s">
        <v>428</v>
      </c>
      <c r="B102" s="4" t="s">
        <v>169</v>
      </c>
      <c r="C102" s="4" t="s">
        <v>170</v>
      </c>
      <c r="D102" s="4" t="s">
        <v>505</v>
      </c>
      <c r="E102" s="25" t="s">
        <v>506</v>
      </c>
    </row>
    <row r="103" spans="1:5" x14ac:dyDescent="0.2">
      <c r="A103" s="21" t="s">
        <v>431</v>
      </c>
      <c r="B103" s="4" t="s">
        <v>169</v>
      </c>
      <c r="C103" s="4" t="s">
        <v>170</v>
      </c>
      <c r="D103" s="4" t="s">
        <v>507</v>
      </c>
      <c r="E103" s="25" t="s">
        <v>508</v>
      </c>
    </row>
    <row r="105" spans="1:5" ht="14.25" x14ac:dyDescent="0.2">
      <c r="A105" s="22"/>
      <c r="B105" s="23" t="s">
        <v>158</v>
      </c>
    </row>
    <row r="106" spans="1:5" ht="15" x14ac:dyDescent="0.2">
      <c r="A106" s="24" t="s">
        <v>159</v>
      </c>
      <c r="B106" s="24" t="s">
        <v>160</v>
      </c>
      <c r="C106" s="24" t="s">
        <v>161</v>
      </c>
      <c r="D106" s="24" t="s">
        <v>162</v>
      </c>
      <c r="E106" s="24" t="s">
        <v>163</v>
      </c>
    </row>
    <row r="107" spans="1:5" x14ac:dyDescent="0.2">
      <c r="A107" s="21" t="s">
        <v>458</v>
      </c>
      <c r="B107" s="4" t="s">
        <v>164</v>
      </c>
      <c r="C107" s="4" t="s">
        <v>173</v>
      </c>
      <c r="D107" s="4" t="s">
        <v>509</v>
      </c>
      <c r="E107" s="25" t="s">
        <v>510</v>
      </c>
    </row>
    <row r="108" spans="1:5" x14ac:dyDescent="0.2">
      <c r="A108" s="21" t="s">
        <v>383</v>
      </c>
      <c r="B108" s="4" t="s">
        <v>164</v>
      </c>
      <c r="C108" s="4" t="s">
        <v>165</v>
      </c>
      <c r="D108" s="4" t="s">
        <v>511</v>
      </c>
      <c r="E108" s="25" t="s">
        <v>512</v>
      </c>
    </row>
    <row r="109" spans="1:5" x14ac:dyDescent="0.2">
      <c r="A109" s="21" t="s">
        <v>437</v>
      </c>
      <c r="B109" s="4" t="s">
        <v>164</v>
      </c>
      <c r="C109" s="4" t="s">
        <v>170</v>
      </c>
      <c r="D109" s="4" t="s">
        <v>513</v>
      </c>
      <c r="E109" s="25" t="s">
        <v>514</v>
      </c>
    </row>
  </sheetData>
  <mergeCells count="2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31:T31"/>
    <mergeCell ref="S3:S4"/>
    <mergeCell ref="T3:T4"/>
    <mergeCell ref="U3:U4"/>
    <mergeCell ref="A5:T5"/>
    <mergeCell ref="A8:T8"/>
    <mergeCell ref="A13:T13"/>
    <mergeCell ref="A16:T16"/>
    <mergeCell ref="A19:T19"/>
    <mergeCell ref="A22:T22"/>
    <mergeCell ref="A25:T25"/>
    <mergeCell ref="A28:T28"/>
    <mergeCell ref="A35:T35"/>
    <mergeCell ref="A39:T39"/>
    <mergeCell ref="A47:T47"/>
    <mergeCell ref="A51:T51"/>
    <mergeCell ref="A55:T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workbookViewId="0">
      <selection activeCell="G33" sqref="G33"/>
    </sheetView>
  </sheetViews>
  <sheetFormatPr defaultColWidth="9.140625" defaultRowHeight="12.75" x14ac:dyDescent="0.2"/>
  <cols>
    <col min="1" max="1" width="26" style="4" bestFit="1" customWidth="1"/>
    <col min="2" max="2" width="29.7109375" style="4" bestFit="1" customWidth="1"/>
    <col min="3" max="3" width="17.7109375" style="4" customWidth="1"/>
    <col min="4" max="4" width="8.42578125" style="4" bestFit="1" customWidth="1"/>
    <col min="5" max="5" width="22.7109375" style="4" bestFit="1" customWidth="1"/>
    <col min="6" max="6" width="31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8" width="5.5703125" style="3" bestFit="1" customWidth="1"/>
    <col min="19" max="19" width="7.85546875" style="4" bestFit="1" customWidth="1"/>
    <col min="20" max="20" width="8.5703125" style="3" bestFit="1" customWidth="1"/>
    <col min="21" max="21" width="28.85546875" style="4" bestFit="1" customWidth="1"/>
    <col min="22" max="16384" width="9.140625" style="3"/>
  </cols>
  <sheetData>
    <row r="1" spans="1:21" s="2" customFormat="1" ht="29.1" customHeight="1" x14ac:dyDescent="0.2">
      <c r="A1" s="36" t="s">
        <v>2135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.1" customHeight="1" thickBo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s="1" customFormat="1" ht="12.75" customHeight="1" x14ac:dyDescent="0.2">
      <c r="A3" s="42" t="s">
        <v>0</v>
      </c>
      <c r="B3" s="44" t="s">
        <v>6</v>
      </c>
      <c r="C3" s="44" t="s">
        <v>7</v>
      </c>
      <c r="D3" s="34" t="s">
        <v>9</v>
      </c>
      <c r="E3" s="34" t="s">
        <v>4</v>
      </c>
      <c r="F3" s="34" t="s">
        <v>8</v>
      </c>
      <c r="G3" s="34" t="s">
        <v>10</v>
      </c>
      <c r="H3" s="34"/>
      <c r="I3" s="34"/>
      <c r="J3" s="34"/>
      <c r="K3" s="34" t="s">
        <v>11</v>
      </c>
      <c r="L3" s="34"/>
      <c r="M3" s="34"/>
      <c r="N3" s="34"/>
      <c r="O3" s="34" t="s">
        <v>12</v>
      </c>
      <c r="P3" s="34"/>
      <c r="Q3" s="34"/>
      <c r="R3" s="34"/>
      <c r="S3" s="34" t="s">
        <v>1</v>
      </c>
      <c r="T3" s="34" t="s">
        <v>3</v>
      </c>
      <c r="U3" s="45" t="s">
        <v>2</v>
      </c>
    </row>
    <row r="4" spans="1:21" s="1" customFormat="1" ht="21" customHeight="1" thickBot="1" x14ac:dyDescent="0.25">
      <c r="A4" s="43"/>
      <c r="B4" s="35"/>
      <c r="C4" s="35"/>
      <c r="D4" s="35"/>
      <c r="E4" s="35"/>
      <c r="F4" s="3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5"/>
      <c r="T4" s="35"/>
      <c r="U4" s="46"/>
    </row>
    <row r="5" spans="1:21" ht="15" x14ac:dyDescent="0.2">
      <c r="A5" s="33" t="s">
        <v>515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1" x14ac:dyDescent="0.2">
      <c r="A6" s="6" t="s">
        <v>517</v>
      </c>
      <c r="B6" s="6" t="s">
        <v>518</v>
      </c>
      <c r="C6" s="6" t="s">
        <v>519</v>
      </c>
      <c r="D6" s="6" t="str">
        <f>"1,4316"</f>
        <v>1,4316</v>
      </c>
      <c r="E6" s="6" t="s">
        <v>18</v>
      </c>
      <c r="F6" s="6" t="s">
        <v>19</v>
      </c>
      <c r="G6" s="8" t="s">
        <v>204</v>
      </c>
      <c r="H6" s="7" t="s">
        <v>23</v>
      </c>
      <c r="I6" s="7" t="s">
        <v>23</v>
      </c>
      <c r="J6" s="7"/>
      <c r="K6" s="8" t="s">
        <v>520</v>
      </c>
      <c r="L6" s="8" t="s">
        <v>521</v>
      </c>
      <c r="M6" s="7" t="s">
        <v>369</v>
      </c>
      <c r="N6" s="7"/>
      <c r="O6" s="8" t="s">
        <v>337</v>
      </c>
      <c r="P6" s="8" t="s">
        <v>326</v>
      </c>
      <c r="Q6" s="7" t="s">
        <v>94</v>
      </c>
      <c r="R6" s="7"/>
      <c r="S6" s="6" t="str">
        <f>"205,0"</f>
        <v>205,0</v>
      </c>
      <c r="T6" s="8" t="str">
        <f>"293,4780"</f>
        <v>293,4780</v>
      </c>
      <c r="U6" s="6" t="s">
        <v>256</v>
      </c>
    </row>
    <row r="8" spans="1:21" ht="15" x14ac:dyDescent="0.2">
      <c r="A8" s="32" t="s">
        <v>320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x14ac:dyDescent="0.2">
      <c r="A9" s="9" t="s">
        <v>523</v>
      </c>
      <c r="B9" s="9" t="s">
        <v>524</v>
      </c>
      <c r="C9" s="9" t="s">
        <v>324</v>
      </c>
      <c r="D9" s="9" t="str">
        <f>"1,3244"</f>
        <v>1,3244</v>
      </c>
      <c r="E9" s="9" t="s">
        <v>18</v>
      </c>
      <c r="F9" s="9" t="s">
        <v>19</v>
      </c>
      <c r="G9" s="11" t="s">
        <v>23</v>
      </c>
      <c r="H9" s="11" t="s">
        <v>23</v>
      </c>
      <c r="I9" s="10" t="s">
        <v>23</v>
      </c>
      <c r="J9" s="11"/>
      <c r="K9" s="10" t="s">
        <v>364</v>
      </c>
      <c r="L9" s="10" t="s">
        <v>328</v>
      </c>
      <c r="M9" s="11" t="s">
        <v>343</v>
      </c>
      <c r="N9" s="11"/>
      <c r="O9" s="10" t="s">
        <v>337</v>
      </c>
      <c r="P9" s="11" t="s">
        <v>94</v>
      </c>
      <c r="Q9" s="11" t="s">
        <v>94</v>
      </c>
      <c r="R9" s="11"/>
      <c r="S9" s="9" t="str">
        <f>"225,0"</f>
        <v>225,0</v>
      </c>
      <c r="T9" s="10" t="str">
        <f>"297,9900"</f>
        <v>297,9900</v>
      </c>
      <c r="U9" s="9" t="s">
        <v>525</v>
      </c>
    </row>
    <row r="10" spans="1:21" x14ac:dyDescent="0.2">
      <c r="A10" s="12" t="s">
        <v>526</v>
      </c>
      <c r="B10" s="12" t="s">
        <v>527</v>
      </c>
      <c r="C10" s="12" t="s">
        <v>528</v>
      </c>
      <c r="D10" s="12" t="str">
        <f>"1,3511"</f>
        <v>1,3511</v>
      </c>
      <c r="E10" s="12" t="s">
        <v>347</v>
      </c>
      <c r="F10" s="12" t="s">
        <v>19</v>
      </c>
      <c r="G10" s="17" t="s">
        <v>529</v>
      </c>
      <c r="H10" s="17" t="s">
        <v>23</v>
      </c>
      <c r="I10" s="17" t="s">
        <v>335</v>
      </c>
      <c r="J10" s="13"/>
      <c r="K10" s="17" t="s">
        <v>369</v>
      </c>
      <c r="L10" s="13" t="s">
        <v>370</v>
      </c>
      <c r="M10" s="13" t="s">
        <v>370</v>
      </c>
      <c r="N10" s="13"/>
      <c r="O10" s="13" t="s">
        <v>326</v>
      </c>
      <c r="P10" s="13" t="s">
        <v>326</v>
      </c>
      <c r="Q10" s="13"/>
      <c r="R10" s="13"/>
      <c r="S10" s="12" t="str">
        <f>"0.00"</f>
        <v>0.00</v>
      </c>
      <c r="T10" s="17" t="str">
        <f>"0,0000"</f>
        <v>0,0000</v>
      </c>
      <c r="U10" s="12" t="s">
        <v>54</v>
      </c>
    </row>
    <row r="11" spans="1:21" x14ac:dyDescent="0.2">
      <c r="A11" s="12" t="s">
        <v>531</v>
      </c>
      <c r="B11" s="12" t="s">
        <v>532</v>
      </c>
      <c r="C11" s="12" t="s">
        <v>324</v>
      </c>
      <c r="D11" s="12" t="str">
        <f>"1,3244"</f>
        <v>1,3244</v>
      </c>
      <c r="E11" s="12" t="s">
        <v>18</v>
      </c>
      <c r="F11" s="12" t="s">
        <v>19</v>
      </c>
      <c r="G11" s="13" t="s">
        <v>533</v>
      </c>
      <c r="H11" s="13" t="s">
        <v>533</v>
      </c>
      <c r="I11" s="13" t="s">
        <v>533</v>
      </c>
      <c r="J11" s="13"/>
      <c r="K11" s="13" t="s">
        <v>334</v>
      </c>
      <c r="L11" s="13"/>
      <c r="M11" s="13"/>
      <c r="N11" s="13"/>
      <c r="O11" s="13" t="s">
        <v>285</v>
      </c>
      <c r="P11" s="13"/>
      <c r="Q11" s="13"/>
      <c r="R11" s="13"/>
      <c r="S11" s="12" t="str">
        <f>"0.00"</f>
        <v>0.00</v>
      </c>
      <c r="T11" s="17" t="str">
        <f>"0,0000"</f>
        <v>0,0000</v>
      </c>
      <c r="U11" s="12" t="s">
        <v>534</v>
      </c>
    </row>
    <row r="12" spans="1:21" x14ac:dyDescent="0.2">
      <c r="A12" s="14" t="s">
        <v>535</v>
      </c>
      <c r="B12" s="14" t="s">
        <v>323</v>
      </c>
      <c r="C12" s="14" t="s">
        <v>324</v>
      </c>
      <c r="D12" s="14" t="str">
        <f>"1,3244"</f>
        <v>1,3244</v>
      </c>
      <c r="E12" s="14" t="s">
        <v>18</v>
      </c>
      <c r="F12" s="14" t="s">
        <v>19</v>
      </c>
      <c r="G12" s="16" t="s">
        <v>536</v>
      </c>
      <c r="H12" s="16"/>
      <c r="I12" s="16"/>
      <c r="J12" s="16"/>
      <c r="K12" s="16" t="s">
        <v>327</v>
      </c>
      <c r="L12" s="16"/>
      <c r="M12" s="16"/>
      <c r="N12" s="16"/>
      <c r="O12" s="16" t="s">
        <v>326</v>
      </c>
      <c r="P12" s="16"/>
      <c r="Q12" s="16"/>
      <c r="R12" s="16"/>
      <c r="S12" s="14" t="str">
        <f>"0.00"</f>
        <v>0.00</v>
      </c>
      <c r="T12" s="15" t="str">
        <f>"0,0000"</f>
        <v>0,0000</v>
      </c>
      <c r="U12" s="14" t="s">
        <v>329</v>
      </c>
    </row>
    <row r="14" spans="1:21" ht="15" x14ac:dyDescent="0.2">
      <c r="A14" s="32" t="s">
        <v>537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1" x14ac:dyDescent="0.2">
      <c r="A15" s="6" t="s">
        <v>539</v>
      </c>
      <c r="B15" s="6" t="s">
        <v>540</v>
      </c>
      <c r="C15" s="6" t="s">
        <v>541</v>
      </c>
      <c r="D15" s="6" t="str">
        <f>"1,2504"</f>
        <v>1,2504</v>
      </c>
      <c r="E15" s="6" t="s">
        <v>18</v>
      </c>
      <c r="F15" s="6" t="s">
        <v>542</v>
      </c>
      <c r="G15" s="8" t="s">
        <v>325</v>
      </c>
      <c r="H15" s="7" t="s">
        <v>337</v>
      </c>
      <c r="I15" s="7" t="s">
        <v>337</v>
      </c>
      <c r="J15" s="7"/>
      <c r="K15" s="8" t="s">
        <v>328</v>
      </c>
      <c r="L15" s="7" t="s">
        <v>343</v>
      </c>
      <c r="M15" s="7" t="s">
        <v>343</v>
      </c>
      <c r="N15" s="7"/>
      <c r="O15" s="8" t="s">
        <v>94</v>
      </c>
      <c r="P15" s="8" t="s">
        <v>95</v>
      </c>
      <c r="Q15" s="8" t="s">
        <v>388</v>
      </c>
      <c r="R15" s="7"/>
      <c r="S15" s="6" t="str">
        <f>"262,5"</f>
        <v>262,5</v>
      </c>
      <c r="T15" s="8" t="str">
        <f>"328,2300"</f>
        <v>328,2300</v>
      </c>
      <c r="U15" s="6" t="s">
        <v>543</v>
      </c>
    </row>
    <row r="17" spans="1:21" ht="15" x14ac:dyDescent="0.2">
      <c r="A17" s="32" t="s">
        <v>199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1" x14ac:dyDescent="0.2">
      <c r="A18" s="9" t="s">
        <v>545</v>
      </c>
      <c r="B18" s="9" t="s">
        <v>546</v>
      </c>
      <c r="C18" s="9" t="s">
        <v>547</v>
      </c>
      <c r="D18" s="9" t="str">
        <f>"1,2036"</f>
        <v>1,2036</v>
      </c>
      <c r="E18" s="9" t="s">
        <v>18</v>
      </c>
      <c r="F18" s="9" t="s">
        <v>19</v>
      </c>
      <c r="G18" s="10" t="s">
        <v>533</v>
      </c>
      <c r="H18" s="11" t="s">
        <v>325</v>
      </c>
      <c r="I18" s="10" t="s">
        <v>325</v>
      </c>
      <c r="J18" s="11"/>
      <c r="K18" s="10" t="s">
        <v>370</v>
      </c>
      <c r="L18" s="11" t="s">
        <v>327</v>
      </c>
      <c r="M18" s="11" t="s">
        <v>327</v>
      </c>
      <c r="N18" s="11"/>
      <c r="O18" s="10" t="s">
        <v>34</v>
      </c>
      <c r="P18" s="10" t="s">
        <v>35</v>
      </c>
      <c r="Q18" s="10" t="s">
        <v>349</v>
      </c>
      <c r="R18" s="11"/>
      <c r="S18" s="9" t="str">
        <f>"272,5"</f>
        <v>272,5</v>
      </c>
      <c r="T18" s="10" t="str">
        <f>"327,9810"</f>
        <v>327,9810</v>
      </c>
      <c r="U18" s="9" t="s">
        <v>548</v>
      </c>
    </row>
    <row r="19" spans="1:21" x14ac:dyDescent="0.2">
      <c r="A19" s="12" t="s">
        <v>550</v>
      </c>
      <c r="B19" s="12" t="s">
        <v>551</v>
      </c>
      <c r="C19" s="12" t="s">
        <v>552</v>
      </c>
      <c r="D19" s="12" t="str">
        <f>"1,1849"</f>
        <v>1,1849</v>
      </c>
      <c r="E19" s="12" t="s">
        <v>18</v>
      </c>
      <c r="F19" s="12" t="s">
        <v>553</v>
      </c>
      <c r="G19" s="17" t="s">
        <v>335</v>
      </c>
      <c r="H19" s="17" t="s">
        <v>325</v>
      </c>
      <c r="I19" s="13" t="s">
        <v>337</v>
      </c>
      <c r="J19" s="13"/>
      <c r="K19" s="17" t="s">
        <v>327</v>
      </c>
      <c r="L19" s="13" t="s">
        <v>328</v>
      </c>
      <c r="M19" s="17" t="s">
        <v>328</v>
      </c>
      <c r="N19" s="13"/>
      <c r="O19" s="17" t="s">
        <v>349</v>
      </c>
      <c r="P19" s="13" t="s">
        <v>20</v>
      </c>
      <c r="Q19" s="17" t="s">
        <v>20</v>
      </c>
      <c r="R19" s="17" t="s">
        <v>85</v>
      </c>
      <c r="S19" s="12" t="str">
        <f>"295,0"</f>
        <v>295,0</v>
      </c>
      <c r="T19" s="17" t="str">
        <f>"349,5455"</f>
        <v>349,5455</v>
      </c>
      <c r="U19" s="12" t="s">
        <v>554</v>
      </c>
    </row>
    <row r="20" spans="1:21" x14ac:dyDescent="0.2">
      <c r="A20" s="14" t="s">
        <v>556</v>
      </c>
      <c r="B20" s="14" t="s">
        <v>557</v>
      </c>
      <c r="C20" s="14" t="s">
        <v>333</v>
      </c>
      <c r="D20" s="14" t="str">
        <f>"1,1766"</f>
        <v>1,1766</v>
      </c>
      <c r="E20" s="14" t="s">
        <v>18</v>
      </c>
      <c r="F20" s="14" t="s">
        <v>19</v>
      </c>
      <c r="G20" s="15" t="s">
        <v>326</v>
      </c>
      <c r="H20" s="16" t="s">
        <v>285</v>
      </c>
      <c r="I20" s="15" t="s">
        <v>95</v>
      </c>
      <c r="J20" s="16"/>
      <c r="K20" s="15" t="s">
        <v>343</v>
      </c>
      <c r="L20" s="15" t="s">
        <v>357</v>
      </c>
      <c r="M20" s="15" t="s">
        <v>376</v>
      </c>
      <c r="N20" s="16"/>
      <c r="O20" s="15" t="s">
        <v>94</v>
      </c>
      <c r="P20" s="15" t="s">
        <v>95</v>
      </c>
      <c r="Q20" s="15" t="s">
        <v>356</v>
      </c>
      <c r="R20" s="16"/>
      <c r="S20" s="14" t="str">
        <f>"287,5"</f>
        <v>287,5</v>
      </c>
      <c r="T20" s="15" t="str">
        <f>"338,2725"</f>
        <v>338,2725</v>
      </c>
      <c r="U20" s="14" t="s">
        <v>558</v>
      </c>
    </row>
    <row r="22" spans="1:21" ht="15" x14ac:dyDescent="0.2">
      <c r="A22" s="32" t="s">
        <v>351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1" x14ac:dyDescent="0.2">
      <c r="A23" s="9" t="s">
        <v>560</v>
      </c>
      <c r="B23" s="9" t="s">
        <v>561</v>
      </c>
      <c r="C23" s="9" t="s">
        <v>562</v>
      </c>
      <c r="D23" s="9" t="str">
        <f>"1,1221"</f>
        <v>1,1221</v>
      </c>
      <c r="E23" s="9" t="s">
        <v>18</v>
      </c>
      <c r="F23" s="9" t="s">
        <v>563</v>
      </c>
      <c r="G23" s="10" t="s">
        <v>328</v>
      </c>
      <c r="H23" s="10" t="s">
        <v>376</v>
      </c>
      <c r="I23" s="10" t="s">
        <v>564</v>
      </c>
      <c r="J23" s="11"/>
      <c r="K23" s="10" t="s">
        <v>343</v>
      </c>
      <c r="L23" s="10" t="s">
        <v>22</v>
      </c>
      <c r="M23" s="11" t="s">
        <v>529</v>
      </c>
      <c r="N23" s="11"/>
      <c r="O23" s="10" t="s">
        <v>335</v>
      </c>
      <c r="P23" s="11" t="s">
        <v>325</v>
      </c>
      <c r="Q23" s="11" t="s">
        <v>325</v>
      </c>
      <c r="R23" s="11"/>
      <c r="S23" s="9" t="str">
        <f>"217,5"</f>
        <v>217,5</v>
      </c>
      <c r="T23" s="10" t="str">
        <f>"244,0567"</f>
        <v>244,0567</v>
      </c>
      <c r="U23" s="9" t="s">
        <v>404</v>
      </c>
    </row>
    <row r="24" spans="1:21" x14ac:dyDescent="0.2">
      <c r="A24" s="12" t="s">
        <v>566</v>
      </c>
      <c r="B24" s="12" t="s">
        <v>567</v>
      </c>
      <c r="C24" s="12" t="s">
        <v>355</v>
      </c>
      <c r="D24" s="12" t="str">
        <f>"1,1236"</f>
        <v>1,1236</v>
      </c>
      <c r="E24" s="12" t="s">
        <v>18</v>
      </c>
      <c r="F24" s="12" t="s">
        <v>19</v>
      </c>
      <c r="G24" s="17" t="s">
        <v>337</v>
      </c>
      <c r="H24" s="17" t="s">
        <v>94</v>
      </c>
      <c r="I24" s="17" t="s">
        <v>95</v>
      </c>
      <c r="J24" s="13"/>
      <c r="K24" s="17" t="s">
        <v>343</v>
      </c>
      <c r="L24" s="13" t="s">
        <v>357</v>
      </c>
      <c r="M24" s="13" t="s">
        <v>357</v>
      </c>
      <c r="N24" s="13"/>
      <c r="O24" s="17" t="s">
        <v>94</v>
      </c>
      <c r="P24" s="17" t="s">
        <v>266</v>
      </c>
      <c r="Q24" s="17" t="s">
        <v>388</v>
      </c>
      <c r="R24" s="13"/>
      <c r="S24" s="12" t="str">
        <f>"285,0"</f>
        <v>285,0</v>
      </c>
      <c r="T24" s="17" t="str">
        <f>"320,2260"</f>
        <v>320,2260</v>
      </c>
      <c r="U24" s="12" t="s">
        <v>568</v>
      </c>
    </row>
    <row r="25" spans="1:21" x14ac:dyDescent="0.2">
      <c r="A25" s="14" t="s">
        <v>570</v>
      </c>
      <c r="B25" s="14" t="s">
        <v>571</v>
      </c>
      <c r="C25" s="14" t="s">
        <v>572</v>
      </c>
      <c r="D25" s="14" t="str">
        <f>"1,1192"</f>
        <v>1,1192</v>
      </c>
      <c r="E25" s="14" t="s">
        <v>18</v>
      </c>
      <c r="F25" s="14" t="s">
        <v>19</v>
      </c>
      <c r="G25" s="15" t="s">
        <v>337</v>
      </c>
      <c r="H25" s="16" t="s">
        <v>326</v>
      </c>
      <c r="I25" s="16" t="s">
        <v>326</v>
      </c>
      <c r="J25" s="16"/>
      <c r="K25" s="15" t="s">
        <v>328</v>
      </c>
      <c r="L25" s="16" t="s">
        <v>357</v>
      </c>
      <c r="M25" s="16" t="s">
        <v>357</v>
      </c>
      <c r="N25" s="16"/>
      <c r="O25" s="15" t="s">
        <v>34</v>
      </c>
      <c r="P25" s="16" t="s">
        <v>35</v>
      </c>
      <c r="Q25" s="16" t="s">
        <v>35</v>
      </c>
      <c r="R25" s="16"/>
      <c r="S25" s="14" t="str">
        <f>"280,0"</f>
        <v>280,0</v>
      </c>
      <c r="T25" s="15" t="str">
        <f>"313,3760"</f>
        <v>313,3760</v>
      </c>
      <c r="U25" s="14" t="s">
        <v>548</v>
      </c>
    </row>
    <row r="27" spans="1:21" ht="15" x14ac:dyDescent="0.2">
      <c r="A27" s="32" t="s">
        <v>358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1" x14ac:dyDescent="0.2">
      <c r="A28" s="9" t="s">
        <v>574</v>
      </c>
      <c r="B28" s="9" t="s">
        <v>575</v>
      </c>
      <c r="C28" s="9" t="s">
        <v>576</v>
      </c>
      <c r="D28" s="9" t="str">
        <f>"1,0239"</f>
        <v>1,0239</v>
      </c>
      <c r="E28" s="9" t="s">
        <v>18</v>
      </c>
      <c r="F28" s="9" t="s">
        <v>19</v>
      </c>
      <c r="G28" s="10" t="s">
        <v>370</v>
      </c>
      <c r="H28" s="10" t="s">
        <v>364</v>
      </c>
      <c r="I28" s="10" t="s">
        <v>357</v>
      </c>
      <c r="J28" s="11"/>
      <c r="K28" s="10" t="s">
        <v>520</v>
      </c>
      <c r="L28" s="10" t="s">
        <v>521</v>
      </c>
      <c r="M28" s="11" t="s">
        <v>369</v>
      </c>
      <c r="N28" s="11"/>
      <c r="O28" s="10" t="s">
        <v>564</v>
      </c>
      <c r="P28" s="10" t="s">
        <v>335</v>
      </c>
      <c r="Q28" s="11"/>
      <c r="R28" s="11"/>
      <c r="S28" s="9" t="str">
        <f>"177,5"</f>
        <v>177,5</v>
      </c>
      <c r="T28" s="10" t="str">
        <f>"181,7423"</f>
        <v>181,7423</v>
      </c>
      <c r="U28" s="9" t="s">
        <v>577</v>
      </c>
    </row>
    <row r="29" spans="1:21" x14ac:dyDescent="0.2">
      <c r="A29" s="14" t="s">
        <v>579</v>
      </c>
      <c r="B29" s="14" t="s">
        <v>580</v>
      </c>
      <c r="C29" s="14" t="s">
        <v>581</v>
      </c>
      <c r="D29" s="14" t="str">
        <f>"1,0272"</f>
        <v>1,0272</v>
      </c>
      <c r="E29" s="14" t="s">
        <v>18</v>
      </c>
      <c r="F29" s="14" t="s">
        <v>19</v>
      </c>
      <c r="G29" s="16" t="s">
        <v>529</v>
      </c>
      <c r="H29" s="16" t="s">
        <v>529</v>
      </c>
      <c r="I29" s="16" t="s">
        <v>529</v>
      </c>
      <c r="J29" s="16"/>
      <c r="K29" s="16" t="s">
        <v>370</v>
      </c>
      <c r="L29" s="16"/>
      <c r="M29" s="16"/>
      <c r="N29" s="16"/>
      <c r="O29" s="16" t="s">
        <v>34</v>
      </c>
      <c r="P29" s="16"/>
      <c r="Q29" s="16"/>
      <c r="R29" s="16"/>
      <c r="S29" s="14" t="str">
        <f>"0.00"</f>
        <v>0.00</v>
      </c>
      <c r="T29" s="15" t="str">
        <f>"0,0000"</f>
        <v>0,0000</v>
      </c>
      <c r="U29" s="14" t="s">
        <v>548</v>
      </c>
    </row>
    <row r="31" spans="1:21" ht="15" x14ac:dyDescent="0.2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1" x14ac:dyDescent="0.2">
      <c r="A32" s="6" t="s">
        <v>583</v>
      </c>
      <c r="B32" s="6" t="s">
        <v>584</v>
      </c>
      <c r="C32" s="6" t="s">
        <v>585</v>
      </c>
      <c r="D32" s="6" t="str">
        <f>"0,8826"</f>
        <v>0,8826</v>
      </c>
      <c r="E32" s="6" t="s">
        <v>18</v>
      </c>
      <c r="F32" s="6" t="s">
        <v>19</v>
      </c>
      <c r="G32" s="8" t="s">
        <v>43</v>
      </c>
      <c r="H32" s="8" t="s">
        <v>35</v>
      </c>
      <c r="I32" s="7" t="s">
        <v>52</v>
      </c>
      <c r="J32" s="7"/>
      <c r="K32" s="7" t="s">
        <v>357</v>
      </c>
      <c r="L32" s="7" t="s">
        <v>357</v>
      </c>
      <c r="M32" s="8" t="s">
        <v>357</v>
      </c>
      <c r="N32" s="7"/>
      <c r="O32" s="8" t="s">
        <v>43</v>
      </c>
      <c r="P32" s="8" t="s">
        <v>35</v>
      </c>
      <c r="Q32" s="7" t="s">
        <v>20</v>
      </c>
      <c r="R32" s="7"/>
      <c r="S32" s="6" t="str">
        <f>"330,0"</f>
        <v>330,0</v>
      </c>
      <c r="T32" s="8" t="str">
        <f>"291,2580"</f>
        <v>291,2580</v>
      </c>
      <c r="U32" s="6" t="s">
        <v>404</v>
      </c>
    </row>
    <row r="34" spans="1:21" ht="15" x14ac:dyDescent="0.2">
      <c r="A34" s="32" t="s">
        <v>358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1" x14ac:dyDescent="0.2">
      <c r="A35" s="9" t="s">
        <v>587</v>
      </c>
      <c r="B35" s="9" t="s">
        <v>588</v>
      </c>
      <c r="C35" s="9" t="s">
        <v>589</v>
      </c>
      <c r="D35" s="9" t="str">
        <f>"0,8067"</f>
        <v>0,8067</v>
      </c>
      <c r="E35" s="9" t="s">
        <v>18</v>
      </c>
      <c r="F35" s="9" t="s">
        <v>19</v>
      </c>
      <c r="G35" s="10" t="s">
        <v>326</v>
      </c>
      <c r="H35" s="10" t="s">
        <v>356</v>
      </c>
      <c r="I35" s="10" t="s">
        <v>43</v>
      </c>
      <c r="J35" s="11"/>
      <c r="K35" s="10" t="s">
        <v>23</v>
      </c>
      <c r="L35" s="10" t="s">
        <v>533</v>
      </c>
      <c r="M35" s="11" t="s">
        <v>336</v>
      </c>
      <c r="N35" s="11"/>
      <c r="O35" s="10" t="s">
        <v>326</v>
      </c>
      <c r="P35" s="10" t="s">
        <v>95</v>
      </c>
      <c r="Q35" s="10" t="s">
        <v>356</v>
      </c>
      <c r="R35" s="11"/>
      <c r="S35" s="9" t="str">
        <f>"325,0"</f>
        <v>325,0</v>
      </c>
      <c r="T35" s="10" t="str">
        <f>"262,1775"</f>
        <v>262,1775</v>
      </c>
      <c r="U35" s="9" t="s">
        <v>404</v>
      </c>
    </row>
    <row r="36" spans="1:21" x14ac:dyDescent="0.2">
      <c r="A36" s="14" t="s">
        <v>591</v>
      </c>
      <c r="B36" s="14" t="s">
        <v>592</v>
      </c>
      <c r="C36" s="14" t="s">
        <v>593</v>
      </c>
      <c r="D36" s="14" t="str">
        <f>"0,7775"</f>
        <v>0,7775</v>
      </c>
      <c r="E36" s="14" t="s">
        <v>18</v>
      </c>
      <c r="F36" s="14" t="s">
        <v>19</v>
      </c>
      <c r="G36" s="15" t="s">
        <v>74</v>
      </c>
      <c r="H36" s="15" t="s">
        <v>594</v>
      </c>
      <c r="I36" s="15" t="s">
        <v>85</v>
      </c>
      <c r="J36" s="16"/>
      <c r="K36" s="15" t="s">
        <v>95</v>
      </c>
      <c r="L36" s="16" t="s">
        <v>356</v>
      </c>
      <c r="M36" s="16" t="s">
        <v>388</v>
      </c>
      <c r="N36" s="16"/>
      <c r="O36" s="15" t="s">
        <v>74</v>
      </c>
      <c r="P36" s="15" t="s">
        <v>52</v>
      </c>
      <c r="Q36" s="15" t="s">
        <v>594</v>
      </c>
      <c r="R36" s="16"/>
      <c r="S36" s="14" t="str">
        <f>"410,0"</f>
        <v>410,0</v>
      </c>
      <c r="T36" s="15" t="str">
        <f>"336,3076"</f>
        <v>336,3076</v>
      </c>
      <c r="U36" s="14" t="s">
        <v>54</v>
      </c>
    </row>
    <row r="38" spans="1:21" ht="15" x14ac:dyDescent="0.2">
      <c r="A38" s="32" t="s">
        <v>13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1" x14ac:dyDescent="0.2">
      <c r="A39" s="9" t="s">
        <v>596</v>
      </c>
      <c r="B39" s="9" t="s">
        <v>597</v>
      </c>
      <c r="C39" s="9" t="s">
        <v>598</v>
      </c>
      <c r="D39" s="9" t="str">
        <f>"0,7139"</f>
        <v>0,7139</v>
      </c>
      <c r="E39" s="9" t="s">
        <v>18</v>
      </c>
      <c r="F39" s="9" t="s">
        <v>19</v>
      </c>
      <c r="G39" s="10" t="s">
        <v>326</v>
      </c>
      <c r="H39" s="10" t="s">
        <v>356</v>
      </c>
      <c r="I39" s="10" t="s">
        <v>33</v>
      </c>
      <c r="J39" s="11"/>
      <c r="K39" s="10" t="s">
        <v>599</v>
      </c>
      <c r="L39" s="11" t="s">
        <v>336</v>
      </c>
      <c r="M39" s="11" t="s">
        <v>336</v>
      </c>
      <c r="N39" s="11"/>
      <c r="O39" s="10" t="s">
        <v>35</v>
      </c>
      <c r="P39" s="11" t="s">
        <v>594</v>
      </c>
      <c r="Q39" s="10" t="s">
        <v>85</v>
      </c>
      <c r="R39" s="11"/>
      <c r="S39" s="9" t="str">
        <f>"350,0"</f>
        <v>350,0</v>
      </c>
      <c r="T39" s="10" t="str">
        <f>"249,8650"</f>
        <v>249,8650</v>
      </c>
      <c r="U39" s="9" t="s">
        <v>600</v>
      </c>
    </row>
    <row r="40" spans="1:21" x14ac:dyDescent="0.2">
      <c r="A40" s="12" t="s">
        <v>602</v>
      </c>
      <c r="B40" s="12" t="s">
        <v>603</v>
      </c>
      <c r="C40" s="12" t="s">
        <v>604</v>
      </c>
      <c r="D40" s="12" t="str">
        <f>"0,7132"</f>
        <v>0,7132</v>
      </c>
      <c r="E40" s="12" t="s">
        <v>18</v>
      </c>
      <c r="F40" s="12" t="s">
        <v>348</v>
      </c>
      <c r="G40" s="17" t="s">
        <v>42</v>
      </c>
      <c r="H40" s="13" t="s">
        <v>31</v>
      </c>
      <c r="I40" s="17" t="s">
        <v>51</v>
      </c>
      <c r="J40" s="13"/>
      <c r="K40" s="17" t="s">
        <v>33</v>
      </c>
      <c r="L40" s="17" t="s">
        <v>396</v>
      </c>
      <c r="M40" s="17" t="s">
        <v>282</v>
      </c>
      <c r="N40" s="13"/>
      <c r="O40" s="17" t="s">
        <v>53</v>
      </c>
      <c r="P40" s="17" t="s">
        <v>605</v>
      </c>
      <c r="Q40" s="13" t="s">
        <v>397</v>
      </c>
      <c r="R40" s="13"/>
      <c r="S40" s="12" t="str">
        <f>"565,0"</f>
        <v>565,0</v>
      </c>
      <c r="T40" s="17" t="str">
        <f>"402,9580"</f>
        <v>402,9580</v>
      </c>
      <c r="U40" s="12" t="s">
        <v>606</v>
      </c>
    </row>
    <row r="41" spans="1:21" x14ac:dyDescent="0.2">
      <c r="A41" s="12" t="s">
        <v>608</v>
      </c>
      <c r="B41" s="12" t="s">
        <v>609</v>
      </c>
      <c r="C41" s="12" t="s">
        <v>604</v>
      </c>
      <c r="D41" s="12" t="str">
        <f>"0,7132"</f>
        <v>0,7132</v>
      </c>
      <c r="E41" s="12" t="s">
        <v>18</v>
      </c>
      <c r="F41" s="12" t="s">
        <v>610</v>
      </c>
      <c r="G41" s="13" t="s">
        <v>135</v>
      </c>
      <c r="H41" s="17" t="s">
        <v>135</v>
      </c>
      <c r="I41" s="13" t="s">
        <v>42</v>
      </c>
      <c r="J41" s="13"/>
      <c r="K41" s="13" t="s">
        <v>356</v>
      </c>
      <c r="L41" s="17" t="s">
        <v>356</v>
      </c>
      <c r="M41" s="13" t="s">
        <v>33</v>
      </c>
      <c r="N41" s="13"/>
      <c r="O41" s="17" t="s">
        <v>53</v>
      </c>
      <c r="P41" s="13" t="s">
        <v>31</v>
      </c>
      <c r="Q41" s="13" t="s">
        <v>31</v>
      </c>
      <c r="R41" s="13"/>
      <c r="S41" s="12" t="str">
        <f>"495,0"</f>
        <v>495,0</v>
      </c>
      <c r="T41" s="17" t="str">
        <f>"353,0340"</f>
        <v>353,0340</v>
      </c>
      <c r="U41" s="12" t="s">
        <v>611</v>
      </c>
    </row>
    <row r="42" spans="1:21" x14ac:dyDescent="0.2">
      <c r="A42" s="12" t="s">
        <v>613</v>
      </c>
      <c r="B42" s="12" t="s">
        <v>614</v>
      </c>
      <c r="C42" s="12" t="s">
        <v>615</v>
      </c>
      <c r="D42" s="12" t="str">
        <f>"0,7173"</f>
        <v>0,7173</v>
      </c>
      <c r="E42" s="12" t="s">
        <v>18</v>
      </c>
      <c r="F42" s="12" t="s">
        <v>616</v>
      </c>
      <c r="G42" s="17" t="s">
        <v>43</v>
      </c>
      <c r="H42" s="17" t="s">
        <v>35</v>
      </c>
      <c r="I42" s="13" t="s">
        <v>74</v>
      </c>
      <c r="J42" s="13"/>
      <c r="K42" s="17" t="s">
        <v>337</v>
      </c>
      <c r="L42" s="17" t="s">
        <v>284</v>
      </c>
      <c r="M42" s="13" t="s">
        <v>285</v>
      </c>
      <c r="N42" s="13"/>
      <c r="O42" s="17" t="s">
        <v>21</v>
      </c>
      <c r="P42" s="17" t="s">
        <v>142</v>
      </c>
      <c r="Q42" s="17" t="s">
        <v>403</v>
      </c>
      <c r="R42" s="13"/>
      <c r="S42" s="12" t="str">
        <f>"415,0"</f>
        <v>415,0</v>
      </c>
      <c r="T42" s="17" t="str">
        <f>"297,6795"</f>
        <v>297,6795</v>
      </c>
      <c r="U42" s="12" t="s">
        <v>404</v>
      </c>
    </row>
    <row r="43" spans="1:21" x14ac:dyDescent="0.2">
      <c r="A43" s="14" t="s">
        <v>618</v>
      </c>
      <c r="B43" s="14" t="s">
        <v>619</v>
      </c>
      <c r="C43" s="14" t="s">
        <v>598</v>
      </c>
      <c r="D43" s="14" t="str">
        <f>"0,7139"</f>
        <v>0,7139</v>
      </c>
      <c r="E43" s="14" t="s">
        <v>18</v>
      </c>
      <c r="F43" s="14" t="s">
        <v>620</v>
      </c>
      <c r="G43" s="15" t="s">
        <v>112</v>
      </c>
      <c r="H43" s="16" t="s">
        <v>49</v>
      </c>
      <c r="I43" s="15" t="s">
        <v>49</v>
      </c>
      <c r="J43" s="16"/>
      <c r="K43" s="15" t="s">
        <v>388</v>
      </c>
      <c r="L43" s="15" t="s">
        <v>281</v>
      </c>
      <c r="M43" s="16"/>
      <c r="N43" s="16"/>
      <c r="O43" s="15" t="s">
        <v>50</v>
      </c>
      <c r="P43" s="16" t="s">
        <v>51</v>
      </c>
      <c r="Q43" s="16"/>
      <c r="R43" s="16"/>
      <c r="S43" s="14" t="str">
        <f>"512,5"</f>
        <v>512,5</v>
      </c>
      <c r="T43" s="15" t="str">
        <f>"385,9968"</f>
        <v>385,9968</v>
      </c>
      <c r="U43" s="14" t="s">
        <v>54</v>
      </c>
    </row>
    <row r="45" spans="1:21" ht="15" x14ac:dyDescent="0.2">
      <c r="A45" s="32" t="s">
        <v>390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1" x14ac:dyDescent="0.2">
      <c r="A46" s="6" t="s">
        <v>622</v>
      </c>
      <c r="B46" s="6" t="s">
        <v>623</v>
      </c>
      <c r="C46" s="6" t="s">
        <v>624</v>
      </c>
      <c r="D46" s="6" t="str">
        <f>"0,7017"</f>
        <v>0,7017</v>
      </c>
      <c r="E46" s="6" t="s">
        <v>18</v>
      </c>
      <c r="F46" s="6" t="s">
        <v>625</v>
      </c>
      <c r="G46" s="8" t="s">
        <v>34</v>
      </c>
      <c r="H46" s="8" t="s">
        <v>74</v>
      </c>
      <c r="I46" s="7" t="s">
        <v>20</v>
      </c>
      <c r="J46" s="7"/>
      <c r="K46" s="8" t="s">
        <v>536</v>
      </c>
      <c r="L46" s="8" t="s">
        <v>326</v>
      </c>
      <c r="M46" s="8" t="s">
        <v>94</v>
      </c>
      <c r="N46" s="7"/>
      <c r="O46" s="8" t="s">
        <v>24</v>
      </c>
      <c r="P46" s="7"/>
      <c r="Q46" s="7"/>
      <c r="R46" s="7"/>
      <c r="S46" s="6" t="str">
        <f>"415,0"</f>
        <v>415,0</v>
      </c>
      <c r="T46" s="8" t="str">
        <f>"291,2055"</f>
        <v>291,2055</v>
      </c>
      <c r="U46" s="6" t="s">
        <v>221</v>
      </c>
    </row>
    <row r="48" spans="1:21" ht="15" x14ac:dyDescent="0.2">
      <c r="A48" s="32" t="s">
        <v>26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1" x14ac:dyDescent="0.2">
      <c r="A49" s="9" t="s">
        <v>627</v>
      </c>
      <c r="B49" s="9" t="s">
        <v>628</v>
      </c>
      <c r="C49" s="9" t="s">
        <v>629</v>
      </c>
      <c r="D49" s="9" t="str">
        <f>"0,6440"</f>
        <v>0,6440</v>
      </c>
      <c r="E49" s="9" t="s">
        <v>18</v>
      </c>
      <c r="F49" s="9" t="s">
        <v>19</v>
      </c>
      <c r="G49" s="10" t="s">
        <v>34</v>
      </c>
      <c r="H49" s="10" t="s">
        <v>349</v>
      </c>
      <c r="I49" s="10" t="s">
        <v>52</v>
      </c>
      <c r="J49" s="11"/>
      <c r="K49" s="10" t="s">
        <v>95</v>
      </c>
      <c r="L49" s="11" t="s">
        <v>356</v>
      </c>
      <c r="M49" s="11" t="s">
        <v>356</v>
      </c>
      <c r="N49" s="11"/>
      <c r="O49" s="10" t="s">
        <v>34</v>
      </c>
      <c r="P49" s="10" t="s">
        <v>52</v>
      </c>
      <c r="Q49" s="10" t="s">
        <v>21</v>
      </c>
      <c r="R49" s="11"/>
      <c r="S49" s="9" t="str">
        <f>"415,0"</f>
        <v>415,0</v>
      </c>
      <c r="T49" s="10" t="str">
        <f>"267,2600"</f>
        <v>267,2600</v>
      </c>
      <c r="U49" s="9" t="s">
        <v>630</v>
      </c>
    </row>
    <row r="50" spans="1:21" x14ac:dyDescent="0.2">
      <c r="A50" s="12" t="s">
        <v>632</v>
      </c>
      <c r="B50" s="12" t="s">
        <v>633</v>
      </c>
      <c r="C50" s="12" t="s">
        <v>634</v>
      </c>
      <c r="D50" s="12" t="str">
        <f>"0,6463"</f>
        <v>0,6463</v>
      </c>
      <c r="E50" s="12" t="s">
        <v>18</v>
      </c>
      <c r="F50" s="12" t="s">
        <v>635</v>
      </c>
      <c r="G50" s="17" t="s">
        <v>63</v>
      </c>
      <c r="H50" s="17" t="s">
        <v>42</v>
      </c>
      <c r="I50" s="17" t="s">
        <v>427</v>
      </c>
      <c r="J50" s="13"/>
      <c r="K50" s="17" t="s">
        <v>20</v>
      </c>
      <c r="L50" s="17" t="s">
        <v>239</v>
      </c>
      <c r="M50" s="13" t="s">
        <v>21</v>
      </c>
      <c r="N50" s="13"/>
      <c r="O50" s="17" t="s">
        <v>71</v>
      </c>
      <c r="P50" s="17" t="s">
        <v>636</v>
      </c>
      <c r="Q50" s="17" t="s">
        <v>77</v>
      </c>
      <c r="R50" s="13"/>
      <c r="S50" s="12" t="str">
        <f>"610,0"</f>
        <v>610,0</v>
      </c>
      <c r="T50" s="17" t="str">
        <f>"394,2430"</f>
        <v>394,2430</v>
      </c>
      <c r="U50" s="12" t="s">
        <v>637</v>
      </c>
    </row>
    <row r="51" spans="1:21" x14ac:dyDescent="0.2">
      <c r="A51" s="14" t="s">
        <v>410</v>
      </c>
      <c r="B51" s="14" t="s">
        <v>411</v>
      </c>
      <c r="C51" s="14" t="s">
        <v>41</v>
      </c>
      <c r="D51" s="14" t="str">
        <f>"0,6384"</f>
        <v>0,6384</v>
      </c>
      <c r="E51" s="14" t="s">
        <v>18</v>
      </c>
      <c r="F51" s="14" t="s">
        <v>19</v>
      </c>
      <c r="G51" s="16" t="s">
        <v>31</v>
      </c>
      <c r="H51" s="16"/>
      <c r="I51" s="16"/>
      <c r="J51" s="16"/>
      <c r="K51" s="16" t="s">
        <v>35</v>
      </c>
      <c r="L51" s="16"/>
      <c r="M51" s="16"/>
      <c r="N51" s="16"/>
      <c r="O51" s="16" t="s">
        <v>31</v>
      </c>
      <c r="P51" s="16"/>
      <c r="Q51" s="16"/>
      <c r="R51" s="16"/>
      <c r="S51" s="14" t="str">
        <f>"0.00"</f>
        <v>0.00</v>
      </c>
      <c r="T51" s="15" t="str">
        <f>"0,0000"</f>
        <v>0,0000</v>
      </c>
      <c r="U51" s="14" t="s">
        <v>404</v>
      </c>
    </row>
    <row r="53" spans="1:21" ht="15" x14ac:dyDescent="0.2">
      <c r="A53" s="32" t="s">
        <v>55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1" x14ac:dyDescent="0.2">
      <c r="A54" s="9" t="s">
        <v>639</v>
      </c>
      <c r="B54" s="9" t="s">
        <v>640</v>
      </c>
      <c r="C54" s="9" t="s">
        <v>641</v>
      </c>
      <c r="D54" s="9" t="str">
        <f>"0,6147"</f>
        <v>0,6147</v>
      </c>
      <c r="E54" s="9" t="s">
        <v>18</v>
      </c>
      <c r="F54" s="9" t="s">
        <v>19</v>
      </c>
      <c r="G54" s="10" t="s">
        <v>32</v>
      </c>
      <c r="H54" s="10" t="s">
        <v>36</v>
      </c>
      <c r="I54" s="11" t="s">
        <v>37</v>
      </c>
      <c r="J54" s="11"/>
      <c r="K54" s="10" t="s">
        <v>21</v>
      </c>
      <c r="L54" s="10" t="s">
        <v>24</v>
      </c>
      <c r="M54" s="10" t="s">
        <v>135</v>
      </c>
      <c r="N54" s="11"/>
      <c r="O54" s="10" t="s">
        <v>36</v>
      </c>
      <c r="P54" s="10" t="s">
        <v>71</v>
      </c>
      <c r="Q54" s="10" t="s">
        <v>72</v>
      </c>
      <c r="R54" s="11"/>
      <c r="S54" s="9" t="str">
        <f>"665,0"</f>
        <v>665,0</v>
      </c>
      <c r="T54" s="10" t="str">
        <f>"408,7755"</f>
        <v>408,7755</v>
      </c>
      <c r="U54" s="9" t="s">
        <v>642</v>
      </c>
    </row>
    <row r="55" spans="1:21" x14ac:dyDescent="0.2">
      <c r="A55" s="12" t="s">
        <v>644</v>
      </c>
      <c r="B55" s="12" t="s">
        <v>645</v>
      </c>
      <c r="C55" s="12" t="s">
        <v>646</v>
      </c>
      <c r="D55" s="12" t="str">
        <f>"0,6103"</f>
        <v>0,6103</v>
      </c>
      <c r="E55" s="12" t="s">
        <v>18</v>
      </c>
      <c r="F55" s="12" t="s">
        <v>19</v>
      </c>
      <c r="G55" s="17" t="s">
        <v>50</v>
      </c>
      <c r="H55" s="17" t="s">
        <v>51</v>
      </c>
      <c r="I55" s="17" t="s">
        <v>32</v>
      </c>
      <c r="J55" s="13"/>
      <c r="K55" s="17" t="s">
        <v>24</v>
      </c>
      <c r="L55" s="17" t="s">
        <v>112</v>
      </c>
      <c r="M55" s="17" t="s">
        <v>135</v>
      </c>
      <c r="N55" s="13"/>
      <c r="O55" s="17" t="s">
        <v>421</v>
      </c>
      <c r="P55" s="17" t="s">
        <v>71</v>
      </c>
      <c r="Q55" s="17" t="s">
        <v>647</v>
      </c>
      <c r="R55" s="13"/>
      <c r="S55" s="12" t="str">
        <f>"657,5"</f>
        <v>657,5</v>
      </c>
      <c r="T55" s="17" t="str">
        <f>"401,2723"</f>
        <v>401,2723</v>
      </c>
      <c r="U55" s="12" t="s">
        <v>54</v>
      </c>
    </row>
    <row r="56" spans="1:21" x14ac:dyDescent="0.2">
      <c r="A56" s="12" t="s">
        <v>649</v>
      </c>
      <c r="B56" s="12" t="s">
        <v>650</v>
      </c>
      <c r="C56" s="12" t="s">
        <v>651</v>
      </c>
      <c r="D56" s="12" t="str">
        <f>"0,6203"</f>
        <v>0,6203</v>
      </c>
      <c r="E56" s="12" t="s">
        <v>18</v>
      </c>
      <c r="F56" s="12" t="s">
        <v>19</v>
      </c>
      <c r="G56" s="17" t="s">
        <v>21</v>
      </c>
      <c r="H56" s="17" t="s">
        <v>135</v>
      </c>
      <c r="I56" s="13" t="s">
        <v>53</v>
      </c>
      <c r="J56" s="13"/>
      <c r="K56" s="17" t="s">
        <v>33</v>
      </c>
      <c r="L56" s="17" t="s">
        <v>34</v>
      </c>
      <c r="M56" s="17" t="s">
        <v>74</v>
      </c>
      <c r="N56" s="13"/>
      <c r="O56" s="17" t="s">
        <v>24</v>
      </c>
      <c r="P56" s="17" t="s">
        <v>42</v>
      </c>
      <c r="Q56" s="17" t="s">
        <v>53</v>
      </c>
      <c r="R56" s="13"/>
      <c r="S56" s="12" t="str">
        <f>"520,0"</f>
        <v>520,0</v>
      </c>
      <c r="T56" s="17" t="str">
        <f>"322,5560"</f>
        <v>322,5560</v>
      </c>
      <c r="U56" s="12" t="s">
        <v>221</v>
      </c>
    </row>
    <row r="57" spans="1:21" x14ac:dyDescent="0.2">
      <c r="A57" s="14" t="s">
        <v>653</v>
      </c>
      <c r="B57" s="14" t="s">
        <v>654</v>
      </c>
      <c r="C57" s="14" t="s">
        <v>92</v>
      </c>
      <c r="D57" s="14" t="str">
        <f>"0,6142"</f>
        <v>0,6142</v>
      </c>
      <c r="E57" s="14" t="s">
        <v>18</v>
      </c>
      <c r="F57" s="14" t="s">
        <v>276</v>
      </c>
      <c r="G57" s="15" t="s">
        <v>112</v>
      </c>
      <c r="H57" s="15" t="s">
        <v>49</v>
      </c>
      <c r="I57" s="16" t="s">
        <v>42</v>
      </c>
      <c r="J57" s="16"/>
      <c r="K57" s="15" t="s">
        <v>74</v>
      </c>
      <c r="L57" s="16" t="s">
        <v>20</v>
      </c>
      <c r="M57" s="15" t="s">
        <v>20</v>
      </c>
      <c r="N57" s="16"/>
      <c r="O57" s="15" t="s">
        <v>32</v>
      </c>
      <c r="P57" s="16" t="s">
        <v>37</v>
      </c>
      <c r="Q57" s="16" t="s">
        <v>37</v>
      </c>
      <c r="R57" s="16"/>
      <c r="S57" s="14" t="str">
        <f>"555,0"</f>
        <v>555,0</v>
      </c>
      <c r="T57" s="15" t="str">
        <f>"368,8332"</f>
        <v>368,8332</v>
      </c>
      <c r="U57" s="14" t="s">
        <v>655</v>
      </c>
    </row>
    <row r="59" spans="1:21" ht="15" x14ac:dyDescent="0.2">
      <c r="A59" s="32" t="s">
        <v>97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1" x14ac:dyDescent="0.2">
      <c r="A60" s="9" t="s">
        <v>657</v>
      </c>
      <c r="B60" s="9" t="s">
        <v>658</v>
      </c>
      <c r="C60" s="9" t="s">
        <v>659</v>
      </c>
      <c r="D60" s="9" t="str">
        <f>"0,5937"</f>
        <v>0,5937</v>
      </c>
      <c r="E60" s="9" t="s">
        <v>18</v>
      </c>
      <c r="F60" s="9" t="s">
        <v>19</v>
      </c>
      <c r="G60" s="11" t="s">
        <v>36</v>
      </c>
      <c r="H60" s="10" t="s">
        <v>37</v>
      </c>
      <c r="I60" s="11" t="s">
        <v>102</v>
      </c>
      <c r="J60" s="11"/>
      <c r="K60" s="10" t="s">
        <v>42</v>
      </c>
      <c r="L60" s="10" t="s">
        <v>53</v>
      </c>
      <c r="M60" s="11" t="s">
        <v>660</v>
      </c>
      <c r="N60" s="11"/>
      <c r="O60" s="10" t="s">
        <v>397</v>
      </c>
      <c r="P60" s="10" t="s">
        <v>72</v>
      </c>
      <c r="Q60" s="11" t="s">
        <v>78</v>
      </c>
      <c r="R60" s="11"/>
      <c r="S60" s="9" t="str">
        <f>"695,0"</f>
        <v>695,0</v>
      </c>
      <c r="T60" s="10" t="str">
        <f>"412,6215"</f>
        <v>412,6215</v>
      </c>
      <c r="U60" s="9" t="s">
        <v>661</v>
      </c>
    </row>
    <row r="61" spans="1:21" x14ac:dyDescent="0.2">
      <c r="A61" s="12" t="s">
        <v>663</v>
      </c>
      <c r="B61" s="12" t="s">
        <v>664</v>
      </c>
      <c r="C61" s="12" t="s">
        <v>665</v>
      </c>
      <c r="D61" s="12" t="str">
        <f>"0,5950"</f>
        <v>0,5950</v>
      </c>
      <c r="E61" s="12" t="s">
        <v>18</v>
      </c>
      <c r="F61" s="12" t="s">
        <v>625</v>
      </c>
      <c r="G61" s="13" t="s">
        <v>37</v>
      </c>
      <c r="H61" s="17" t="s">
        <v>37</v>
      </c>
      <c r="I61" s="17" t="s">
        <v>636</v>
      </c>
      <c r="J61" s="13"/>
      <c r="K61" s="17" t="s">
        <v>35</v>
      </c>
      <c r="L61" s="17" t="s">
        <v>74</v>
      </c>
      <c r="M61" s="17" t="s">
        <v>238</v>
      </c>
      <c r="N61" s="13"/>
      <c r="O61" s="17" t="s">
        <v>37</v>
      </c>
      <c r="P61" s="17" t="s">
        <v>647</v>
      </c>
      <c r="Q61" s="17" t="s">
        <v>78</v>
      </c>
      <c r="R61" s="13"/>
      <c r="S61" s="12" t="str">
        <f>"660,0"</f>
        <v>660,0</v>
      </c>
      <c r="T61" s="17" t="str">
        <f>"392,7000"</f>
        <v>392,7000</v>
      </c>
      <c r="U61" s="12" t="s">
        <v>666</v>
      </c>
    </row>
    <row r="62" spans="1:21" x14ac:dyDescent="0.2">
      <c r="A62" s="14" t="s">
        <v>668</v>
      </c>
      <c r="B62" s="14" t="s">
        <v>669</v>
      </c>
      <c r="C62" s="14" t="s">
        <v>670</v>
      </c>
      <c r="D62" s="14" t="str">
        <f>"0,5926"</f>
        <v>0,5926</v>
      </c>
      <c r="E62" s="14" t="s">
        <v>18</v>
      </c>
      <c r="F62" s="14" t="s">
        <v>19</v>
      </c>
      <c r="G62" s="16" t="s">
        <v>31</v>
      </c>
      <c r="H62" s="15" t="s">
        <v>31</v>
      </c>
      <c r="I62" s="15" t="s">
        <v>397</v>
      </c>
      <c r="J62" s="16"/>
      <c r="K62" s="15" t="s">
        <v>141</v>
      </c>
      <c r="L62" s="15" t="s">
        <v>24</v>
      </c>
      <c r="M62" s="15" t="s">
        <v>112</v>
      </c>
      <c r="N62" s="16"/>
      <c r="O62" s="15" t="s">
        <v>37</v>
      </c>
      <c r="P62" s="15" t="s">
        <v>636</v>
      </c>
      <c r="Q62" s="16" t="s">
        <v>77</v>
      </c>
      <c r="R62" s="16"/>
      <c r="S62" s="14" t="str">
        <f>"652,5"</f>
        <v>652,5</v>
      </c>
      <c r="T62" s="15" t="str">
        <f>"386,6715"</f>
        <v>386,6715</v>
      </c>
      <c r="U62" s="14" t="s">
        <v>671</v>
      </c>
    </row>
    <row r="64" spans="1:21" ht="15" x14ac:dyDescent="0.2">
      <c r="A64" s="32" t="s">
        <v>121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1" x14ac:dyDescent="0.2">
      <c r="A65" s="9" t="s">
        <v>673</v>
      </c>
      <c r="B65" s="9" t="s">
        <v>674</v>
      </c>
      <c r="C65" s="9" t="s">
        <v>675</v>
      </c>
      <c r="D65" s="9" t="str">
        <f>"0,5733"</f>
        <v>0,5733</v>
      </c>
      <c r="E65" s="9" t="s">
        <v>18</v>
      </c>
      <c r="F65" s="9" t="s">
        <v>19</v>
      </c>
      <c r="G65" s="10" t="s">
        <v>31</v>
      </c>
      <c r="H65" s="11" t="s">
        <v>32</v>
      </c>
      <c r="I65" s="10" t="s">
        <v>32</v>
      </c>
      <c r="J65" s="11"/>
      <c r="K65" s="10" t="s">
        <v>20</v>
      </c>
      <c r="L65" s="11" t="s">
        <v>21</v>
      </c>
      <c r="M65" s="11" t="s">
        <v>21</v>
      </c>
      <c r="N65" s="11"/>
      <c r="O65" s="10" t="s">
        <v>32</v>
      </c>
      <c r="P65" s="10" t="s">
        <v>37</v>
      </c>
      <c r="Q65" s="11" t="s">
        <v>72</v>
      </c>
      <c r="R65" s="11"/>
      <c r="S65" s="9" t="str">
        <f>"610,0"</f>
        <v>610,0</v>
      </c>
      <c r="T65" s="10" t="str">
        <f>"349,7130"</f>
        <v>349,7130</v>
      </c>
      <c r="U65" s="9" t="s">
        <v>534</v>
      </c>
    </row>
    <row r="66" spans="1:21" x14ac:dyDescent="0.2">
      <c r="A66" s="14" t="s">
        <v>677</v>
      </c>
      <c r="B66" s="14" t="s">
        <v>678</v>
      </c>
      <c r="C66" s="14" t="s">
        <v>679</v>
      </c>
      <c r="D66" s="14" t="str">
        <f>"0,5703"</f>
        <v>0,5703</v>
      </c>
      <c r="E66" s="14" t="s">
        <v>18</v>
      </c>
      <c r="F66" s="14" t="s">
        <v>19</v>
      </c>
      <c r="G66" s="15" t="s">
        <v>239</v>
      </c>
      <c r="H66" s="15" t="s">
        <v>76</v>
      </c>
      <c r="I66" s="15" t="s">
        <v>24</v>
      </c>
      <c r="J66" s="16"/>
      <c r="K66" s="15" t="s">
        <v>24</v>
      </c>
      <c r="L66" s="16" t="s">
        <v>135</v>
      </c>
      <c r="M66" s="16" t="s">
        <v>135</v>
      </c>
      <c r="N66" s="16"/>
      <c r="O66" s="15" t="s">
        <v>135</v>
      </c>
      <c r="P66" s="15" t="s">
        <v>42</v>
      </c>
      <c r="Q66" s="16" t="s">
        <v>50</v>
      </c>
      <c r="R66" s="16"/>
      <c r="S66" s="14" t="str">
        <f>"530,0"</f>
        <v>530,0</v>
      </c>
      <c r="T66" s="15" t="str">
        <f>"302,2590"</f>
        <v>302,2590</v>
      </c>
      <c r="U66" s="14" t="s">
        <v>54</v>
      </c>
    </row>
    <row r="68" spans="1:21" ht="15" x14ac:dyDescent="0.2">
      <c r="E68" s="18" t="s">
        <v>151</v>
      </c>
    </row>
    <row r="69" spans="1:21" ht="15" x14ac:dyDescent="0.2">
      <c r="E69" s="18" t="s">
        <v>152</v>
      </c>
    </row>
    <row r="70" spans="1:21" ht="15" x14ac:dyDescent="0.2">
      <c r="E70" s="18" t="s">
        <v>153</v>
      </c>
    </row>
    <row r="71" spans="1:21" ht="15" x14ac:dyDescent="0.2">
      <c r="E71" s="18" t="s">
        <v>154</v>
      </c>
    </row>
    <row r="72" spans="1:21" ht="15" x14ac:dyDescent="0.2">
      <c r="E72" s="18" t="s">
        <v>154</v>
      </c>
    </row>
    <row r="73" spans="1:21" ht="15" x14ac:dyDescent="0.2">
      <c r="E73" s="18" t="s">
        <v>155</v>
      </c>
    </row>
    <row r="74" spans="1:21" ht="15" x14ac:dyDescent="0.2">
      <c r="E74" s="18"/>
    </row>
    <row r="76" spans="1:21" ht="18" x14ac:dyDescent="0.25">
      <c r="A76" s="19" t="s">
        <v>156</v>
      </c>
      <c r="B76" s="19"/>
    </row>
    <row r="77" spans="1:21" ht="15" x14ac:dyDescent="0.2">
      <c r="A77" s="20" t="s">
        <v>157</v>
      </c>
      <c r="B77" s="20"/>
    </row>
    <row r="78" spans="1:21" ht="14.25" x14ac:dyDescent="0.2">
      <c r="A78" s="22"/>
      <c r="B78" s="23" t="s">
        <v>468</v>
      </c>
    </row>
    <row r="79" spans="1:21" ht="15" x14ac:dyDescent="0.2">
      <c r="A79" s="24" t="s">
        <v>159</v>
      </c>
      <c r="B79" s="24" t="s">
        <v>160</v>
      </c>
      <c r="C79" s="24" t="s">
        <v>161</v>
      </c>
      <c r="D79" s="24" t="s">
        <v>162</v>
      </c>
      <c r="E79" s="24" t="s">
        <v>163</v>
      </c>
    </row>
    <row r="80" spans="1:21" x14ac:dyDescent="0.2">
      <c r="A80" s="21" t="s">
        <v>544</v>
      </c>
      <c r="B80" s="4" t="s">
        <v>291</v>
      </c>
      <c r="C80" s="4" t="s">
        <v>287</v>
      </c>
      <c r="D80" s="4" t="s">
        <v>143</v>
      </c>
      <c r="E80" s="25" t="s">
        <v>680</v>
      </c>
    </row>
    <row r="81" spans="1:5" x14ac:dyDescent="0.2">
      <c r="A81" s="21" t="s">
        <v>559</v>
      </c>
      <c r="B81" s="4" t="s">
        <v>291</v>
      </c>
      <c r="C81" s="4" t="s">
        <v>481</v>
      </c>
      <c r="D81" s="4" t="s">
        <v>605</v>
      </c>
      <c r="E81" s="25" t="s">
        <v>681</v>
      </c>
    </row>
    <row r="83" spans="1:5" ht="14.25" x14ac:dyDescent="0.2">
      <c r="A83" s="22"/>
      <c r="B83" s="23" t="s">
        <v>470</v>
      </c>
    </row>
    <row r="84" spans="1:5" ht="15" x14ac:dyDescent="0.2">
      <c r="A84" s="24" t="s">
        <v>159</v>
      </c>
      <c r="B84" s="24" t="s">
        <v>160</v>
      </c>
      <c r="C84" s="24" t="s">
        <v>161</v>
      </c>
      <c r="D84" s="24" t="s">
        <v>162</v>
      </c>
      <c r="E84" s="24" t="s">
        <v>163</v>
      </c>
    </row>
    <row r="85" spans="1:5" x14ac:dyDescent="0.2">
      <c r="A85" s="21" t="s">
        <v>516</v>
      </c>
      <c r="B85" s="4" t="s">
        <v>471</v>
      </c>
      <c r="C85" s="4" t="s">
        <v>682</v>
      </c>
      <c r="D85" s="4" t="s">
        <v>50</v>
      </c>
      <c r="E85" s="25" t="s">
        <v>683</v>
      </c>
    </row>
    <row r="87" spans="1:5" ht="14.25" x14ac:dyDescent="0.2">
      <c r="A87" s="22"/>
      <c r="B87" s="23" t="s">
        <v>169</v>
      </c>
    </row>
    <row r="88" spans="1:5" ht="15" x14ac:dyDescent="0.2">
      <c r="A88" s="24" t="s">
        <v>159</v>
      </c>
      <c r="B88" s="24" t="s">
        <v>160</v>
      </c>
      <c r="C88" s="24" t="s">
        <v>161</v>
      </c>
      <c r="D88" s="24" t="s">
        <v>162</v>
      </c>
      <c r="E88" s="24" t="s">
        <v>163</v>
      </c>
    </row>
    <row r="89" spans="1:5" x14ac:dyDescent="0.2">
      <c r="A89" s="21" t="s">
        <v>549</v>
      </c>
      <c r="B89" s="4" t="s">
        <v>169</v>
      </c>
      <c r="C89" s="4" t="s">
        <v>287</v>
      </c>
      <c r="D89" s="4" t="s">
        <v>126</v>
      </c>
      <c r="E89" s="25" t="s">
        <v>684</v>
      </c>
    </row>
    <row r="90" spans="1:5" x14ac:dyDescent="0.2">
      <c r="A90" s="21" t="s">
        <v>555</v>
      </c>
      <c r="B90" s="4" t="s">
        <v>169</v>
      </c>
      <c r="C90" s="4" t="s">
        <v>287</v>
      </c>
      <c r="D90" s="4" t="s">
        <v>482</v>
      </c>
      <c r="E90" s="25" t="s">
        <v>685</v>
      </c>
    </row>
    <row r="91" spans="1:5" x14ac:dyDescent="0.2">
      <c r="A91" s="21" t="s">
        <v>538</v>
      </c>
      <c r="B91" s="4" t="s">
        <v>169</v>
      </c>
      <c r="C91" s="4" t="s">
        <v>686</v>
      </c>
      <c r="D91" s="4" t="s">
        <v>73</v>
      </c>
      <c r="E91" s="25" t="s">
        <v>687</v>
      </c>
    </row>
    <row r="92" spans="1:5" x14ac:dyDescent="0.2">
      <c r="A92" s="21" t="s">
        <v>565</v>
      </c>
      <c r="B92" s="4" t="s">
        <v>169</v>
      </c>
      <c r="C92" s="4" t="s">
        <v>481</v>
      </c>
      <c r="D92" s="4" t="s">
        <v>255</v>
      </c>
      <c r="E92" s="25" t="s">
        <v>688</v>
      </c>
    </row>
    <row r="93" spans="1:5" x14ac:dyDescent="0.2">
      <c r="A93" s="21" t="s">
        <v>569</v>
      </c>
      <c r="B93" s="4" t="s">
        <v>169</v>
      </c>
      <c r="C93" s="4" t="s">
        <v>481</v>
      </c>
      <c r="D93" s="4" t="s">
        <v>60</v>
      </c>
      <c r="E93" s="25" t="s">
        <v>689</v>
      </c>
    </row>
    <row r="94" spans="1:5" x14ac:dyDescent="0.2">
      <c r="A94" s="21" t="s">
        <v>522</v>
      </c>
      <c r="B94" s="4" t="s">
        <v>169</v>
      </c>
      <c r="C94" s="4" t="s">
        <v>475</v>
      </c>
      <c r="D94" s="4" t="s">
        <v>397</v>
      </c>
      <c r="E94" s="25" t="s">
        <v>690</v>
      </c>
    </row>
    <row r="95" spans="1:5" x14ac:dyDescent="0.2">
      <c r="A95" s="21" t="s">
        <v>582</v>
      </c>
      <c r="B95" s="4" t="s">
        <v>169</v>
      </c>
      <c r="C95" s="4" t="s">
        <v>187</v>
      </c>
      <c r="D95" s="4" t="s">
        <v>691</v>
      </c>
      <c r="E95" s="25" t="s">
        <v>692</v>
      </c>
    </row>
    <row r="96" spans="1:5" x14ac:dyDescent="0.2">
      <c r="A96" s="21" t="s">
        <v>573</v>
      </c>
      <c r="B96" s="4" t="s">
        <v>169</v>
      </c>
      <c r="C96" s="4" t="s">
        <v>472</v>
      </c>
      <c r="D96" s="4" t="s">
        <v>403</v>
      </c>
      <c r="E96" s="25" t="s">
        <v>693</v>
      </c>
    </row>
    <row r="99" spans="1:5" ht="15" x14ac:dyDescent="0.2">
      <c r="A99" s="20" t="s">
        <v>168</v>
      </c>
      <c r="B99" s="20"/>
    </row>
    <row r="100" spans="1:5" ht="14.25" x14ac:dyDescent="0.2">
      <c r="A100" s="22"/>
      <c r="B100" s="23" t="s">
        <v>290</v>
      </c>
    </row>
    <row r="101" spans="1:5" ht="15" x14ac:dyDescent="0.2">
      <c r="A101" s="24" t="s">
        <v>159</v>
      </c>
      <c r="B101" s="24" t="s">
        <v>160</v>
      </c>
      <c r="C101" s="24" t="s">
        <v>161</v>
      </c>
      <c r="D101" s="24" t="s">
        <v>162</v>
      </c>
      <c r="E101" s="24" t="s">
        <v>163</v>
      </c>
    </row>
    <row r="102" spans="1:5" x14ac:dyDescent="0.2">
      <c r="A102" s="21" t="s">
        <v>626</v>
      </c>
      <c r="B102" s="4" t="s">
        <v>291</v>
      </c>
      <c r="C102" s="4" t="s">
        <v>187</v>
      </c>
      <c r="D102" s="4" t="s">
        <v>694</v>
      </c>
      <c r="E102" s="25" t="s">
        <v>695</v>
      </c>
    </row>
    <row r="103" spans="1:5" x14ac:dyDescent="0.2">
      <c r="A103" s="21" t="s">
        <v>586</v>
      </c>
      <c r="B103" s="4" t="s">
        <v>291</v>
      </c>
      <c r="C103" s="4" t="s">
        <v>472</v>
      </c>
      <c r="D103" s="4" t="s">
        <v>696</v>
      </c>
      <c r="E103" s="25" t="s">
        <v>697</v>
      </c>
    </row>
    <row r="104" spans="1:5" x14ac:dyDescent="0.2">
      <c r="A104" s="21" t="s">
        <v>595</v>
      </c>
      <c r="B104" s="4" t="s">
        <v>291</v>
      </c>
      <c r="C104" s="4" t="s">
        <v>165</v>
      </c>
      <c r="D104" s="4" t="s">
        <v>698</v>
      </c>
      <c r="E104" s="25" t="s">
        <v>699</v>
      </c>
    </row>
    <row r="106" spans="1:5" ht="14.25" x14ac:dyDescent="0.2">
      <c r="A106" s="22"/>
      <c r="B106" s="23" t="s">
        <v>169</v>
      </c>
    </row>
    <row r="107" spans="1:5" ht="15" x14ac:dyDescent="0.2">
      <c r="A107" s="24" t="s">
        <v>159</v>
      </c>
      <c r="B107" s="24" t="s">
        <v>160</v>
      </c>
      <c r="C107" s="24" t="s">
        <v>161</v>
      </c>
      <c r="D107" s="24" t="s">
        <v>162</v>
      </c>
      <c r="E107" s="24" t="s">
        <v>163</v>
      </c>
    </row>
    <row r="108" spans="1:5" x14ac:dyDescent="0.2">
      <c r="A108" s="21" t="s">
        <v>656</v>
      </c>
      <c r="B108" s="4" t="s">
        <v>169</v>
      </c>
      <c r="C108" s="4" t="s">
        <v>182</v>
      </c>
      <c r="D108" s="4" t="s">
        <v>197</v>
      </c>
      <c r="E108" s="25" t="s">
        <v>700</v>
      </c>
    </row>
    <row r="109" spans="1:5" x14ac:dyDescent="0.2">
      <c r="A109" s="21" t="s">
        <v>638</v>
      </c>
      <c r="B109" s="4" t="s">
        <v>169</v>
      </c>
      <c r="C109" s="4" t="s">
        <v>170</v>
      </c>
      <c r="D109" s="4" t="s">
        <v>309</v>
      </c>
      <c r="E109" s="25" t="s">
        <v>701</v>
      </c>
    </row>
    <row r="110" spans="1:5" x14ac:dyDescent="0.2">
      <c r="A110" s="21" t="s">
        <v>601</v>
      </c>
      <c r="B110" s="4" t="s">
        <v>169</v>
      </c>
      <c r="C110" s="4" t="s">
        <v>165</v>
      </c>
      <c r="D110" s="4" t="s">
        <v>190</v>
      </c>
      <c r="E110" s="25" t="s">
        <v>702</v>
      </c>
    </row>
    <row r="111" spans="1:5" x14ac:dyDescent="0.2">
      <c r="A111" s="21" t="s">
        <v>643</v>
      </c>
      <c r="B111" s="4" t="s">
        <v>169</v>
      </c>
      <c r="C111" s="4" t="s">
        <v>170</v>
      </c>
      <c r="D111" s="4" t="s">
        <v>703</v>
      </c>
      <c r="E111" s="25" t="s">
        <v>704</v>
      </c>
    </row>
    <row r="112" spans="1:5" x14ac:dyDescent="0.2">
      <c r="A112" s="21" t="s">
        <v>631</v>
      </c>
      <c r="B112" s="4" t="s">
        <v>169</v>
      </c>
      <c r="C112" s="4" t="s">
        <v>187</v>
      </c>
      <c r="D112" s="4" t="s">
        <v>509</v>
      </c>
      <c r="E112" s="25" t="s">
        <v>705</v>
      </c>
    </row>
    <row r="113" spans="1:5" x14ac:dyDescent="0.2">
      <c r="A113" s="21" t="s">
        <v>662</v>
      </c>
      <c r="B113" s="4" t="s">
        <v>169</v>
      </c>
      <c r="C113" s="4" t="s">
        <v>182</v>
      </c>
      <c r="D113" s="4" t="s">
        <v>311</v>
      </c>
      <c r="E113" s="25" t="s">
        <v>706</v>
      </c>
    </row>
    <row r="114" spans="1:5" x14ac:dyDescent="0.2">
      <c r="A114" s="21" t="s">
        <v>667</v>
      </c>
      <c r="B114" s="4" t="s">
        <v>169</v>
      </c>
      <c r="C114" s="4" t="s">
        <v>182</v>
      </c>
      <c r="D114" s="4" t="s">
        <v>707</v>
      </c>
      <c r="E114" s="25" t="s">
        <v>708</v>
      </c>
    </row>
    <row r="115" spans="1:5" x14ac:dyDescent="0.2">
      <c r="A115" s="21" t="s">
        <v>607</v>
      </c>
      <c r="B115" s="4" t="s">
        <v>169</v>
      </c>
      <c r="C115" s="4" t="s">
        <v>165</v>
      </c>
      <c r="D115" s="4" t="s">
        <v>709</v>
      </c>
      <c r="E115" s="25" t="s">
        <v>710</v>
      </c>
    </row>
    <row r="116" spans="1:5" x14ac:dyDescent="0.2">
      <c r="A116" s="21" t="s">
        <v>672</v>
      </c>
      <c r="B116" s="4" t="s">
        <v>169</v>
      </c>
      <c r="C116" s="4" t="s">
        <v>173</v>
      </c>
      <c r="D116" s="4" t="s">
        <v>509</v>
      </c>
      <c r="E116" s="25" t="s">
        <v>711</v>
      </c>
    </row>
    <row r="117" spans="1:5" x14ac:dyDescent="0.2">
      <c r="A117" s="21" t="s">
        <v>648</v>
      </c>
      <c r="B117" s="4" t="s">
        <v>169</v>
      </c>
      <c r="C117" s="4" t="s">
        <v>170</v>
      </c>
      <c r="D117" s="4" t="s">
        <v>712</v>
      </c>
      <c r="E117" s="25" t="s">
        <v>713</v>
      </c>
    </row>
    <row r="118" spans="1:5" x14ac:dyDescent="0.2">
      <c r="A118" s="21" t="s">
        <v>676</v>
      </c>
      <c r="B118" s="4" t="s">
        <v>169</v>
      </c>
      <c r="C118" s="4" t="s">
        <v>173</v>
      </c>
      <c r="D118" s="4" t="s">
        <v>714</v>
      </c>
      <c r="E118" s="25" t="s">
        <v>715</v>
      </c>
    </row>
    <row r="119" spans="1:5" x14ac:dyDescent="0.2">
      <c r="A119" s="21" t="s">
        <v>612</v>
      </c>
      <c r="B119" s="4" t="s">
        <v>169</v>
      </c>
      <c r="C119" s="4" t="s">
        <v>165</v>
      </c>
      <c r="D119" s="4" t="s">
        <v>694</v>
      </c>
      <c r="E119" s="25" t="s">
        <v>716</v>
      </c>
    </row>
    <row r="120" spans="1:5" x14ac:dyDescent="0.2">
      <c r="A120" s="21" t="s">
        <v>621</v>
      </c>
      <c r="B120" s="4" t="s">
        <v>169</v>
      </c>
      <c r="C120" s="4" t="s">
        <v>497</v>
      </c>
      <c r="D120" s="4" t="s">
        <v>694</v>
      </c>
      <c r="E120" s="25" t="s">
        <v>717</v>
      </c>
    </row>
    <row r="122" spans="1:5" ht="14.25" x14ac:dyDescent="0.2">
      <c r="A122" s="22"/>
      <c r="B122" s="23" t="s">
        <v>158</v>
      </c>
    </row>
    <row r="123" spans="1:5" ht="15" x14ac:dyDescent="0.2">
      <c r="A123" s="24" t="s">
        <v>159</v>
      </c>
      <c r="B123" s="24" t="s">
        <v>160</v>
      </c>
      <c r="C123" s="24" t="s">
        <v>161</v>
      </c>
      <c r="D123" s="24" t="s">
        <v>162</v>
      </c>
      <c r="E123" s="24" t="s">
        <v>163</v>
      </c>
    </row>
    <row r="124" spans="1:5" x14ac:dyDescent="0.2">
      <c r="A124" s="21" t="s">
        <v>617</v>
      </c>
      <c r="B124" s="4" t="s">
        <v>315</v>
      </c>
      <c r="C124" s="4" t="s">
        <v>165</v>
      </c>
      <c r="D124" s="4" t="s">
        <v>718</v>
      </c>
      <c r="E124" s="25" t="s">
        <v>719</v>
      </c>
    </row>
    <row r="125" spans="1:5" x14ac:dyDescent="0.2">
      <c r="A125" s="21" t="s">
        <v>652</v>
      </c>
      <c r="B125" s="4" t="s">
        <v>315</v>
      </c>
      <c r="C125" s="4" t="s">
        <v>170</v>
      </c>
      <c r="D125" s="4" t="s">
        <v>720</v>
      </c>
      <c r="E125" s="25" t="s">
        <v>721</v>
      </c>
    </row>
    <row r="126" spans="1:5" x14ac:dyDescent="0.2">
      <c r="A126" s="21" t="s">
        <v>590</v>
      </c>
      <c r="B126" s="4" t="s">
        <v>315</v>
      </c>
      <c r="C126" s="4" t="s">
        <v>472</v>
      </c>
      <c r="D126" s="4" t="s">
        <v>722</v>
      </c>
      <c r="E126" s="25" t="s">
        <v>723</v>
      </c>
    </row>
  </sheetData>
  <mergeCells count="2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38:T38"/>
    <mergeCell ref="S3:S4"/>
    <mergeCell ref="T3:T4"/>
    <mergeCell ref="U3:U4"/>
    <mergeCell ref="A5:T5"/>
    <mergeCell ref="A8:T8"/>
    <mergeCell ref="A14:T14"/>
    <mergeCell ref="A17:T17"/>
    <mergeCell ref="A22:T22"/>
    <mergeCell ref="A27:T27"/>
    <mergeCell ref="A31:T31"/>
    <mergeCell ref="A34:T34"/>
    <mergeCell ref="A45:T45"/>
    <mergeCell ref="A48:T48"/>
    <mergeCell ref="A53:T53"/>
    <mergeCell ref="A59:T59"/>
    <mergeCell ref="A64:T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WPF PRO PL CL</vt:lpstr>
      <vt:lpstr>WPF PRO PL RAW</vt:lpstr>
      <vt:lpstr>WPF PRO BP MP</vt:lpstr>
      <vt:lpstr>WPF PRO BP SP</vt:lpstr>
      <vt:lpstr>WPF PRO BP RAW</vt:lpstr>
      <vt:lpstr>WPF PRO DL RAW</vt:lpstr>
      <vt:lpstr>WPF AM PL SP</vt:lpstr>
      <vt:lpstr>WPF AM PL CL</vt:lpstr>
      <vt:lpstr>WPF AM PL RAW</vt:lpstr>
      <vt:lpstr>WPF AM BP MP</vt:lpstr>
      <vt:lpstr>WPF AM BP SP</vt:lpstr>
      <vt:lpstr>WPF AM BP RAW</vt:lpstr>
      <vt:lpstr>WPF AM DL SP</vt:lpstr>
      <vt:lpstr>WPF AM DL RAW</vt:lpstr>
      <vt:lpstr>WPF PRO НЖ 1 вес</vt:lpstr>
      <vt:lpstr>WPF PRO НЖ 1_2 вес</vt:lpstr>
      <vt:lpstr>WPF AM НЖ 1_2 вес </vt:lpstr>
      <vt:lpstr>WPF AM НЖ 1 вес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</cp:lastModifiedBy>
  <cp:lastPrinted>2019-12-16T19:41:45Z</cp:lastPrinted>
  <dcterms:created xsi:type="dcterms:W3CDTF">2002-06-16T13:36:44Z</dcterms:created>
  <dcterms:modified xsi:type="dcterms:W3CDTF">2019-12-18T19:31:01Z</dcterms:modified>
</cp:coreProperties>
</file>