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горь\Google Диск\PowerLifting\WPF\Protocols\"/>
    </mc:Choice>
  </mc:AlternateContent>
  <bookViews>
    <workbookView xWindow="0" yWindow="0" windowWidth="30720" windowHeight="11835" tabRatio="812"/>
  </bookViews>
  <sheets>
    <sheet name="WPF PRO ПЛ ЭЛИТА" sheetId="26" r:id="rId1"/>
    <sheet name="WPF PRO ПЛ классик." sheetId="5" r:id="rId2"/>
    <sheet name="WPF PRO ПЛ безэк." sheetId="6" r:id="rId3"/>
    <sheet name="WPF PRO Жим в 1-сл. эк." sheetId="14" r:id="rId4"/>
    <sheet name="WPF PRO Жим безэк." sheetId="13" r:id="rId5"/>
    <sheet name="WPF PRO Тяга безэк." sheetId="19" r:id="rId6"/>
    <sheet name="WPF PRO Многоповторный жим 1вес" sheetId="29" r:id="rId7"/>
    <sheet name="WPF PRO Многоповторный жим 1_2" sheetId="28" r:id="rId8"/>
    <sheet name="WPF AM ПЛ в 1-сл. эк." sheetId="12" r:id="rId9"/>
    <sheet name="WPF AM ПЛ классик." sheetId="10" r:id="rId10"/>
    <sheet name="WPF AM ПЛ безэк." sheetId="11" r:id="rId11"/>
    <sheet name="WPF AM Жим в 1-сл. эк." sheetId="18" r:id="rId12"/>
    <sheet name="WPF AM Жим безэк." sheetId="17" r:id="rId13"/>
    <sheet name="WPF AM Тяга в 1-сл. эк." sheetId="24" r:id="rId14"/>
    <sheet name="WPF AM Тяга безэк." sheetId="23" r:id="rId15"/>
    <sheet name="WPF AM Многоповторный жим 1вес" sheetId="27" r:id="rId16"/>
  </sheets>
  <definedNames>
    <definedName name="_FilterDatabase" localSheetId="6" hidden="1">'WPF PRO Многоповторный жим 1вес'!$A$1:$I$3</definedName>
    <definedName name="_FilterDatabase" localSheetId="1" hidden="1">'WPF PRO ПЛ классик.'!$A$1:$S$3</definedName>
    <definedName name="_FilterDatabase" localSheetId="0" hidden="1">'WPF PRO ПЛ ЭЛИТА'!$A$1:$S$3</definedName>
  </definedNames>
  <calcPr calcId="152511" refMode="R1C1"/>
</workbook>
</file>

<file path=xl/calcChain.xml><?xml version="1.0" encoding="utf-8"?>
<calcChain xmlns="http://schemas.openxmlformats.org/spreadsheetml/2006/main">
  <c r="D6" i="29" l="1"/>
  <c r="I6" i="29"/>
  <c r="J6" i="29"/>
  <c r="D7" i="29"/>
  <c r="I7" i="29"/>
  <c r="J7" i="29"/>
  <c r="D10" i="29"/>
  <c r="I10" i="29"/>
  <c r="J10" i="29"/>
  <c r="D13" i="29"/>
  <c r="I13" i="29"/>
  <c r="J13" i="29"/>
  <c r="D6" i="28"/>
  <c r="I6" i="28"/>
  <c r="J6" i="28"/>
  <c r="D6" i="27"/>
  <c r="I6" i="27"/>
  <c r="J6" i="27"/>
  <c r="D7" i="27"/>
  <c r="I7" i="27"/>
  <c r="J7" i="27"/>
  <c r="D10" i="27"/>
  <c r="I10" i="27"/>
  <c r="J10" i="27"/>
  <c r="D11" i="27"/>
  <c r="I11" i="27"/>
  <c r="J11" i="27"/>
  <c r="D14" i="27"/>
  <c r="I14" i="27"/>
  <c r="J14" i="27"/>
  <c r="D17" i="27"/>
  <c r="I17" i="27"/>
  <c r="J17" i="27"/>
  <c r="D18" i="27"/>
  <c r="I18" i="27"/>
  <c r="J18" i="27"/>
  <c r="D19" i="27"/>
  <c r="I19" i="27"/>
  <c r="J19" i="27"/>
  <c r="D20" i="27"/>
  <c r="I20" i="27"/>
  <c r="J20" i="27"/>
  <c r="D6" i="26"/>
  <c r="S6" i="26"/>
  <c r="T6" i="26"/>
  <c r="D9" i="26"/>
  <c r="S9" i="26"/>
  <c r="T9" i="26"/>
  <c r="D12" i="26"/>
  <c r="S12" i="26"/>
  <c r="T12" i="26"/>
  <c r="D13" i="26"/>
  <c r="S13" i="26"/>
  <c r="T13" i="26"/>
  <c r="D14" i="26"/>
  <c r="S14" i="26"/>
  <c r="T14" i="26"/>
  <c r="D17" i="26"/>
  <c r="S17" i="26"/>
  <c r="T17" i="26"/>
  <c r="D20" i="26"/>
  <c r="S20" i="26"/>
  <c r="T20" i="26"/>
  <c r="L6" i="24"/>
  <c r="K6" i="24"/>
  <c r="D6" i="24"/>
  <c r="L77" i="23"/>
  <c r="K77" i="23"/>
  <c r="D77" i="23"/>
  <c r="L74" i="23"/>
  <c r="K74" i="23"/>
  <c r="D74" i="23"/>
  <c r="L73" i="23"/>
  <c r="K73" i="23"/>
  <c r="D73" i="23"/>
  <c r="L72" i="23"/>
  <c r="K72" i="23"/>
  <c r="D72" i="23"/>
  <c r="L71" i="23"/>
  <c r="K71" i="23"/>
  <c r="D71" i="23"/>
  <c r="L70" i="23"/>
  <c r="K70" i="23"/>
  <c r="D70" i="23"/>
  <c r="L67" i="23"/>
  <c r="K67" i="23"/>
  <c r="D67" i="23"/>
  <c r="L66" i="23"/>
  <c r="K66" i="23"/>
  <c r="D66" i="23"/>
  <c r="L65" i="23"/>
  <c r="K65" i="23"/>
  <c r="D65" i="23"/>
  <c r="L62" i="23"/>
  <c r="K62" i="23"/>
  <c r="D62" i="23"/>
  <c r="L61" i="23"/>
  <c r="K61" i="23"/>
  <c r="D61" i="23"/>
  <c r="L60" i="23"/>
  <c r="K60" i="23"/>
  <c r="D60" i="23"/>
  <c r="L59" i="23"/>
  <c r="K59" i="23"/>
  <c r="D59" i="23"/>
  <c r="L58" i="23"/>
  <c r="K58" i="23"/>
  <c r="D58" i="23"/>
  <c r="L57" i="23"/>
  <c r="K57" i="23"/>
  <c r="D57" i="23"/>
  <c r="L56" i="23"/>
  <c r="K56" i="23"/>
  <c r="D56" i="23"/>
  <c r="L53" i="23"/>
  <c r="K53" i="23"/>
  <c r="D53" i="23"/>
  <c r="L52" i="23"/>
  <c r="K52" i="23"/>
  <c r="D52" i="23"/>
  <c r="L49" i="23"/>
  <c r="K49" i="23"/>
  <c r="D49" i="23"/>
  <c r="L48" i="23"/>
  <c r="K48" i="23"/>
  <c r="D48" i="23"/>
  <c r="L45" i="23"/>
  <c r="K45" i="23"/>
  <c r="D45" i="23"/>
  <c r="L44" i="23"/>
  <c r="K44" i="23"/>
  <c r="D44" i="23"/>
  <c r="L43" i="23"/>
  <c r="K43" i="23"/>
  <c r="D43" i="23"/>
  <c r="L40" i="23"/>
  <c r="K40" i="23"/>
  <c r="D40" i="23"/>
  <c r="L37" i="23"/>
  <c r="K37" i="23"/>
  <c r="D37" i="23"/>
  <c r="L34" i="23"/>
  <c r="K34" i="23"/>
  <c r="D34" i="23"/>
  <c r="L31" i="23"/>
  <c r="K31" i="23"/>
  <c r="D31" i="23"/>
  <c r="L28" i="23"/>
  <c r="K28" i="23"/>
  <c r="D28" i="23"/>
  <c r="L25" i="23"/>
  <c r="K25" i="23"/>
  <c r="D25" i="23"/>
  <c r="L22" i="23"/>
  <c r="K22" i="23"/>
  <c r="D22" i="23"/>
  <c r="L21" i="23"/>
  <c r="K21" i="23"/>
  <c r="D21" i="23"/>
  <c r="L20" i="23"/>
  <c r="K20" i="23"/>
  <c r="D20" i="23"/>
  <c r="L17" i="23"/>
  <c r="K17" i="23"/>
  <c r="D17" i="23"/>
  <c r="L16" i="23"/>
  <c r="K16" i="23"/>
  <c r="D16" i="23"/>
  <c r="L15" i="23"/>
  <c r="K15" i="23"/>
  <c r="D15" i="23"/>
  <c r="L12" i="23"/>
  <c r="K12" i="23"/>
  <c r="D12" i="23"/>
  <c r="L11" i="23"/>
  <c r="K11" i="23"/>
  <c r="D11" i="23"/>
  <c r="L10" i="23"/>
  <c r="K10" i="23"/>
  <c r="D10" i="23"/>
  <c r="L7" i="23"/>
  <c r="K7" i="23"/>
  <c r="D7" i="23"/>
  <c r="L6" i="23"/>
  <c r="K6" i="23"/>
  <c r="D6" i="23"/>
  <c r="L20" i="19"/>
  <c r="K20" i="19"/>
  <c r="D20" i="19"/>
  <c r="L19" i="19"/>
  <c r="K19" i="19"/>
  <c r="D19" i="19"/>
  <c r="L16" i="19"/>
  <c r="K16" i="19"/>
  <c r="D16" i="19"/>
  <c r="L15" i="19"/>
  <c r="K15" i="19"/>
  <c r="D15" i="19"/>
  <c r="L12" i="19"/>
  <c r="K12" i="19"/>
  <c r="D12" i="19"/>
  <c r="L9" i="19"/>
  <c r="K9" i="19"/>
  <c r="D9" i="19"/>
  <c r="L6" i="19"/>
  <c r="K6" i="19"/>
  <c r="D6" i="19"/>
  <c r="L17" i="18"/>
  <c r="K17" i="18"/>
  <c r="D17" i="18"/>
  <c r="L16" i="18"/>
  <c r="K16" i="18"/>
  <c r="D16" i="18"/>
  <c r="L13" i="18"/>
  <c r="K13" i="18"/>
  <c r="D13" i="18"/>
  <c r="L12" i="18"/>
  <c r="K12" i="18"/>
  <c r="D12" i="18"/>
  <c r="L9" i="18"/>
  <c r="K9" i="18"/>
  <c r="D9" i="18"/>
  <c r="L6" i="18"/>
  <c r="K6" i="18"/>
  <c r="D6" i="18"/>
  <c r="L95" i="17"/>
  <c r="K95" i="17"/>
  <c r="D95" i="17"/>
  <c r="L92" i="17"/>
  <c r="K92" i="17"/>
  <c r="D92" i="17"/>
  <c r="L91" i="17"/>
  <c r="K91" i="17"/>
  <c r="D91" i="17"/>
  <c r="L88" i="17"/>
  <c r="K88" i="17"/>
  <c r="D88" i="17"/>
  <c r="L87" i="17"/>
  <c r="K87" i="17"/>
  <c r="D87" i="17"/>
  <c r="L86" i="17"/>
  <c r="K86" i="17"/>
  <c r="D86" i="17"/>
  <c r="L85" i="17"/>
  <c r="K85" i="17"/>
  <c r="D85" i="17"/>
  <c r="L84" i="17"/>
  <c r="K84" i="17"/>
  <c r="D84" i="17"/>
  <c r="L83" i="17"/>
  <c r="K83" i="17"/>
  <c r="D83" i="17"/>
  <c r="L82" i="17"/>
  <c r="K82" i="17"/>
  <c r="D82" i="17"/>
  <c r="L81" i="17"/>
  <c r="K81" i="17"/>
  <c r="D81" i="17"/>
  <c r="L80" i="17"/>
  <c r="K80" i="17"/>
  <c r="D80" i="17"/>
  <c r="L79" i="17"/>
  <c r="K79" i="17"/>
  <c r="D79" i="17"/>
  <c r="L78" i="17"/>
  <c r="K78" i="17"/>
  <c r="D78" i="17"/>
  <c r="L75" i="17"/>
  <c r="K75" i="17"/>
  <c r="D75" i="17"/>
  <c r="L74" i="17"/>
  <c r="K74" i="17"/>
  <c r="D74" i="17"/>
  <c r="L73" i="17"/>
  <c r="K73" i="17"/>
  <c r="D73" i="17"/>
  <c r="L72" i="17"/>
  <c r="K72" i="17"/>
  <c r="D72" i="17"/>
  <c r="L71" i="17"/>
  <c r="K71" i="17"/>
  <c r="D71" i="17"/>
  <c r="L70" i="17"/>
  <c r="K70" i="17"/>
  <c r="D70" i="17"/>
  <c r="L69" i="17"/>
  <c r="K69" i="17"/>
  <c r="D69" i="17"/>
  <c r="L68" i="17"/>
  <c r="K68" i="17"/>
  <c r="D68" i="17"/>
  <c r="L65" i="17"/>
  <c r="K65" i="17"/>
  <c r="D65" i="17"/>
  <c r="L64" i="17"/>
  <c r="K64" i="17"/>
  <c r="D64" i="17"/>
  <c r="L63" i="17"/>
  <c r="K63" i="17"/>
  <c r="D63" i="17"/>
  <c r="L62" i="17"/>
  <c r="K62" i="17"/>
  <c r="D62" i="17"/>
  <c r="L61" i="17"/>
  <c r="K61" i="17"/>
  <c r="D61" i="17"/>
  <c r="L60" i="17"/>
  <c r="K60" i="17"/>
  <c r="D60" i="17"/>
  <c r="L59" i="17"/>
  <c r="K59" i="17"/>
  <c r="D59" i="17"/>
  <c r="L58" i="17"/>
  <c r="K58" i="17"/>
  <c r="D58" i="17"/>
  <c r="L57" i="17"/>
  <c r="K57" i="17"/>
  <c r="D57" i="17"/>
  <c r="L56" i="17"/>
  <c r="K56" i="17"/>
  <c r="D56" i="17"/>
  <c r="L55" i="17"/>
  <c r="K55" i="17"/>
  <c r="D55" i="17"/>
  <c r="L52" i="17"/>
  <c r="K52" i="17"/>
  <c r="D52" i="17"/>
  <c r="L51" i="17"/>
  <c r="K51" i="17"/>
  <c r="D51" i="17"/>
  <c r="L50" i="17"/>
  <c r="K50" i="17"/>
  <c r="D50" i="17"/>
  <c r="L49" i="17"/>
  <c r="K49" i="17"/>
  <c r="D49" i="17"/>
  <c r="L48" i="17"/>
  <c r="K48" i="17"/>
  <c r="D48" i="17"/>
  <c r="L47" i="17"/>
  <c r="K47" i="17"/>
  <c r="D47" i="17"/>
  <c r="L46" i="17"/>
  <c r="K46" i="17"/>
  <c r="D46" i="17"/>
  <c r="L45" i="17"/>
  <c r="K45" i="17"/>
  <c r="D45" i="17"/>
  <c r="L44" i="17"/>
  <c r="K44" i="17"/>
  <c r="D44" i="17"/>
  <c r="L41" i="17"/>
  <c r="K41" i="17"/>
  <c r="D41" i="17"/>
  <c r="L40" i="17"/>
  <c r="K40" i="17"/>
  <c r="D40" i="17"/>
  <c r="L39" i="17"/>
  <c r="K39" i="17"/>
  <c r="D39" i="17"/>
  <c r="L38" i="17"/>
  <c r="K38" i="17"/>
  <c r="D38" i="17"/>
  <c r="L37" i="17"/>
  <c r="K37" i="17"/>
  <c r="D37" i="17"/>
  <c r="L36" i="17"/>
  <c r="K36" i="17"/>
  <c r="D36" i="17"/>
  <c r="L33" i="17"/>
  <c r="K33" i="17"/>
  <c r="D33" i="17"/>
  <c r="L32" i="17"/>
  <c r="K32" i="17"/>
  <c r="D32" i="17"/>
  <c r="L29" i="17"/>
  <c r="K29" i="17"/>
  <c r="D29" i="17"/>
  <c r="L28" i="17"/>
  <c r="K28" i="17"/>
  <c r="D28" i="17"/>
  <c r="L25" i="17"/>
  <c r="K25" i="17"/>
  <c r="D25" i="17"/>
  <c r="L22" i="17"/>
  <c r="K22" i="17"/>
  <c r="D22" i="17"/>
  <c r="L19" i="17"/>
  <c r="K19" i="17"/>
  <c r="D19" i="17"/>
  <c r="L18" i="17"/>
  <c r="K18" i="17"/>
  <c r="D18" i="17"/>
  <c r="L17" i="17"/>
  <c r="K17" i="17"/>
  <c r="D17" i="17"/>
  <c r="L16" i="17"/>
  <c r="K16" i="17"/>
  <c r="D16" i="17"/>
  <c r="L15" i="17"/>
  <c r="K15" i="17"/>
  <c r="D15" i="17"/>
  <c r="L14" i="17"/>
  <c r="K14" i="17"/>
  <c r="D14" i="17"/>
  <c r="L11" i="17"/>
  <c r="K11" i="17"/>
  <c r="D11" i="17"/>
  <c r="L8" i="17"/>
  <c r="K8" i="17"/>
  <c r="D8" i="17"/>
  <c r="L7" i="17"/>
  <c r="K7" i="17"/>
  <c r="D7" i="17"/>
  <c r="L6" i="17"/>
  <c r="K6" i="17"/>
  <c r="D6" i="17"/>
  <c r="L14" i="14"/>
  <c r="K14" i="14"/>
  <c r="D14" i="14"/>
  <c r="L11" i="14"/>
  <c r="K11" i="14"/>
  <c r="D11" i="14"/>
  <c r="L10" i="14"/>
  <c r="K10" i="14"/>
  <c r="D10" i="14"/>
  <c r="L9" i="14"/>
  <c r="K9" i="14"/>
  <c r="D9" i="14"/>
  <c r="L6" i="14"/>
  <c r="K6" i="14"/>
  <c r="D6" i="14"/>
  <c r="L47" i="13"/>
  <c r="K47" i="13"/>
  <c r="D47" i="13"/>
  <c r="L46" i="13"/>
  <c r="K46" i="13"/>
  <c r="D46" i="13"/>
  <c r="L45" i="13"/>
  <c r="K45" i="13"/>
  <c r="D45" i="13"/>
  <c r="L44" i="13"/>
  <c r="K44" i="13"/>
  <c r="D44" i="13"/>
  <c r="L43" i="13"/>
  <c r="K43" i="13"/>
  <c r="D43" i="13"/>
  <c r="L42" i="13"/>
  <c r="K42" i="13"/>
  <c r="D42" i="13"/>
  <c r="L41" i="13"/>
  <c r="K41" i="13"/>
  <c r="D41" i="13"/>
  <c r="L38" i="13"/>
  <c r="K38" i="13"/>
  <c r="D38" i="13"/>
  <c r="L37" i="13"/>
  <c r="K37" i="13"/>
  <c r="D37" i="13"/>
  <c r="L36" i="13"/>
  <c r="K36" i="13"/>
  <c r="D36" i="13"/>
  <c r="L35" i="13"/>
  <c r="K35" i="13"/>
  <c r="D35" i="13"/>
  <c r="L32" i="13"/>
  <c r="K32" i="13"/>
  <c r="D32" i="13"/>
  <c r="L31" i="13"/>
  <c r="K31" i="13"/>
  <c r="D31" i="13"/>
  <c r="L30" i="13"/>
  <c r="K30" i="13"/>
  <c r="D30" i="13"/>
  <c r="L29" i="13"/>
  <c r="K29" i="13"/>
  <c r="D29" i="13"/>
  <c r="L28" i="13"/>
  <c r="K28" i="13"/>
  <c r="D28" i="13"/>
  <c r="L27" i="13"/>
  <c r="K27" i="13"/>
  <c r="D27" i="13"/>
  <c r="L26" i="13"/>
  <c r="K26" i="13"/>
  <c r="D26" i="13"/>
  <c r="L23" i="13"/>
  <c r="K23" i="13"/>
  <c r="D23" i="13"/>
  <c r="L22" i="13"/>
  <c r="K22" i="13"/>
  <c r="D22" i="13"/>
  <c r="L21" i="13"/>
  <c r="K21" i="13"/>
  <c r="D21" i="13"/>
  <c r="L18" i="13"/>
  <c r="K18" i="13"/>
  <c r="D18" i="13"/>
  <c r="L17" i="13"/>
  <c r="K17" i="13"/>
  <c r="D17" i="13"/>
  <c r="L14" i="13"/>
  <c r="K14" i="13"/>
  <c r="D14" i="13"/>
  <c r="L13" i="13"/>
  <c r="K13" i="13"/>
  <c r="D13" i="13"/>
  <c r="L12" i="13"/>
  <c r="K12" i="13"/>
  <c r="D12" i="13"/>
  <c r="L9" i="13"/>
  <c r="K9" i="13"/>
  <c r="D9" i="13"/>
  <c r="L6" i="13"/>
  <c r="K6" i="13"/>
  <c r="D6" i="13"/>
  <c r="T9" i="12"/>
  <c r="S9" i="12"/>
  <c r="D9" i="12"/>
  <c r="T6" i="12"/>
  <c r="S6" i="12"/>
  <c r="D6" i="12"/>
  <c r="T55" i="11"/>
  <c r="S55" i="11"/>
  <c r="D55" i="11"/>
  <c r="T54" i="11"/>
  <c r="S54" i="11"/>
  <c r="D54" i="11"/>
  <c r="T51" i="11"/>
  <c r="S51" i="11"/>
  <c r="D51" i="11"/>
  <c r="T50" i="11"/>
  <c r="S50" i="11"/>
  <c r="D50" i="11"/>
  <c r="T47" i="11"/>
  <c r="S47" i="11"/>
  <c r="D47" i="11"/>
  <c r="T46" i="11"/>
  <c r="S46" i="11"/>
  <c r="D46" i="11"/>
  <c r="T45" i="11"/>
  <c r="S45" i="11"/>
  <c r="D45" i="11"/>
  <c r="T42" i="11"/>
  <c r="S42" i="11"/>
  <c r="D42" i="11"/>
  <c r="T41" i="11"/>
  <c r="S41" i="11"/>
  <c r="D41" i="11"/>
  <c r="T40" i="11"/>
  <c r="S40" i="11"/>
  <c r="D40" i="11"/>
  <c r="T37" i="11"/>
  <c r="S37" i="11"/>
  <c r="D37" i="11"/>
  <c r="T36" i="11"/>
  <c r="S36" i="11"/>
  <c r="D36" i="11"/>
  <c r="T35" i="11"/>
  <c r="S35" i="11"/>
  <c r="D35" i="11"/>
  <c r="T34" i="11"/>
  <c r="S34" i="11"/>
  <c r="D34" i="11"/>
  <c r="T31" i="11"/>
  <c r="S31" i="11"/>
  <c r="D31" i="11"/>
  <c r="T30" i="11"/>
  <c r="S30" i="11"/>
  <c r="D30" i="11"/>
  <c r="T27" i="11"/>
  <c r="S27" i="11"/>
  <c r="D27" i="11"/>
  <c r="T26" i="11"/>
  <c r="S26" i="11"/>
  <c r="D26" i="11"/>
  <c r="T23" i="11"/>
  <c r="S23" i="11"/>
  <c r="D23" i="11"/>
  <c r="T20" i="11"/>
  <c r="S20" i="11"/>
  <c r="D20" i="11"/>
  <c r="T19" i="11"/>
  <c r="S19" i="11"/>
  <c r="D19" i="11"/>
  <c r="T16" i="11"/>
  <c r="S16" i="11"/>
  <c r="D16" i="11"/>
  <c r="T15" i="11"/>
  <c r="S15" i="11"/>
  <c r="D15" i="11"/>
  <c r="T12" i="11"/>
  <c r="S12" i="11"/>
  <c r="D12" i="11"/>
  <c r="T11" i="11"/>
  <c r="S11" i="11"/>
  <c r="D11" i="11"/>
  <c r="T10" i="11"/>
  <c r="S10" i="11"/>
  <c r="D10" i="11"/>
  <c r="T7" i="11"/>
  <c r="S7" i="11"/>
  <c r="D7" i="11"/>
  <c r="T6" i="11"/>
  <c r="S6" i="11"/>
  <c r="D6" i="11"/>
  <c r="T39" i="10"/>
  <c r="S39" i="10"/>
  <c r="D39" i="10"/>
  <c r="T36" i="10"/>
  <c r="S36" i="10"/>
  <c r="D36" i="10"/>
  <c r="T35" i="10"/>
  <c r="S35" i="10"/>
  <c r="D35" i="10"/>
  <c r="T34" i="10"/>
  <c r="S34" i="10"/>
  <c r="D34" i="10"/>
  <c r="T31" i="10"/>
  <c r="S31" i="10"/>
  <c r="D31" i="10"/>
  <c r="T30" i="10"/>
  <c r="S30" i="10"/>
  <c r="D30" i="10"/>
  <c r="T27" i="10"/>
  <c r="S27" i="10"/>
  <c r="D27" i="10"/>
  <c r="T26" i="10"/>
  <c r="S26" i="10"/>
  <c r="D26" i="10"/>
  <c r="T23" i="10"/>
  <c r="S23" i="10"/>
  <c r="D23" i="10"/>
  <c r="T20" i="10"/>
  <c r="S20" i="10"/>
  <c r="D20" i="10"/>
  <c r="T17" i="10"/>
  <c r="S17" i="10"/>
  <c r="D17" i="10"/>
  <c r="T14" i="10"/>
  <c r="S14" i="10"/>
  <c r="D14" i="10"/>
  <c r="T13" i="10"/>
  <c r="S13" i="10"/>
  <c r="D13" i="10"/>
  <c r="T10" i="10"/>
  <c r="S10" i="10"/>
  <c r="D10" i="10"/>
  <c r="T9" i="10"/>
  <c r="S9" i="10"/>
  <c r="D9" i="10"/>
  <c r="T6" i="10"/>
  <c r="S6" i="10"/>
  <c r="D6" i="10"/>
  <c r="T22" i="6"/>
  <c r="S22" i="6"/>
  <c r="D22" i="6"/>
  <c r="T19" i="6"/>
  <c r="S19" i="6"/>
  <c r="D19" i="6"/>
  <c r="T18" i="6"/>
  <c r="S18" i="6"/>
  <c r="D18" i="6"/>
  <c r="T15" i="6"/>
  <c r="S15" i="6"/>
  <c r="D15" i="6"/>
  <c r="T14" i="6"/>
  <c r="S14" i="6"/>
  <c r="D14" i="6"/>
  <c r="T11" i="6"/>
  <c r="S11" i="6"/>
  <c r="D11" i="6"/>
  <c r="T10" i="6"/>
  <c r="S10" i="6"/>
  <c r="D10" i="6"/>
  <c r="T9" i="6"/>
  <c r="S9" i="6"/>
  <c r="D9" i="6"/>
  <c r="T6" i="6"/>
  <c r="S6" i="6"/>
  <c r="D6" i="6"/>
  <c r="T24" i="5"/>
  <c r="S24" i="5"/>
  <c r="D24" i="5"/>
  <c r="T21" i="5"/>
  <c r="S21" i="5"/>
  <c r="D21" i="5"/>
  <c r="T20" i="5"/>
  <c r="S20" i="5"/>
  <c r="D20" i="5"/>
  <c r="T19" i="5"/>
  <c r="S19" i="5"/>
  <c r="D19" i="5"/>
  <c r="T18" i="5"/>
  <c r="S18" i="5"/>
  <c r="D18" i="5"/>
  <c r="T17" i="5"/>
  <c r="S17" i="5"/>
  <c r="D17" i="5"/>
  <c r="T14" i="5"/>
  <c r="S14" i="5"/>
  <c r="D14" i="5"/>
  <c r="T13" i="5"/>
  <c r="S13" i="5"/>
  <c r="D13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<sst xmlns="http://schemas.openxmlformats.org/spreadsheetml/2006/main" count="4427" uniqueCount="1491">
  <si>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</si>
  <si>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</si>
  <si>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</si>
  <si>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</si>
  <si>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</si>
  <si>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</si>
  <si>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</si>
  <si>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</si>
  <si>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</si>
  <si>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</si>
  <si>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Приседание</t>
  </si>
  <si>
    <t>Жим лёжа</t>
  </si>
  <si>
    <t>Становая тяга</t>
  </si>
  <si>
    <t>ВЕСОВАЯ КАТЕГОРИЯ   52</t>
  </si>
  <si>
    <t>Пырина Мария</t>
  </si>
  <si>
    <t>1. Пырина Мария</t>
  </si>
  <si>
    <t>Юниорки 20 - 23 (28.08.1997)/22</t>
  </si>
  <si>
    <t>48,80</t>
  </si>
  <si>
    <t xml:space="preserve">Лично </t>
  </si>
  <si>
    <t xml:space="preserve">Реутов/Московская область </t>
  </si>
  <si>
    <t>90,0</t>
  </si>
  <si>
    <t>95,0</t>
  </si>
  <si>
    <t>42,5</t>
  </si>
  <si>
    <t>47,5</t>
  </si>
  <si>
    <t>50,0</t>
  </si>
  <si>
    <t>100,0</t>
  </si>
  <si>
    <t>105,0</t>
  </si>
  <si>
    <t xml:space="preserve">Лазариди Г.К. </t>
  </si>
  <si>
    <t>ВЕСОВАЯ КАТЕГОРИЯ   82.5</t>
  </si>
  <si>
    <t>Кострюков Денис</t>
  </si>
  <si>
    <t>1. Кострюков Денис</t>
  </si>
  <si>
    <t>Открытая (02.07.1986)/33</t>
  </si>
  <si>
    <t>81,20</t>
  </si>
  <si>
    <t>135,0</t>
  </si>
  <si>
    <t>140,0</t>
  </si>
  <si>
    <t>85,0</t>
  </si>
  <si>
    <t>150,0</t>
  </si>
  <si>
    <t>160,0</t>
  </si>
  <si>
    <t xml:space="preserve">. </t>
  </si>
  <si>
    <t>ВЕСОВАЯ КАТЕГОРИЯ   90</t>
  </si>
  <si>
    <t>Ильенко Александр</t>
  </si>
  <si>
    <t>1. Ильенко Александр</t>
  </si>
  <si>
    <t>Юниоры 20 - 23 (23.03.1996)/23</t>
  </si>
  <si>
    <t>84,70</t>
  </si>
  <si>
    <t xml:space="preserve">Фряново/Московская область </t>
  </si>
  <si>
    <t>205,0</t>
  </si>
  <si>
    <t>220,0</t>
  </si>
  <si>
    <t>157,5</t>
  </si>
  <si>
    <t>162,5</t>
  </si>
  <si>
    <t>230,0</t>
  </si>
  <si>
    <t>250,0</t>
  </si>
  <si>
    <t>262,5</t>
  </si>
  <si>
    <t>280,0</t>
  </si>
  <si>
    <t xml:space="preserve">Резвых В.Н. </t>
  </si>
  <si>
    <t>Лебедев Александр</t>
  </si>
  <si>
    <t>1. Лебедев Александр</t>
  </si>
  <si>
    <t>Открытая (14.10.1993)/26</t>
  </si>
  <si>
    <t>88,40</t>
  </si>
  <si>
    <t xml:space="preserve">Химки/Московская область </t>
  </si>
  <si>
    <t>240,0</t>
  </si>
  <si>
    <t>0,0</t>
  </si>
  <si>
    <t>130,0</t>
  </si>
  <si>
    <t>147,5</t>
  </si>
  <si>
    <t xml:space="preserve">Локотков А. А. </t>
  </si>
  <si>
    <t>Сидоров Евгений</t>
  </si>
  <si>
    <t>2. Сидоров Евгений</t>
  </si>
  <si>
    <t>Открытая (15.07.1983)/36</t>
  </si>
  <si>
    <t>89,80</t>
  </si>
  <si>
    <t xml:space="preserve">Москва/ </t>
  </si>
  <si>
    <t>170,0</t>
  </si>
  <si>
    <t>190,0</t>
  </si>
  <si>
    <t>200,0</t>
  </si>
  <si>
    <t>165,0</t>
  </si>
  <si>
    <t>210,0</t>
  </si>
  <si>
    <t xml:space="preserve">Самост </t>
  </si>
  <si>
    <t>ВЕСОВАЯ КАТЕГОРИЯ   100</t>
  </si>
  <si>
    <t>Никитин Артем</t>
  </si>
  <si>
    <t>1. Никитин Артем</t>
  </si>
  <si>
    <t>Юниоры 20 - 23 (01.02.1998)/22</t>
  </si>
  <si>
    <t>97,90</t>
  </si>
  <si>
    <t xml:space="preserve">Russia </t>
  </si>
  <si>
    <t>270,0</t>
  </si>
  <si>
    <t>275,0</t>
  </si>
  <si>
    <t>300,0</t>
  </si>
  <si>
    <t>145,0</t>
  </si>
  <si>
    <t>245,0</t>
  </si>
  <si>
    <t>265,0</t>
  </si>
  <si>
    <t xml:space="preserve">Цацулин М. </t>
  </si>
  <si>
    <t>Маренков Юрий</t>
  </si>
  <si>
    <t>1. Маренков Юрий</t>
  </si>
  <si>
    <t>Открытая (18.12.1976)/43</t>
  </si>
  <si>
    <t>99,90</t>
  </si>
  <si>
    <t xml:space="preserve">Королёв/Московская область </t>
  </si>
  <si>
    <t>155,0</t>
  </si>
  <si>
    <t>167,5</t>
  </si>
  <si>
    <t>252,5</t>
  </si>
  <si>
    <t>260,0</t>
  </si>
  <si>
    <t xml:space="preserve">Журавлева Е. </t>
  </si>
  <si>
    <t>Пащенко Дмитрий</t>
  </si>
  <si>
    <t>2. Пащенко Дмитрий</t>
  </si>
  <si>
    <t>Открытая (17.04.1995)/24</t>
  </si>
  <si>
    <t>94,20</t>
  </si>
  <si>
    <t xml:space="preserve">Пащенко Д.В. </t>
  </si>
  <si>
    <t>Ветераны 40 - 44 (18.12.1976)/43</t>
  </si>
  <si>
    <t>Лакалин Александр</t>
  </si>
  <si>
    <t>2. Лакалин Александр</t>
  </si>
  <si>
    <t>Ветераны 40 - 44 (15.07.1979)/40</t>
  </si>
  <si>
    <t>95,50</t>
  </si>
  <si>
    <t xml:space="preserve">Одинцово/Московская область </t>
  </si>
  <si>
    <t>175,0</t>
  </si>
  <si>
    <t>120,0</t>
  </si>
  <si>
    <t>212,5</t>
  </si>
  <si>
    <t>ВЕСОВАЯ КАТЕГОРИЯ   110</t>
  </si>
  <si>
    <t>Шелеметьев Николай</t>
  </si>
  <si>
    <t>1. Шелеметьев Николай</t>
  </si>
  <si>
    <t>Открытая (14.01.1987)/33</t>
  </si>
  <si>
    <t>106,50</t>
  </si>
  <si>
    <t>255,0</t>
  </si>
  <si>
    <t xml:space="preserve">Золотаренок Андрей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</si>
  <si>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</si>
  <si>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</si>
  <si>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</si>
  <si>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</si>
  <si>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</si>
  <si>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</si>
  <si>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</si>
  <si>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Юниорки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</si>
  <si>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</si>
  <si>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</si>
  <si>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</si>
  <si>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</si>
  <si>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</si>
  <si>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Юниоры 20 - 23 </t>
  </si>
  <si>
    <t>52</t>
  </si>
  <si>
    <t>242,5</t>
  </si>
  <si>
    <t>317,2628</t>
  </si>
  <si>
    <t xml:space="preserve">Мужчины </t>
  </si>
  <si>
    <t xml:space="preserve">Юниоры </t>
  </si>
  <si>
    <t>100</t>
  </si>
  <si>
    <t>740,0</t>
  </si>
  <si>
    <t>454,2860</t>
  </si>
  <si>
    <t>90</t>
  </si>
  <si>
    <t>645,0</t>
  </si>
  <si>
    <t>425,5065</t>
  </si>
  <si>
    <t xml:space="preserve">Открытая </t>
  </si>
  <si>
    <t>707,5</t>
  </si>
  <si>
    <t>430,7260</t>
  </si>
  <si>
    <t>617,5</t>
  </si>
  <si>
    <t>397,9170</t>
  </si>
  <si>
    <t>615,0</t>
  </si>
  <si>
    <t>384,0060</t>
  </si>
  <si>
    <t>110</t>
  </si>
  <si>
    <t>635,0</t>
  </si>
  <si>
    <t>377,5710</t>
  </si>
  <si>
    <t>525,0</t>
  </si>
  <si>
    <t>335,5275</t>
  </si>
  <si>
    <t>82.5</t>
  </si>
  <si>
    <t>380,0</t>
  </si>
  <si>
    <t>257,0320</t>
  </si>
  <si>
    <t xml:space="preserve">Ветераны </t>
  </si>
  <si>
    <t xml:space="preserve">Ветераны 40 - 44 </t>
  </si>
  <si>
    <t>444,0785</t>
  </si>
  <si>
    <t>535,0</t>
  </si>
  <si>
    <t>332,0210</t>
  </si>
  <si>
    <t>ВЕСОВАЯ КАТЕГОРИЯ   67.5</t>
  </si>
  <si>
    <t>Лухин Максим</t>
  </si>
  <si>
    <t>-. Лухин Максим</t>
  </si>
  <si>
    <t>Юниоры 20 - 23 (16.07.1999)/20</t>
  </si>
  <si>
    <t>66,50</t>
  </si>
  <si>
    <t xml:space="preserve">Серпухов/Московская область </t>
  </si>
  <si>
    <t>Хоменко Роман</t>
  </si>
  <si>
    <t>1. Хоменко Роман</t>
  </si>
  <si>
    <t>Открытая (22.10.1996)/23</t>
  </si>
  <si>
    <t>89,90</t>
  </si>
  <si>
    <t>235,0</t>
  </si>
  <si>
    <t>290,0</t>
  </si>
  <si>
    <t>310,0</t>
  </si>
  <si>
    <t xml:space="preserve"> </t>
  </si>
  <si>
    <t>Афанасьев Николай</t>
  </si>
  <si>
    <t>2. Афанасьев Николай</t>
  </si>
  <si>
    <t>Открытая (27.04.1981)/38</t>
  </si>
  <si>
    <t>89,60</t>
  </si>
  <si>
    <t>172,5</t>
  </si>
  <si>
    <t xml:space="preserve">Афанасьев Н.Н. </t>
  </si>
  <si>
    <t>Чернов Олег</t>
  </si>
  <si>
    <t>3. Чернов Олег</t>
  </si>
  <si>
    <t>Открытая (04.06.1986)/33</t>
  </si>
  <si>
    <t>87,20</t>
  </si>
  <si>
    <t>180,0</t>
  </si>
  <si>
    <t>110,0</t>
  </si>
  <si>
    <t>115,0</t>
  </si>
  <si>
    <t>117,5</t>
  </si>
  <si>
    <t>215,0</t>
  </si>
  <si>
    <t>Чернявский Игорь</t>
  </si>
  <si>
    <t>1. Чернявский Игорь</t>
  </si>
  <si>
    <t>Открытая (05.08.1984)/35</t>
  </si>
  <si>
    <t>98,10</t>
  </si>
  <si>
    <t>225,0</t>
  </si>
  <si>
    <t>237,5</t>
  </si>
  <si>
    <t>232,5</t>
  </si>
  <si>
    <t>Карнилов Алексей</t>
  </si>
  <si>
    <t>2. Карнилов Алексей</t>
  </si>
  <si>
    <t>Открытая (02.12.1984)/35</t>
  </si>
  <si>
    <t>95,30</t>
  </si>
  <si>
    <t xml:space="preserve">Карнилов.А.Ю </t>
  </si>
  <si>
    <t>Капутин Денис</t>
  </si>
  <si>
    <t>1. Капутин Денис</t>
  </si>
  <si>
    <t>Открытая (03.05.1988)/31</t>
  </si>
  <si>
    <t>102,80</t>
  </si>
  <si>
    <t xml:space="preserve">Капутин Д. В. </t>
  </si>
  <si>
    <t>-. Дворцов Александр</t>
  </si>
  <si>
    <t>Открытая (09.07.1981)/38</t>
  </si>
  <si>
    <t>107,50</t>
  </si>
  <si>
    <t xml:space="preserve">Дворцов А.В. </t>
  </si>
  <si>
    <t>ВЕСОВАЯ КАТЕГОРИЯ   125</t>
  </si>
  <si>
    <t>Степовой Валерий</t>
  </si>
  <si>
    <t>1. Степовой Валерий</t>
  </si>
  <si>
    <t>Ветераны 45 - 49 (25.06.1973)/46</t>
  </si>
  <si>
    <t>117,70</t>
  </si>
  <si>
    <t xml:space="preserve">Подольск/Московская область </t>
  </si>
  <si>
    <t>451,9510</t>
  </si>
  <si>
    <t>685,0</t>
  </si>
  <si>
    <t>438,2630</t>
  </si>
  <si>
    <t>640,0</t>
  </si>
  <si>
    <t>392,5760</t>
  </si>
  <si>
    <t>650,0</t>
  </si>
  <si>
    <t>391,3650</t>
  </si>
  <si>
    <t>532,5</t>
  </si>
  <si>
    <t>345,6458</t>
  </si>
  <si>
    <t>550,0</t>
  </si>
  <si>
    <t>341,6050</t>
  </si>
  <si>
    <t xml:space="preserve">Ветераны 45 - 49 </t>
  </si>
  <si>
    <t>125</t>
  </si>
  <si>
    <t>680,0</t>
  </si>
  <si>
    <t>419,4762</t>
  </si>
  <si>
    <t>Кончакова Наталья</t>
  </si>
  <si>
    <t>1. Кончакова Наталья</t>
  </si>
  <si>
    <t>Открытая (14.08.1977)/42</t>
  </si>
  <si>
    <t>51,70</t>
  </si>
  <si>
    <t>142,5</t>
  </si>
  <si>
    <t>65,0</t>
  </si>
  <si>
    <t>67,5</t>
  </si>
  <si>
    <t>70,0</t>
  </si>
  <si>
    <t xml:space="preserve">Исаков П.Г. </t>
  </si>
  <si>
    <t>ВЕСОВАЯ КАТЕГОРИЯ   56</t>
  </si>
  <si>
    <t>Фатькина Оксана</t>
  </si>
  <si>
    <t>1. Фатькина Оксана</t>
  </si>
  <si>
    <t>Открытая (25.04.1973)/46</t>
  </si>
  <si>
    <t>53,30</t>
  </si>
  <si>
    <t xml:space="preserve">Балашиха/Московская область </t>
  </si>
  <si>
    <t>96,0</t>
  </si>
  <si>
    <t>102,5</t>
  </si>
  <si>
    <t>52,5</t>
  </si>
  <si>
    <t>55,0</t>
  </si>
  <si>
    <t>57,5</t>
  </si>
  <si>
    <t xml:space="preserve">Брехов Р.О. </t>
  </si>
  <si>
    <t>Ветераны 45 - 49 (25.04.1973)/46</t>
  </si>
  <si>
    <t>Рыжова Алина</t>
  </si>
  <si>
    <t>1. Рыжова Алина</t>
  </si>
  <si>
    <t>Юниорки 20 - 23 (27.03.1996)/23</t>
  </si>
  <si>
    <t>63,00</t>
  </si>
  <si>
    <t>127,5</t>
  </si>
  <si>
    <t>Открытая (27.03.1996)/23</t>
  </si>
  <si>
    <t>Логинова Анастасия</t>
  </si>
  <si>
    <t>1. Логинова Анастасия</t>
  </si>
  <si>
    <t>Открытая (04.04.1995)/24</t>
  </si>
  <si>
    <t>86,50</t>
  </si>
  <si>
    <t>122,5</t>
  </si>
  <si>
    <t>60,0</t>
  </si>
  <si>
    <t>ВЕСОВАЯ КАТЕГОРИЯ   90+</t>
  </si>
  <si>
    <t>Зенькова Яна</t>
  </si>
  <si>
    <t>1. Зенькова Яна</t>
  </si>
  <si>
    <t>Юниорки 20 - 23 (09.10.1998)/21</t>
  </si>
  <si>
    <t>72,5</t>
  </si>
  <si>
    <t xml:space="preserve">Румянцев С.В. </t>
  </si>
  <si>
    <t>ВЕСОВАЯ КАТЕГОРИЯ   75</t>
  </si>
  <si>
    <t>Шарапов Владислав</t>
  </si>
  <si>
    <t>1. Шарапов Владислав</t>
  </si>
  <si>
    <t>Юниоры 20 - 23 (19.01.1998)/22</t>
  </si>
  <si>
    <t>74,10</t>
  </si>
  <si>
    <t xml:space="preserve">Мичуринск/Тамбовская область </t>
  </si>
  <si>
    <t>125,0</t>
  </si>
  <si>
    <t xml:space="preserve">Лучников И.Я. </t>
  </si>
  <si>
    <t>Тарасов Виталий</t>
  </si>
  <si>
    <t>1. Тарасов Виталий</t>
  </si>
  <si>
    <t>Открытая (09.06.1977)/42</t>
  </si>
  <si>
    <t>86,80</t>
  </si>
  <si>
    <t xml:space="preserve">Филиппов Игорь </t>
  </si>
  <si>
    <t>Лавренчук Максим</t>
  </si>
  <si>
    <t>2. Лавренчук Максим</t>
  </si>
  <si>
    <t>Открытая (05.03.1992)/27</t>
  </si>
  <si>
    <t>88,10</t>
  </si>
  <si>
    <t xml:space="preserve">Лавренчук М.М. </t>
  </si>
  <si>
    <t>Петров Антон</t>
  </si>
  <si>
    <t>1. Петров Антон</t>
  </si>
  <si>
    <t>Открытая (06.09.1990)/29</t>
  </si>
  <si>
    <t>99,20</t>
  </si>
  <si>
    <t>Веремеенко Антон</t>
  </si>
  <si>
    <t>1. Веремеенко Антон</t>
  </si>
  <si>
    <t>Ветераны 40 - 44 (29.01.1977)/43</t>
  </si>
  <si>
    <t>96,10</t>
  </si>
  <si>
    <t xml:space="preserve">Дмитров/Московская область </t>
  </si>
  <si>
    <t>185,0</t>
  </si>
  <si>
    <t>195,0</t>
  </si>
  <si>
    <t>Дрожжин Андрей</t>
  </si>
  <si>
    <t>1. Дрожжин Андрей</t>
  </si>
  <si>
    <t>Открытая (21.11.1977)/42</t>
  </si>
  <si>
    <t>116,80</t>
  </si>
  <si>
    <t xml:space="preserve">Хотьково/Московская область </t>
  </si>
  <si>
    <t>285,0</t>
  </si>
  <si>
    <t xml:space="preserve">Мамичева Е. </t>
  </si>
  <si>
    <t>Рак Иван</t>
  </si>
  <si>
    <t>2. Рак Иван</t>
  </si>
  <si>
    <t>Открытая (27.08.1974)/45</t>
  </si>
  <si>
    <t>120,00</t>
  </si>
  <si>
    <t>277,5</t>
  </si>
  <si>
    <t xml:space="preserve">Евстигнеев М. </t>
  </si>
  <si>
    <t>1. Рак Иван</t>
  </si>
  <si>
    <t>Ветераны 45 - 49 (27.08.1974)/45</t>
  </si>
  <si>
    <t>ВЕСОВАЯ КАТЕГОРИЯ   140</t>
  </si>
  <si>
    <t>Цуркану Сергей</t>
  </si>
  <si>
    <t>1. Цуркану Сергей</t>
  </si>
  <si>
    <t>Открытая (08.04.1983)/36</t>
  </si>
  <si>
    <t>133,30</t>
  </si>
  <si>
    <t xml:space="preserve">Плотников М. </t>
  </si>
  <si>
    <t>90+</t>
  </si>
  <si>
    <t>310,5360</t>
  </si>
  <si>
    <t>67.5</t>
  </si>
  <si>
    <t>300,7200</t>
  </si>
  <si>
    <t>392,5</t>
  </si>
  <si>
    <t>491,4885</t>
  </si>
  <si>
    <t>56</t>
  </si>
  <si>
    <t>296,5775</t>
  </si>
  <si>
    <t>305,0</t>
  </si>
  <si>
    <t>268,1560</t>
  </si>
  <si>
    <t>316,7448</t>
  </si>
  <si>
    <t>75</t>
  </si>
  <si>
    <t>555,0</t>
  </si>
  <si>
    <t>398,8230</t>
  </si>
  <si>
    <t>770,0</t>
  </si>
  <si>
    <t>445,5990</t>
  </si>
  <si>
    <t>140</t>
  </si>
  <si>
    <t>416,6940</t>
  </si>
  <si>
    <t>630,0</t>
  </si>
  <si>
    <t>409,9410</t>
  </si>
  <si>
    <t>695,0</t>
  </si>
  <si>
    <t>399,5555</t>
  </si>
  <si>
    <t>595,0</t>
  </si>
  <si>
    <t>363,3070</t>
  </si>
  <si>
    <t>560,0</t>
  </si>
  <si>
    <t>361,4800</t>
  </si>
  <si>
    <t>421,5310</t>
  </si>
  <si>
    <t>357,2704</t>
  </si>
  <si>
    <t>ВЕСОВАЯ КАТЕГОРИЯ   48</t>
  </si>
  <si>
    <t>Сучкова Екатерина</t>
  </si>
  <si>
    <t>1. Сучкова Екатерина</t>
  </si>
  <si>
    <t>Юниорки 20 - 23 (15.05.1997)/22</t>
  </si>
  <si>
    <t>44,10</t>
  </si>
  <si>
    <t>77,5</t>
  </si>
  <si>
    <t>35,0</t>
  </si>
  <si>
    <t>37,5</t>
  </si>
  <si>
    <t>40,0</t>
  </si>
  <si>
    <t>97,5</t>
  </si>
  <si>
    <t>107,5</t>
  </si>
  <si>
    <t>Каргина Екатерина</t>
  </si>
  <si>
    <t>1. Каргина Екатерина</t>
  </si>
  <si>
    <t>Открытая (16.10.1993)/26</t>
  </si>
  <si>
    <t>47,90</t>
  </si>
  <si>
    <t>80,0</t>
  </si>
  <si>
    <t xml:space="preserve">Пармут Виталий Вячеславович </t>
  </si>
  <si>
    <t>Шарова Марина</t>
  </si>
  <si>
    <t>1. Шарова Марина</t>
  </si>
  <si>
    <t>Девушки 15-19 (04.03.2000)/19</t>
  </si>
  <si>
    <t>55,20</t>
  </si>
  <si>
    <t xml:space="preserve">Дубна/Московская область </t>
  </si>
  <si>
    <t>63,0</t>
  </si>
  <si>
    <t xml:space="preserve">Шарова М.Г. </t>
  </si>
  <si>
    <t>Открытая (04.03.2000)/19</t>
  </si>
  <si>
    <t>Попова Анастасия</t>
  </si>
  <si>
    <t>2. Попова Анастасия</t>
  </si>
  <si>
    <t>Открытая (09.05.1992)/27</t>
  </si>
  <si>
    <t>56,00</t>
  </si>
  <si>
    <t xml:space="preserve">Московская область/Московская </t>
  </si>
  <si>
    <t>82,5</t>
  </si>
  <si>
    <t>92,5</t>
  </si>
  <si>
    <t xml:space="preserve">Юдаев А </t>
  </si>
  <si>
    <t>ВЕСОВАЯ КАТЕГОРИЯ   60</t>
  </si>
  <si>
    <t>Васильева Алена</t>
  </si>
  <si>
    <t>1. Васильева Алена</t>
  </si>
  <si>
    <t>Юниорки 20 - 23 (09.05.1998)/21</t>
  </si>
  <si>
    <t>58,50</t>
  </si>
  <si>
    <t xml:space="preserve">Солнечногорск/Московская облас </t>
  </si>
  <si>
    <t>45,0</t>
  </si>
  <si>
    <t xml:space="preserve">Васильева А.В. </t>
  </si>
  <si>
    <t>Бадаева Юля</t>
  </si>
  <si>
    <t>1. Бадаева Юля</t>
  </si>
  <si>
    <t>Ветераны 40 - 44 (01.04.1979)/40</t>
  </si>
  <si>
    <t>59,30</t>
  </si>
  <si>
    <t xml:space="preserve">Клыпов </t>
  </si>
  <si>
    <t>Гореловская Эмилия</t>
  </si>
  <si>
    <t>1. Гореловская Эмилия</t>
  </si>
  <si>
    <t>Открытая (12.06.1991)/28</t>
  </si>
  <si>
    <t>62,50</t>
  </si>
  <si>
    <t xml:space="preserve">Щербинка/Московская область </t>
  </si>
  <si>
    <t xml:space="preserve">Замп Н.Б. </t>
  </si>
  <si>
    <t>Султанова Диана</t>
  </si>
  <si>
    <t>2. Султанова Диана</t>
  </si>
  <si>
    <t>Открытая (15.04.1995)/24</t>
  </si>
  <si>
    <t>67,50</t>
  </si>
  <si>
    <t>87,5</t>
  </si>
  <si>
    <t>Ушкова Анна</t>
  </si>
  <si>
    <t>1. Ушкова Анна</t>
  </si>
  <si>
    <t>Открытая (03.06.1982)/37</t>
  </si>
  <si>
    <t>70,60</t>
  </si>
  <si>
    <t xml:space="preserve">Шувалов С.А. </t>
  </si>
  <si>
    <t>1. Лухин Максим</t>
  </si>
  <si>
    <t>66,60</t>
  </si>
  <si>
    <t>Кукушкин Андрей</t>
  </si>
  <si>
    <t>1. Кукушкин Андрей</t>
  </si>
  <si>
    <t>Открытая (28.03.1986)/33</t>
  </si>
  <si>
    <t>66,40</t>
  </si>
  <si>
    <t>Кашников Артём</t>
  </si>
  <si>
    <t>1. Кашников Артём</t>
  </si>
  <si>
    <t>Юноши 15-19 (22.08.2003)/16</t>
  </si>
  <si>
    <t>70,30</t>
  </si>
  <si>
    <t>Фролов Ярослав</t>
  </si>
  <si>
    <t>2. Фролов Ярослав</t>
  </si>
  <si>
    <t>Юноши 15-19 (17.12.2004)/15</t>
  </si>
  <si>
    <t>72,20</t>
  </si>
  <si>
    <t>112,5</t>
  </si>
  <si>
    <t>62,5</t>
  </si>
  <si>
    <t xml:space="preserve">Малов </t>
  </si>
  <si>
    <t>Воробьев Михаил</t>
  </si>
  <si>
    <t>1. Воробьев Михаил</t>
  </si>
  <si>
    <t>Открытая (21.11.1990)/29</t>
  </si>
  <si>
    <t>80,70</t>
  </si>
  <si>
    <t xml:space="preserve">Люберцы/Московская область </t>
  </si>
  <si>
    <t>187,5</t>
  </si>
  <si>
    <t>Пронин Андрей</t>
  </si>
  <si>
    <t>2. Пронин Андрей</t>
  </si>
  <si>
    <t>Открытая (03.04.1991)/28</t>
  </si>
  <si>
    <t>81,90</t>
  </si>
  <si>
    <t xml:space="preserve">Москва </t>
  </si>
  <si>
    <t>Михеев Дмитрий</t>
  </si>
  <si>
    <t>3. Михеев Дмитрий</t>
  </si>
  <si>
    <t>Открытая (25.10.1983)/36</t>
  </si>
  <si>
    <t>76,80</t>
  </si>
  <si>
    <t xml:space="preserve">Михеев Д. Д. </t>
  </si>
  <si>
    <t>Гвоздев Алексей</t>
  </si>
  <si>
    <t>1. Гвоздев Алексей</t>
  </si>
  <si>
    <t>Ветераны 45 - 49 (27.03.1972)/47</t>
  </si>
  <si>
    <t>81,80</t>
  </si>
  <si>
    <t>177,5</t>
  </si>
  <si>
    <t>227,5</t>
  </si>
  <si>
    <t>Леднёв Кирилл</t>
  </si>
  <si>
    <t>1. Леднёв Кирилл</t>
  </si>
  <si>
    <t>Открытая (05.04.1987)/32</t>
  </si>
  <si>
    <t>Пашев Михаил</t>
  </si>
  <si>
    <t>2. Пашев Михаил</t>
  </si>
  <si>
    <t>Открытая (09.11.1986)/33</t>
  </si>
  <si>
    <t>89,30</t>
  </si>
  <si>
    <t xml:space="preserve">Пашев М.С. </t>
  </si>
  <si>
    <t>-. Файзи Денис</t>
  </si>
  <si>
    <t>Открытая (28.01.1989)/31</t>
  </si>
  <si>
    <t>89,70</t>
  </si>
  <si>
    <t>Анисимов Алексей</t>
  </si>
  <si>
    <t>1. Анисимов Алексей</t>
  </si>
  <si>
    <t>Открытая (25.02.1992)/27</t>
  </si>
  <si>
    <t>91,40</t>
  </si>
  <si>
    <t xml:space="preserve">Жиздра/Калужская область </t>
  </si>
  <si>
    <t>Батанов Сергей</t>
  </si>
  <si>
    <t>2. Батанов Сергей</t>
  </si>
  <si>
    <t>Открытая (14.07.1987)/32</t>
  </si>
  <si>
    <t>95,00</t>
  </si>
  <si>
    <t>Трунов Олег</t>
  </si>
  <si>
    <t>-. Трунов Олег</t>
  </si>
  <si>
    <t>Открытая (08.08.1988)/31</t>
  </si>
  <si>
    <t>97,70</t>
  </si>
  <si>
    <t xml:space="preserve">Довбыш О. </t>
  </si>
  <si>
    <t>Пармут Виталий</t>
  </si>
  <si>
    <t>1. Пармут Виталий</t>
  </si>
  <si>
    <t>Открытая (18.04.1987)/32</t>
  </si>
  <si>
    <t>109,30</t>
  </si>
  <si>
    <t xml:space="preserve">Каргина Е. </t>
  </si>
  <si>
    <t>Таргонский Чеслав</t>
  </si>
  <si>
    <t>1. Таргонский Чеслав</t>
  </si>
  <si>
    <t>Ветераны 60 - 64 (06.01.1958)/62</t>
  </si>
  <si>
    <t>101,90</t>
  </si>
  <si>
    <t xml:space="preserve">Журавлев С.П. </t>
  </si>
  <si>
    <t>Ширяев Артем</t>
  </si>
  <si>
    <t>1. Ширяев Артем</t>
  </si>
  <si>
    <t>Открытая (12.11.1992)/27</t>
  </si>
  <si>
    <t>121,50</t>
  </si>
  <si>
    <t>267,5</t>
  </si>
  <si>
    <t>Фролов Александр</t>
  </si>
  <si>
    <t>2. Фролов Александр</t>
  </si>
  <si>
    <t>Открытая (17.01.1988)/32</t>
  </si>
  <si>
    <t>124,30</t>
  </si>
  <si>
    <t xml:space="preserve">Девушки </t>
  </si>
  <si>
    <t xml:space="preserve">Юноши 15-19 </t>
  </si>
  <si>
    <t>309,4000</t>
  </si>
  <si>
    <t>48</t>
  </si>
  <si>
    <t>316,3275</t>
  </si>
  <si>
    <t>60</t>
  </si>
  <si>
    <t>227,4200</t>
  </si>
  <si>
    <t>344,8900</t>
  </si>
  <si>
    <t>295,0</t>
  </si>
  <si>
    <t>318,7475</t>
  </si>
  <si>
    <t>279,4425</t>
  </si>
  <si>
    <t>262,0850</t>
  </si>
  <si>
    <t>260,2530</t>
  </si>
  <si>
    <t>270,0240</t>
  </si>
  <si>
    <t xml:space="preserve">Юноши </t>
  </si>
  <si>
    <t>412,5</t>
  </si>
  <si>
    <t>308,0963</t>
  </si>
  <si>
    <t>302,5</t>
  </si>
  <si>
    <t>221,4905</t>
  </si>
  <si>
    <t>487,5</t>
  </si>
  <si>
    <t>379,9575</t>
  </si>
  <si>
    <t>437,9550</t>
  </si>
  <si>
    <t>700,0</t>
  </si>
  <si>
    <t>412,7900</t>
  </si>
  <si>
    <t>682,5</t>
  </si>
  <si>
    <t>391,2773</t>
  </si>
  <si>
    <t>580,0</t>
  </si>
  <si>
    <t>367,4300</t>
  </si>
  <si>
    <t>547,5</t>
  </si>
  <si>
    <t>355,3823</t>
  </si>
  <si>
    <t>537,5</t>
  </si>
  <si>
    <t>344,5375</t>
  </si>
  <si>
    <t>530,0</t>
  </si>
  <si>
    <t>329,6600</t>
  </si>
  <si>
    <t>415,0</t>
  </si>
  <si>
    <t>324,2395</t>
  </si>
  <si>
    <t>545,0</t>
  </si>
  <si>
    <t>310,9225</t>
  </si>
  <si>
    <t>395,0</t>
  </si>
  <si>
    <t>276,9345</t>
  </si>
  <si>
    <t>410,0</t>
  </si>
  <si>
    <t>275,8890</t>
  </si>
  <si>
    <t xml:space="preserve">Ветераны 60 - 64 </t>
  </si>
  <si>
    <t>592,5</t>
  </si>
  <si>
    <t>498,5954</t>
  </si>
  <si>
    <t>520,0</t>
  </si>
  <si>
    <t>378,8818</t>
  </si>
  <si>
    <t>Яшин Виктор</t>
  </si>
  <si>
    <t>1. Яшин Виктор</t>
  </si>
  <si>
    <t>Открытая (29.10.1989)/30</t>
  </si>
  <si>
    <t>87,40</t>
  </si>
  <si>
    <t xml:space="preserve">Ушков И.Д. </t>
  </si>
  <si>
    <t>Клыпов Сергей</t>
  </si>
  <si>
    <t>1. Клыпов Сергей</t>
  </si>
  <si>
    <t>Открытая (24.08.1980)/39</t>
  </si>
  <si>
    <t>705,0</t>
  </si>
  <si>
    <t>430,4730</t>
  </si>
  <si>
    <t>605,0</t>
  </si>
  <si>
    <t>392,2215</t>
  </si>
  <si>
    <t>Давыденко Дарья</t>
  </si>
  <si>
    <t>1. Давыденко Дарья</t>
  </si>
  <si>
    <t>Открытая (29.04.1984)/35</t>
  </si>
  <si>
    <t>55,40</t>
  </si>
  <si>
    <t>32,5</t>
  </si>
  <si>
    <t xml:space="preserve">Ремизевич Евгений Александрови </t>
  </si>
  <si>
    <t>Родионова Ирина</t>
  </si>
  <si>
    <t>1. Родионова Ирина</t>
  </si>
  <si>
    <t>Открытая (01.03.1987)/32</t>
  </si>
  <si>
    <t>64,60</t>
  </si>
  <si>
    <t>Попов Максим</t>
  </si>
  <si>
    <t>1. Попов Максим</t>
  </si>
  <si>
    <t>Открытая (03.09.1984)/35</t>
  </si>
  <si>
    <t>71,00</t>
  </si>
  <si>
    <t xml:space="preserve">Устинов Н.Н. </t>
  </si>
  <si>
    <t>Кулаков Владимир</t>
  </si>
  <si>
    <t>2. Кулаков Владимир</t>
  </si>
  <si>
    <t>Открытая (24.12.1955)/64</t>
  </si>
  <si>
    <t>72,90</t>
  </si>
  <si>
    <t>75,0</t>
  </si>
  <si>
    <t>1. Кулаков Владимир</t>
  </si>
  <si>
    <t>Ветераны 65 - 69 (24.12.1955)/64</t>
  </si>
  <si>
    <t>-. Петрокович Николай</t>
  </si>
  <si>
    <t>Ветераны 40 - 44 (17.08.1979)/40</t>
  </si>
  <si>
    <t>78,00</t>
  </si>
  <si>
    <t>Молочков Алексей</t>
  </si>
  <si>
    <t>1. Молочков Алексей</t>
  </si>
  <si>
    <t>Ветераны 55 - 59 (08.08.1962)/57</t>
  </si>
  <si>
    <t>82,00</t>
  </si>
  <si>
    <t xml:space="preserve">Антипов Д.В. </t>
  </si>
  <si>
    <t>Собцов Дмитрий</t>
  </si>
  <si>
    <t>1. Собцов Дмитрий</t>
  </si>
  <si>
    <t>Открытая (04.06.1991)/28</t>
  </si>
  <si>
    <t>88,70</t>
  </si>
  <si>
    <t xml:space="preserve">Трофимов А. </t>
  </si>
  <si>
    <t>Мурзабеков Беймурад</t>
  </si>
  <si>
    <t>2. Мурзабеков Беймурад</t>
  </si>
  <si>
    <t>Открытая (06.09.1988)/31</t>
  </si>
  <si>
    <t>90,00</t>
  </si>
  <si>
    <t>182,5</t>
  </si>
  <si>
    <t xml:space="preserve">Мурзабеков Б.А. </t>
  </si>
  <si>
    <t>Шабалин Александр</t>
  </si>
  <si>
    <t>1. Шабалин Александр</t>
  </si>
  <si>
    <t>Ветераны 45 - 49 (07.09.1971)/48</t>
  </si>
  <si>
    <t>Постаногов Геннадий</t>
  </si>
  <si>
    <t>1. Постаногов Геннадий</t>
  </si>
  <si>
    <t>Открытая (26.04.1984)/35</t>
  </si>
  <si>
    <t>98,00</t>
  </si>
  <si>
    <t>192,5</t>
  </si>
  <si>
    <t xml:space="preserve">Аверьянов А. </t>
  </si>
  <si>
    <t>Мучлер Александр</t>
  </si>
  <si>
    <t>2. Мучлер Александр</t>
  </si>
  <si>
    <t>Открытая (06.08.1979)/40</t>
  </si>
  <si>
    <t>95,90</t>
  </si>
  <si>
    <t xml:space="preserve">Беловал Е. </t>
  </si>
  <si>
    <t>Ююкин Максим</t>
  </si>
  <si>
    <t>3. Ююкин Максим</t>
  </si>
  <si>
    <t>Открытая (09.05.1982)/37</t>
  </si>
  <si>
    <t>98,90</t>
  </si>
  <si>
    <t xml:space="preserve">Ананин А. </t>
  </si>
  <si>
    <t>Гончар Сергей</t>
  </si>
  <si>
    <t>4. Гончар Сергей</t>
  </si>
  <si>
    <t>Открытая (14.06.1989)/30</t>
  </si>
  <si>
    <t>98,50</t>
  </si>
  <si>
    <t xml:space="preserve">Красково/Московская область </t>
  </si>
  <si>
    <t xml:space="preserve">Гончар С.В. </t>
  </si>
  <si>
    <t>1. Мучлер Александр</t>
  </si>
  <si>
    <t>Ветераны 40 - 44 (06.08.1979)/40</t>
  </si>
  <si>
    <t>Уткин Вадим</t>
  </si>
  <si>
    <t>1. Уткин Вадим</t>
  </si>
  <si>
    <t>Ветераны 45 - 49 (10.07.1972)/47</t>
  </si>
  <si>
    <t>98,40</t>
  </si>
  <si>
    <t>Петросян Артур</t>
  </si>
  <si>
    <t>1. Петросян Артур</t>
  </si>
  <si>
    <t>Ветераны 50 - 54 (23.02.1970)/50</t>
  </si>
  <si>
    <t xml:space="preserve">Петросян А В </t>
  </si>
  <si>
    <t>Комиссаров Константин</t>
  </si>
  <si>
    <t>1. Комиссаров Константин</t>
  </si>
  <si>
    <t>Открытая (12.05.1985)/34</t>
  </si>
  <si>
    <t>107,10</t>
  </si>
  <si>
    <t xml:space="preserve">Ульянов А.В. </t>
  </si>
  <si>
    <t>Самсонов Юрий</t>
  </si>
  <si>
    <t>2. Самсонов Юрий</t>
  </si>
  <si>
    <t>Открытая (24.08.1982)/37</t>
  </si>
  <si>
    <t>110,00</t>
  </si>
  <si>
    <t xml:space="preserve">Кочетков А </t>
  </si>
  <si>
    <t>Цымбаленко Владимир</t>
  </si>
  <si>
    <t>3. Цымбаленко Владимир</t>
  </si>
  <si>
    <t>Открытая (13.07.1985)/34</t>
  </si>
  <si>
    <t>108,60</t>
  </si>
  <si>
    <t>Филин Вячеслав</t>
  </si>
  <si>
    <t>1. Филин Вячеслав</t>
  </si>
  <si>
    <t>Ветераны 55 - 59 (12.11.1961)/58</t>
  </si>
  <si>
    <t>102,50</t>
  </si>
  <si>
    <t xml:space="preserve">Тула/Тульская область </t>
  </si>
  <si>
    <t xml:space="preserve">Соломин В.Б. </t>
  </si>
  <si>
    <t>Кудряшов Владимир</t>
  </si>
  <si>
    <t>1. Кудряшов Владимир</t>
  </si>
  <si>
    <t>Открытая (05.11.1985)/34</t>
  </si>
  <si>
    <t>121,10</t>
  </si>
  <si>
    <t>247,5</t>
  </si>
  <si>
    <t>Голованов Игорь</t>
  </si>
  <si>
    <t>2. Голованов Игорь</t>
  </si>
  <si>
    <t>Открытая (04.11.1983)/36</t>
  </si>
  <si>
    <t>119,50</t>
  </si>
  <si>
    <t>222,5</t>
  </si>
  <si>
    <t>Седых Александр</t>
  </si>
  <si>
    <t>3. Седых Александр</t>
  </si>
  <si>
    <t>Открытая (24.05.1990)/29</t>
  </si>
  <si>
    <t>114,70</t>
  </si>
  <si>
    <t>207,5</t>
  </si>
  <si>
    <t>217,5</t>
  </si>
  <si>
    <t xml:space="preserve">Самостоятельно </t>
  </si>
  <si>
    <t>Быков Александр</t>
  </si>
  <si>
    <t>1. Быков Александр</t>
  </si>
  <si>
    <t>Ветераны 45 - 49 (06.04.1974)/45</t>
  </si>
  <si>
    <t>114,90</t>
  </si>
  <si>
    <t xml:space="preserve">Быков Александр Викторович </t>
  </si>
  <si>
    <t>Ищенко Виталий</t>
  </si>
  <si>
    <t>2. Ищенко Виталий</t>
  </si>
  <si>
    <t>Ветераны 45 - 49 (03.07.1975)/44</t>
  </si>
  <si>
    <t>113,10</t>
  </si>
  <si>
    <t xml:space="preserve">Ищенко Виталий Николаевич </t>
  </si>
  <si>
    <t>Алхазов Алихан</t>
  </si>
  <si>
    <t>1. Алхазов Алихан</t>
  </si>
  <si>
    <t>Ветераны 50 - 54 (21.01.1968)/52</t>
  </si>
  <si>
    <t>125,00</t>
  </si>
  <si>
    <t xml:space="preserve">Карачаевск/Карачаево-Черкесия республика </t>
  </si>
  <si>
    <t>Мишта Юрий</t>
  </si>
  <si>
    <t>1. Мишта Юрий</t>
  </si>
  <si>
    <t>Ветераны 60 - 64 (24.11.1958)/61</t>
  </si>
  <si>
    <t xml:space="preserve">Полицковая Е.В. </t>
  </si>
  <si>
    <t>57,9645</t>
  </si>
  <si>
    <t>41,5310</t>
  </si>
  <si>
    <t>143,9238</t>
  </si>
  <si>
    <t>137,6880</t>
  </si>
  <si>
    <t>128,0488</t>
  </si>
  <si>
    <t>126,4762</t>
  </si>
  <si>
    <t>123,5850</t>
  </si>
  <si>
    <t>122,2080</t>
  </si>
  <si>
    <t>116,5080</t>
  </si>
  <si>
    <t>115,0500</t>
  </si>
  <si>
    <t>112,2710</t>
  </si>
  <si>
    <t>111,4920</t>
  </si>
  <si>
    <t>106,9775</t>
  </si>
  <si>
    <t>103,7960</t>
  </si>
  <si>
    <t>88,7835</t>
  </si>
  <si>
    <t>58,1680</t>
  </si>
  <si>
    <t xml:space="preserve">Ветераны 55 - 59 </t>
  </si>
  <si>
    <t>147,8608</t>
  </si>
  <si>
    <t>133,5033</t>
  </si>
  <si>
    <t xml:space="preserve">Ветераны 50 - 54 </t>
  </si>
  <si>
    <t>126,1252</t>
  </si>
  <si>
    <t>123,6275</t>
  </si>
  <si>
    <t>122,6332</t>
  </si>
  <si>
    <t>119,6645</t>
  </si>
  <si>
    <t>115,6803</t>
  </si>
  <si>
    <t>114,1498</t>
  </si>
  <si>
    <t>106,0533</t>
  </si>
  <si>
    <t xml:space="preserve">Ветераны 65 - 69 </t>
  </si>
  <si>
    <t>84,3436</t>
  </si>
  <si>
    <t>Результат</t>
  </si>
  <si>
    <t>Шалимова Татьяна</t>
  </si>
  <si>
    <t>1. Шалимова Татьяна</t>
  </si>
  <si>
    <t>Ветераны 40 - 44 (10.01.1976)/44</t>
  </si>
  <si>
    <t>73,30</t>
  </si>
  <si>
    <t xml:space="preserve">Мишенин С.В. </t>
  </si>
  <si>
    <t>Санников Владислав</t>
  </si>
  <si>
    <t>1. Санников Владислав</t>
  </si>
  <si>
    <t>Открытая (29.10.1938)/81</t>
  </si>
  <si>
    <t>73,80</t>
  </si>
  <si>
    <t>-. Шабров Александр</t>
  </si>
  <si>
    <t>Открытая (07.02.1991)/29</t>
  </si>
  <si>
    <t>97,00</t>
  </si>
  <si>
    <t>45,2735</t>
  </si>
  <si>
    <t>63,0613</t>
  </si>
  <si>
    <t>54,5325</t>
  </si>
  <si>
    <t>79,0721</t>
  </si>
  <si>
    <t>Чурина Полина</t>
  </si>
  <si>
    <t>1. Чурина Полина</t>
  </si>
  <si>
    <t>Девушки 15-19 (03.05.2004)/15</t>
  </si>
  <si>
    <t>45,00</t>
  </si>
  <si>
    <t>25,0</t>
  </si>
  <si>
    <t>27,5</t>
  </si>
  <si>
    <t>30,0</t>
  </si>
  <si>
    <t>Бажина Екатерина</t>
  </si>
  <si>
    <t>1. Бажина Екатерина</t>
  </si>
  <si>
    <t>Открытая (04.04.1983)/36</t>
  </si>
  <si>
    <t>47,40</t>
  </si>
  <si>
    <t xml:space="preserve">Бажина Е.В. </t>
  </si>
  <si>
    <t>Цатнева Ольга</t>
  </si>
  <si>
    <t>2. Цатнева Ольга</t>
  </si>
  <si>
    <t>Открытая (29.03.1992)/27</t>
  </si>
  <si>
    <t>46,50</t>
  </si>
  <si>
    <t xml:space="preserve">ЦатнеаО </t>
  </si>
  <si>
    <t>Большакова Алия</t>
  </si>
  <si>
    <t>1. Большакова Алия</t>
  </si>
  <si>
    <t>Открытая (25.12.1983)/36</t>
  </si>
  <si>
    <t>51,90</t>
  </si>
  <si>
    <t xml:space="preserve">Крылов В. </t>
  </si>
  <si>
    <t>Староверова Виктория</t>
  </si>
  <si>
    <t>1. Староверова Виктория</t>
  </si>
  <si>
    <t>Юниорки 20 - 23 (02.08.1996)/23</t>
  </si>
  <si>
    <t>55,00</t>
  </si>
  <si>
    <t xml:space="preserve">Егорьевск/Московская область </t>
  </si>
  <si>
    <t xml:space="preserve">Илья Ушков </t>
  </si>
  <si>
    <t>Монахова Анастасия</t>
  </si>
  <si>
    <t>2. Монахова Анастасия</t>
  </si>
  <si>
    <t>Юниорки 20 - 23 (04.10.1996)/23</t>
  </si>
  <si>
    <t xml:space="preserve">Монахова </t>
  </si>
  <si>
    <t>Очирова Елена</t>
  </si>
  <si>
    <t>1. Очирова Елена</t>
  </si>
  <si>
    <t>Открытая (15.09.1975)/44</t>
  </si>
  <si>
    <t>55,90</t>
  </si>
  <si>
    <t>Щербакова Елена</t>
  </si>
  <si>
    <t>2. Щербакова Елена</t>
  </si>
  <si>
    <t>Открытая (14.04.1979)/40</t>
  </si>
  <si>
    <t>53,70</t>
  </si>
  <si>
    <t xml:space="preserve">Щербакова Елена Александровна </t>
  </si>
  <si>
    <t>1. Щербакова Елена</t>
  </si>
  <si>
    <t>Ветераны 40 - 44 (14.04.1979)/40</t>
  </si>
  <si>
    <t>-. Балдина Юлия</t>
  </si>
  <si>
    <t>Ветераны 40 - 44 (30.12.1979)/40</t>
  </si>
  <si>
    <t xml:space="preserve">Электросталь/Московская област </t>
  </si>
  <si>
    <t xml:space="preserve">Черепков А. </t>
  </si>
  <si>
    <t>Дубровская Анна</t>
  </si>
  <si>
    <t>1. Дубровская Анна</t>
  </si>
  <si>
    <t>Открытая (10.01.1996)/24</t>
  </si>
  <si>
    <t>60,00</t>
  </si>
  <si>
    <t xml:space="preserve">Романов Ю.Н. </t>
  </si>
  <si>
    <t>Яцменко Анна</t>
  </si>
  <si>
    <t>1. Яцменко Анна</t>
  </si>
  <si>
    <t>Открытая (03.04.1990)/29</t>
  </si>
  <si>
    <t>65,00</t>
  </si>
  <si>
    <t>Алешкина Александра</t>
  </si>
  <si>
    <t>1. Алешкина Александра</t>
  </si>
  <si>
    <t>Девушки 15-19 (27.10.2000)/19</t>
  </si>
  <si>
    <t>70,00</t>
  </si>
  <si>
    <t xml:space="preserve">Истра/Московская область </t>
  </si>
  <si>
    <t xml:space="preserve">Лазарев В.В. </t>
  </si>
  <si>
    <t>Горбунова Инна</t>
  </si>
  <si>
    <t>1. Горбунова Инна</t>
  </si>
  <si>
    <t>Открытая (26.05.1983)/36</t>
  </si>
  <si>
    <t>73,70</t>
  </si>
  <si>
    <t xml:space="preserve">Горбунова И. М. </t>
  </si>
  <si>
    <t>Булыгин Андрей</t>
  </si>
  <si>
    <t>2. Булыгин Андрей</t>
  </si>
  <si>
    <t>Открытая (30.11.1993)/26</t>
  </si>
  <si>
    <t>66,70</t>
  </si>
  <si>
    <t>Сотников Дмитрий</t>
  </si>
  <si>
    <t>1. Сотников Дмитрий</t>
  </si>
  <si>
    <t>Юноши 15-19 (16.03.2003)/16</t>
  </si>
  <si>
    <t>69,30</t>
  </si>
  <si>
    <t xml:space="preserve">Балугин Н.В. </t>
  </si>
  <si>
    <t>Чичерин-Лукьяненко Андрей</t>
  </si>
  <si>
    <t>2. Чичерин-Лукьяненко Андрей</t>
  </si>
  <si>
    <t>Юноши 15-19 (23.11.2000)/19</t>
  </si>
  <si>
    <t>74,30</t>
  </si>
  <si>
    <t xml:space="preserve">Чичерин-Лукьяненко Андрей Игор </t>
  </si>
  <si>
    <t>Монин Михаил</t>
  </si>
  <si>
    <t>3. Монин Михаил</t>
  </si>
  <si>
    <t>Юноши 15-19 (24.06.2000)/19</t>
  </si>
  <si>
    <t>73,50</t>
  </si>
  <si>
    <t>Соков Илья</t>
  </si>
  <si>
    <t>1. Соков Илья</t>
  </si>
  <si>
    <t>Юниоры 20 - 23 (13.02.1997)/23</t>
  </si>
  <si>
    <t>74,20</t>
  </si>
  <si>
    <t xml:space="preserve">Соков И. С </t>
  </si>
  <si>
    <t>Кондратюк Антон</t>
  </si>
  <si>
    <t>1. Кондратюк Антон</t>
  </si>
  <si>
    <t>Открытая (06.09.1986)/33</t>
  </si>
  <si>
    <t>73,90</t>
  </si>
  <si>
    <t>137,5</t>
  </si>
  <si>
    <t xml:space="preserve">Кондратюк А.А. </t>
  </si>
  <si>
    <t>Ветров Николай</t>
  </si>
  <si>
    <t>1. Ветров Николай</t>
  </si>
  <si>
    <t>Ветераны 70 - 74 (12.09.1945)/74</t>
  </si>
  <si>
    <t>74,40</t>
  </si>
  <si>
    <t xml:space="preserve">Санников В.М. </t>
  </si>
  <si>
    <t>-. Аксенов Филипп</t>
  </si>
  <si>
    <t>Юноши 15-19 (29.08.2003)/16</t>
  </si>
  <si>
    <t>77,60</t>
  </si>
  <si>
    <t xml:space="preserve">Никитин В.О </t>
  </si>
  <si>
    <t>Равкин Александр</t>
  </si>
  <si>
    <t>1. Равкин Александр</t>
  </si>
  <si>
    <t>Юниоры 20 - 23 (27.05.1999)/20</t>
  </si>
  <si>
    <t>78,80</t>
  </si>
  <si>
    <t xml:space="preserve">Равкин А.Н. </t>
  </si>
  <si>
    <t>Кожевников Алексей</t>
  </si>
  <si>
    <t>2. Кожевников Алексей</t>
  </si>
  <si>
    <t>Открытая (20.12.1983)/36</t>
  </si>
  <si>
    <t xml:space="preserve">Домашевский А.В. </t>
  </si>
  <si>
    <t>Поронькин Андрей</t>
  </si>
  <si>
    <t>3. Поронькин Андрей</t>
  </si>
  <si>
    <t>Открытая (15.01.1995)/25</t>
  </si>
  <si>
    <t>81,10</t>
  </si>
  <si>
    <t xml:space="preserve">Поронькин А. А </t>
  </si>
  <si>
    <t>Кузьмин Сергей</t>
  </si>
  <si>
    <t>4. Кузьмин Сергей</t>
  </si>
  <si>
    <t>Открытая (15.09.1993)/26</t>
  </si>
  <si>
    <t>78,40</t>
  </si>
  <si>
    <t>Кирин Алексей</t>
  </si>
  <si>
    <t>5. Кирин Алексей</t>
  </si>
  <si>
    <t>Открытая (31.12.1986)/33</t>
  </si>
  <si>
    <t>81,00</t>
  </si>
  <si>
    <t xml:space="preserve">Кирин А.В. </t>
  </si>
  <si>
    <t>Илькаев Олег</t>
  </si>
  <si>
    <t>1. Илькаев Олег</t>
  </si>
  <si>
    <t>Ветераны 40 - 44 (20.06.1976)/43</t>
  </si>
  <si>
    <t>80,00</t>
  </si>
  <si>
    <t xml:space="preserve">Сидельников М. А. </t>
  </si>
  <si>
    <t>Кондрашев Сергей</t>
  </si>
  <si>
    <t>1. Кондрашев Сергей</t>
  </si>
  <si>
    <t>Ветераны 55 - 59 (16.09.1963)/56</t>
  </si>
  <si>
    <t>82,50</t>
  </si>
  <si>
    <t>Азарсков Николай</t>
  </si>
  <si>
    <t>1. Азарсков Николай</t>
  </si>
  <si>
    <t>Юниоры 20 - 23 (24.05.1996)/23</t>
  </si>
  <si>
    <t>87,80</t>
  </si>
  <si>
    <t xml:space="preserve">Азарсков Н. М </t>
  </si>
  <si>
    <t>-. Чепченко Егор</t>
  </si>
  <si>
    <t>Юниоры 20 - 23 (10.04.1997)/22</t>
  </si>
  <si>
    <t>89,00</t>
  </si>
  <si>
    <t xml:space="preserve">Чепченко Е.В </t>
  </si>
  <si>
    <t>Мищенко Артем</t>
  </si>
  <si>
    <t>1. Мищенко Артем</t>
  </si>
  <si>
    <t>Открытая (26.06.1984)/35</t>
  </si>
  <si>
    <t xml:space="preserve">Чокаев У. </t>
  </si>
  <si>
    <t>Брындин Олег</t>
  </si>
  <si>
    <t>2. Брындин Олег</t>
  </si>
  <si>
    <t>Открытая (21.06.1993)/26</t>
  </si>
  <si>
    <t>87,10</t>
  </si>
  <si>
    <t xml:space="preserve">Солнечногорск/Московская область </t>
  </si>
  <si>
    <t xml:space="preserve">Брындин О.А. </t>
  </si>
  <si>
    <t>Легкий Александр</t>
  </si>
  <si>
    <t>3. Легкий Александр</t>
  </si>
  <si>
    <t>Открытая (26.03.1986)/33</t>
  </si>
  <si>
    <t>87,50</t>
  </si>
  <si>
    <t xml:space="preserve">Градинарь В.В. </t>
  </si>
  <si>
    <t>Почиталкин Игорь</t>
  </si>
  <si>
    <t>4. Почиталкин Игорь</t>
  </si>
  <si>
    <t>Открытая (22.06.1984)/35</t>
  </si>
  <si>
    <t>85,80</t>
  </si>
  <si>
    <t xml:space="preserve">Игорь Почиталкин </t>
  </si>
  <si>
    <t>Большаков Денис</t>
  </si>
  <si>
    <t>1. Большаков Денис</t>
  </si>
  <si>
    <t>Ветераны 40 - 44 (22.07.1979)/40</t>
  </si>
  <si>
    <t>88,60</t>
  </si>
  <si>
    <t>Хорхордин Игорь</t>
  </si>
  <si>
    <t>1. Хорхордин Игорь</t>
  </si>
  <si>
    <t>Ветераны 50 - 54 (15.06.1967)/52</t>
  </si>
  <si>
    <t>Протасов Алексей</t>
  </si>
  <si>
    <t>2. Протасов Алексей</t>
  </si>
  <si>
    <t>Ветераны 50 - 54 (16.11.1967)/52</t>
  </si>
  <si>
    <t>88,00</t>
  </si>
  <si>
    <t>Сорокин Геннадий</t>
  </si>
  <si>
    <t>1. Сорокин Геннадий</t>
  </si>
  <si>
    <t>Ветераны 60 - 64 (08.09.1959)/60</t>
  </si>
  <si>
    <t>88,90</t>
  </si>
  <si>
    <t>Смирнов Леонид</t>
  </si>
  <si>
    <t>2. Смирнов Леонид</t>
  </si>
  <si>
    <t>Ветераны 60 - 64 (26.09.1957)/62</t>
  </si>
  <si>
    <t xml:space="preserve">Смирнов Л.А. </t>
  </si>
  <si>
    <t>Алексеенко Максим</t>
  </si>
  <si>
    <t>1. Алексеенко Максим</t>
  </si>
  <si>
    <t>Юниоры 20 - 23 (17.09.1997)/22</t>
  </si>
  <si>
    <t>97,40</t>
  </si>
  <si>
    <t xml:space="preserve">Сидельников М.А. </t>
  </si>
  <si>
    <t>Матвеев Павел</t>
  </si>
  <si>
    <t>1. Матвеев Павел</t>
  </si>
  <si>
    <t>Открытая (06.08.1993)/26</t>
  </si>
  <si>
    <t xml:space="preserve">Щелково-3/Московская </t>
  </si>
  <si>
    <t>2. Трунов Олег</t>
  </si>
  <si>
    <t>Милосердов Павел</t>
  </si>
  <si>
    <t>3. Милосердов Павел</t>
  </si>
  <si>
    <t>Открытая (11.10.1993)/26</t>
  </si>
  <si>
    <t xml:space="preserve">Седых А. </t>
  </si>
  <si>
    <t>Зайцев Дмитрий</t>
  </si>
  <si>
    <t>1. Зайцев Дмитрий</t>
  </si>
  <si>
    <t>Ветераны 40 - 44 (16.10.1976)/43</t>
  </si>
  <si>
    <t>97,50</t>
  </si>
  <si>
    <t>Чаганов Андрей</t>
  </si>
  <si>
    <t>2. Чаганов Андрей</t>
  </si>
  <si>
    <t>Ветераны 40 - 44 (18.11.1976)/43</t>
  </si>
  <si>
    <t>99,70</t>
  </si>
  <si>
    <t>Баннов Григорий</t>
  </si>
  <si>
    <t>3. Баннов Григорий</t>
  </si>
  <si>
    <t>Ветераны 40 - 44 (19.10.1975)/44</t>
  </si>
  <si>
    <t xml:space="preserve">Московская </t>
  </si>
  <si>
    <t xml:space="preserve">Раменское/Московская область </t>
  </si>
  <si>
    <t xml:space="preserve">Кондрашов Ю.С. </t>
  </si>
  <si>
    <t>Канищев Роман</t>
  </si>
  <si>
    <t>1. Канищев Роман</t>
  </si>
  <si>
    <t>Ветераны 45 - 49 (05.09.1973)/46</t>
  </si>
  <si>
    <t xml:space="preserve">Канищев Р.В. </t>
  </si>
  <si>
    <t>Сенаторов Степан</t>
  </si>
  <si>
    <t>1. Сенаторов Степан</t>
  </si>
  <si>
    <t>Юноши 15-19 (18.04.2003)/16</t>
  </si>
  <si>
    <t>108,00</t>
  </si>
  <si>
    <t>Членов Олег</t>
  </si>
  <si>
    <t>1. Членов Олег</t>
  </si>
  <si>
    <t>Открытая (27.03.1993)/26</t>
  </si>
  <si>
    <t>102,40</t>
  </si>
  <si>
    <t xml:space="preserve">Членов О.Е. </t>
  </si>
  <si>
    <t>Долин Ярослав</t>
  </si>
  <si>
    <t>2. Долин Ярослав</t>
  </si>
  <si>
    <t>Открытая (12.07.1988)/31</t>
  </si>
  <si>
    <t>106,10</t>
  </si>
  <si>
    <t xml:space="preserve">Долин Я.В. </t>
  </si>
  <si>
    <t>Рёмин Кирилл</t>
  </si>
  <si>
    <t>1. Рёмин Кирилл</t>
  </si>
  <si>
    <t>Ветераны 40 - 44 (13.08.1975)/44</t>
  </si>
  <si>
    <t>103,80</t>
  </si>
  <si>
    <t xml:space="preserve">Сергиев Посад/Московская облас </t>
  </si>
  <si>
    <t xml:space="preserve">Пушнин.М. </t>
  </si>
  <si>
    <t>Карчевский Аркадий</t>
  </si>
  <si>
    <t>2. Карчевский Аркадий</t>
  </si>
  <si>
    <t>Ветераны 40 - 44 (28.04.1975)/44</t>
  </si>
  <si>
    <t>107,90</t>
  </si>
  <si>
    <t>152,5</t>
  </si>
  <si>
    <t xml:space="preserve">Романов Ю. </t>
  </si>
  <si>
    <t>Герштанский Сергей</t>
  </si>
  <si>
    <t>1. Герштанский Сергей</t>
  </si>
  <si>
    <t>107,80</t>
  </si>
  <si>
    <t xml:space="preserve">Щегольгов В.И. </t>
  </si>
  <si>
    <t>-. Столбовой Виталий</t>
  </si>
  <si>
    <t>Ветераны 45 - 49 (14.06.1973)/46</t>
  </si>
  <si>
    <t>109,00</t>
  </si>
  <si>
    <t xml:space="preserve">Ноглики/Сахалинская область </t>
  </si>
  <si>
    <t xml:space="preserve">Пастушенко А.А. </t>
  </si>
  <si>
    <t>Бурлов Иван</t>
  </si>
  <si>
    <t>1. Бурлов Иван</t>
  </si>
  <si>
    <t>Ветераны 50 - 54 (20.01.1970)/50</t>
  </si>
  <si>
    <t>Киреев Дмитрий</t>
  </si>
  <si>
    <t>2. Киреев Дмитрий</t>
  </si>
  <si>
    <t>Ветераны 50 - 54 (25.08.1969)/50</t>
  </si>
  <si>
    <t>108,90</t>
  </si>
  <si>
    <t>Кондратьев Валерий</t>
  </si>
  <si>
    <t>1. Кондратьев Валерий</t>
  </si>
  <si>
    <t>Ветераны 55 - 59 (15.01.1964)/56</t>
  </si>
  <si>
    <t>105,20</t>
  </si>
  <si>
    <t>Яковенко Владимир</t>
  </si>
  <si>
    <t>1. Яковенко Владимир</t>
  </si>
  <si>
    <t>Ветераны 60 - 64 (27.03.1959)/60</t>
  </si>
  <si>
    <t>107,30</t>
  </si>
  <si>
    <t xml:space="preserve">Можайск/Московская область </t>
  </si>
  <si>
    <t xml:space="preserve">яковенко </t>
  </si>
  <si>
    <t>Полетаев Владимир</t>
  </si>
  <si>
    <t>1. Полетаев Владимир</t>
  </si>
  <si>
    <t>Открытая (01.01.1988)/32</t>
  </si>
  <si>
    <t>123,30</t>
  </si>
  <si>
    <t xml:space="preserve">Лобня/Московская область </t>
  </si>
  <si>
    <t xml:space="preserve">Полетаев В.О. </t>
  </si>
  <si>
    <t>Чубаров Владимир</t>
  </si>
  <si>
    <t>1. Чубаров Владимир</t>
  </si>
  <si>
    <t>Ветераны 55 - 59 (03.04.1964)/55</t>
  </si>
  <si>
    <t>122,90</t>
  </si>
  <si>
    <t>Сахаров Григорий</t>
  </si>
  <si>
    <t>1. Сахаров Григорий</t>
  </si>
  <si>
    <t>Ветераны 40 - 44 (17.06.1977)/42</t>
  </si>
  <si>
    <t>128,40</t>
  </si>
  <si>
    <t xml:space="preserve">Коротков М. </t>
  </si>
  <si>
    <t>54,7140</t>
  </si>
  <si>
    <t>41,6040</t>
  </si>
  <si>
    <t>65,6315</t>
  </si>
  <si>
    <t>38,2395</t>
  </si>
  <si>
    <t>82,4810</t>
  </si>
  <si>
    <t>73,5185</t>
  </si>
  <si>
    <t>66,8940</t>
  </si>
  <si>
    <t>57,6780</t>
  </si>
  <si>
    <t>56,1825</t>
  </si>
  <si>
    <t>50,8237</t>
  </si>
  <si>
    <t>47,2095</t>
  </si>
  <si>
    <t>39,5167</t>
  </si>
  <si>
    <t>84,9600</t>
  </si>
  <si>
    <t>77,1097</t>
  </si>
  <si>
    <t>66,5887</t>
  </si>
  <si>
    <t>65,0520</t>
  </si>
  <si>
    <t>97,0050</t>
  </si>
  <si>
    <t>87,9427</t>
  </si>
  <si>
    <t>79,9760</t>
  </si>
  <si>
    <t>79,2695</t>
  </si>
  <si>
    <t>122,2200</t>
  </si>
  <si>
    <t>116,1615</t>
  </si>
  <si>
    <t>115,5562</t>
  </si>
  <si>
    <t>113,5113</t>
  </si>
  <si>
    <t>110,5920</t>
  </si>
  <si>
    <t>105,5250</t>
  </si>
  <si>
    <t>100,6725</t>
  </si>
  <si>
    <t>100,4245</t>
  </si>
  <si>
    <t>94,9605</t>
  </si>
  <si>
    <t>93,6000</t>
  </si>
  <si>
    <t>88,9720</t>
  </si>
  <si>
    <t>87,9970</t>
  </si>
  <si>
    <t>85,9430</t>
  </si>
  <si>
    <t>84,2963</t>
  </si>
  <si>
    <t>79,5340</t>
  </si>
  <si>
    <t>77,8500</t>
  </si>
  <si>
    <t>74,5140</t>
  </si>
  <si>
    <t>71,4480</t>
  </si>
  <si>
    <t>133,4265</t>
  </si>
  <si>
    <t>126,1040</t>
  </si>
  <si>
    <t>122,4284</t>
  </si>
  <si>
    <t>116,6334</t>
  </si>
  <si>
    <t>113,3774</t>
  </si>
  <si>
    <t>113,2715</t>
  </si>
  <si>
    <t>110,0614</t>
  </si>
  <si>
    <t>109,8652</t>
  </si>
  <si>
    <t>109,5150</t>
  </si>
  <si>
    <t xml:space="preserve">Ветераны 70 - 74 </t>
  </si>
  <si>
    <t>106,1195</t>
  </si>
  <si>
    <t>104,7209</t>
  </si>
  <si>
    <t>104,3369</t>
  </si>
  <si>
    <t>104,1756</t>
  </si>
  <si>
    <t>103,0356</t>
  </si>
  <si>
    <t>100,5101</t>
  </si>
  <si>
    <t>100,3536</t>
  </si>
  <si>
    <t>98,5550</t>
  </si>
  <si>
    <t>96,8559</t>
  </si>
  <si>
    <t>78,2704</t>
  </si>
  <si>
    <t>75,6230</t>
  </si>
  <si>
    <t>70,3864</t>
  </si>
  <si>
    <t>Подгорнова Арина</t>
  </si>
  <si>
    <t>1. Подгорнова Арина</t>
  </si>
  <si>
    <t>Девушки 15-19 (11.03.2002)/17</t>
  </si>
  <si>
    <t>63,60</t>
  </si>
  <si>
    <t xml:space="preserve">Орехово-Зуево/Московская область </t>
  </si>
  <si>
    <t>Семешов Андрей</t>
  </si>
  <si>
    <t>1. Семешов Андрей</t>
  </si>
  <si>
    <t>Открытая (02.06.1980)/39</t>
  </si>
  <si>
    <t>81,70</t>
  </si>
  <si>
    <t xml:space="preserve">- </t>
  </si>
  <si>
    <t>Игнатов Андрей</t>
  </si>
  <si>
    <t>1. Игнатов Андрей</t>
  </si>
  <si>
    <t>Открытая (22.02.1992)/28</t>
  </si>
  <si>
    <t>100,00</t>
  </si>
  <si>
    <t>Панюшин Павел</t>
  </si>
  <si>
    <t>2. Панюшин Павел</t>
  </si>
  <si>
    <t>Открытая (26.09.1989)/30</t>
  </si>
  <si>
    <t>98,30</t>
  </si>
  <si>
    <t xml:space="preserve">Орехово-Зуево/Московская облас </t>
  </si>
  <si>
    <t xml:space="preserve">Панюшин П.В. </t>
  </si>
  <si>
    <t>Панков Николай</t>
  </si>
  <si>
    <t>1. Панков Николай</t>
  </si>
  <si>
    <t>Юниоры 20 - 23 (17.07.1996)/23</t>
  </si>
  <si>
    <t>106,30</t>
  </si>
  <si>
    <t>Литовский Михаил</t>
  </si>
  <si>
    <t>1. Литовский Михаил</t>
  </si>
  <si>
    <t>Открытая (16.01.1993)/27</t>
  </si>
  <si>
    <t>105,80</t>
  </si>
  <si>
    <t>101,2985</t>
  </si>
  <si>
    <t>119,0000</t>
  </si>
  <si>
    <t>164,3220</t>
  </si>
  <si>
    <t>121,3020</t>
  </si>
  <si>
    <t>111,7500</t>
  </si>
  <si>
    <t>101,1285</t>
  </si>
  <si>
    <t>Ремизевич Евгений</t>
  </si>
  <si>
    <t>1. Ремизевич Евгений</t>
  </si>
  <si>
    <t>Открытая (03.03.1992)/27</t>
  </si>
  <si>
    <t>80,30</t>
  </si>
  <si>
    <t xml:space="preserve">Лакалин А.С. </t>
  </si>
  <si>
    <t>Качаев Иван</t>
  </si>
  <si>
    <t>1. Качаев Иван</t>
  </si>
  <si>
    <t>Юниоры 20 - 23 (05.11.1996)/23</t>
  </si>
  <si>
    <t>88,50</t>
  </si>
  <si>
    <t xml:space="preserve">Луговой А.С. </t>
  </si>
  <si>
    <t>Мацкевич Александр</t>
  </si>
  <si>
    <t>1. Мацкевич Александр</t>
  </si>
  <si>
    <t>Открытая (26.08.1988)/31</t>
  </si>
  <si>
    <t>330,0</t>
  </si>
  <si>
    <t>340,5</t>
  </si>
  <si>
    <t xml:space="preserve">Ушаков А. </t>
  </si>
  <si>
    <t>Сазонов Павел</t>
  </si>
  <si>
    <t>2. Сазонов Павел</t>
  </si>
  <si>
    <t>Открытая (08.06.1986)/33</t>
  </si>
  <si>
    <t>98,80</t>
  </si>
  <si>
    <t>315,0</t>
  </si>
  <si>
    <t>320,0</t>
  </si>
  <si>
    <t>Замп Николай</t>
  </si>
  <si>
    <t>1. Замп Николай</t>
  </si>
  <si>
    <t>Открытая (02.03.1990)/29</t>
  </si>
  <si>
    <t>100,50</t>
  </si>
  <si>
    <t>Золотаренок Андрей</t>
  </si>
  <si>
    <t>1. Золотаренок Андрей</t>
  </si>
  <si>
    <t>Ветераны 40 - 44 (23.11.1978)/41</t>
  </si>
  <si>
    <t xml:space="preserve">Игамов Ш.Ш. </t>
  </si>
  <si>
    <t>138,4600</t>
  </si>
  <si>
    <t>207,2283</t>
  </si>
  <si>
    <t>200,1780</t>
  </si>
  <si>
    <t>192,6540</t>
  </si>
  <si>
    <t>163,9980</t>
  </si>
  <si>
    <t>149,8420</t>
  </si>
  <si>
    <t>149,4547</t>
  </si>
  <si>
    <t>Цепелева Мария</t>
  </si>
  <si>
    <t>1. Цепелева Мария</t>
  </si>
  <si>
    <t>Открытая (28.04.1989)/30</t>
  </si>
  <si>
    <t>48,00</t>
  </si>
  <si>
    <t xml:space="preserve">Афанасьев Н. </t>
  </si>
  <si>
    <t>2. Бажина Екатерина</t>
  </si>
  <si>
    <t>Постникова Светлана</t>
  </si>
  <si>
    <t>1. Постникова Светлана</t>
  </si>
  <si>
    <t>Открытая (04.09.1986)/33</t>
  </si>
  <si>
    <t>50,90</t>
  </si>
  <si>
    <t xml:space="preserve">Постникова С. С. </t>
  </si>
  <si>
    <t>-. Викторова Виктория</t>
  </si>
  <si>
    <t>Открытая (15.09.1999)/20</t>
  </si>
  <si>
    <t>51,60</t>
  </si>
  <si>
    <t xml:space="preserve">Боев В.Ф </t>
  </si>
  <si>
    <t>-. Щербакова Елена</t>
  </si>
  <si>
    <t>51,00</t>
  </si>
  <si>
    <t xml:space="preserve">Щербакова Е.А. </t>
  </si>
  <si>
    <t>Никифорова Кристина</t>
  </si>
  <si>
    <t>1. Никифорова Кристина</t>
  </si>
  <si>
    <t>Девушки 15-19 (24.12.2002)/17</t>
  </si>
  <si>
    <t>55,50</t>
  </si>
  <si>
    <t xml:space="preserve">Золотарёнок А. В </t>
  </si>
  <si>
    <t>Легкая Ольга</t>
  </si>
  <si>
    <t>1. Легкая Ольга</t>
  </si>
  <si>
    <t>Открытая (19.12.1985)/34</t>
  </si>
  <si>
    <t>58,40</t>
  </si>
  <si>
    <t>Литвиненко Екатерина</t>
  </si>
  <si>
    <t>2. Литвиненко Екатерина</t>
  </si>
  <si>
    <t>Открытая (27.05.1985)/34</t>
  </si>
  <si>
    <t>59,00</t>
  </si>
  <si>
    <t xml:space="preserve">Озёры/Московская область </t>
  </si>
  <si>
    <t xml:space="preserve">Литвиненко Е.Б. </t>
  </si>
  <si>
    <t>Юсупова Светлана</t>
  </si>
  <si>
    <t>3. Юсупова Светлана</t>
  </si>
  <si>
    <t>Открытая (30.11.1982)/37</t>
  </si>
  <si>
    <t>59,80</t>
  </si>
  <si>
    <t xml:space="preserve">Синицин Р. </t>
  </si>
  <si>
    <t>1. Султанова Диана</t>
  </si>
  <si>
    <t>Турковская Ольга</t>
  </si>
  <si>
    <t>1. Турковская Ольга</t>
  </si>
  <si>
    <t>Ветераны 50 - 54 (05.06.1967)/52</t>
  </si>
  <si>
    <t>69,90</t>
  </si>
  <si>
    <t>Зайковская Светлана</t>
  </si>
  <si>
    <t>1. Зайковская Светлана</t>
  </si>
  <si>
    <t>Открытая (24.07.1989)/30</t>
  </si>
  <si>
    <t>132,5</t>
  </si>
  <si>
    <t xml:space="preserve">Нетребина Г. </t>
  </si>
  <si>
    <t>Орлова Изабелла</t>
  </si>
  <si>
    <t>1. Орлова Изабелла</t>
  </si>
  <si>
    <t>Открытая (07.05.1981)/38</t>
  </si>
  <si>
    <t>104,60</t>
  </si>
  <si>
    <t xml:space="preserve">Бурлаков Д.Б. </t>
  </si>
  <si>
    <t>Русаков Никита</t>
  </si>
  <si>
    <t>1. Русаков Никита</t>
  </si>
  <si>
    <t>Юноши 15-19 (06.09.2002)/17</t>
  </si>
  <si>
    <t>58,90</t>
  </si>
  <si>
    <t xml:space="preserve">Пушкино/Московская область </t>
  </si>
  <si>
    <t xml:space="preserve">Русаков Н А </t>
  </si>
  <si>
    <t>Сидоров Денис</t>
  </si>
  <si>
    <t>1. Сидоров Денис</t>
  </si>
  <si>
    <t>Юноши 15-19 (06.01.2003)/17</t>
  </si>
  <si>
    <t>63,50</t>
  </si>
  <si>
    <t xml:space="preserve">Брехов Р. О. </t>
  </si>
  <si>
    <t>Жевтунов Владимир</t>
  </si>
  <si>
    <t>1. Жевтунов Владимир</t>
  </si>
  <si>
    <t>Открытая (11.05.1988)/31</t>
  </si>
  <si>
    <t>73,20</t>
  </si>
  <si>
    <t xml:space="preserve">Морозов Н.О. </t>
  </si>
  <si>
    <t>Сорочинский Александр</t>
  </si>
  <si>
    <t>1. Сорочинский Александр</t>
  </si>
  <si>
    <t>Ветераны 80+ (04.01.1939)/81</t>
  </si>
  <si>
    <t>75,00</t>
  </si>
  <si>
    <t xml:space="preserve">Ельня/Смоленская область </t>
  </si>
  <si>
    <t>Орхан Руслан</t>
  </si>
  <si>
    <t>1. Орхан Руслан</t>
  </si>
  <si>
    <t>Юноши 15-19 (26.11.2003)/16</t>
  </si>
  <si>
    <t>Маслаков Никита</t>
  </si>
  <si>
    <t>1. Маслаков Никита</t>
  </si>
  <si>
    <t>Открытая (19.07.1988)/31</t>
  </si>
  <si>
    <t xml:space="preserve">Ржев/Тверская область </t>
  </si>
  <si>
    <t>Великанов Павел</t>
  </si>
  <si>
    <t>2. Великанов Павел</t>
  </si>
  <si>
    <t>Открытая (08.11.1989)/30</t>
  </si>
  <si>
    <t>87,90</t>
  </si>
  <si>
    <t xml:space="preserve">Карпов А.М. </t>
  </si>
  <si>
    <t>Михайлов Пётр</t>
  </si>
  <si>
    <t>1. Михайлов Пётр</t>
  </si>
  <si>
    <t>Юниоры 20 - 23 (24.06.1998)/21</t>
  </si>
  <si>
    <t xml:space="preserve">Михайлов Пётр Олегович </t>
  </si>
  <si>
    <t>Богачев Иван</t>
  </si>
  <si>
    <t>1. Богачев Иван</t>
  </si>
  <si>
    <t>Открытая (08.06.1978)/41</t>
  </si>
  <si>
    <t>98,60</t>
  </si>
  <si>
    <t xml:space="preserve">Лазарев В. </t>
  </si>
  <si>
    <t>Казаков Михаил</t>
  </si>
  <si>
    <t>2. Казаков Михаил</t>
  </si>
  <si>
    <t>Открытая (24.02.1994)/25</t>
  </si>
  <si>
    <t>96,00</t>
  </si>
  <si>
    <t>Гаврилов Денис</t>
  </si>
  <si>
    <t>3. Гаврилов Денис</t>
  </si>
  <si>
    <t>Открытая (27.10.1986)/33</t>
  </si>
  <si>
    <t>98,70</t>
  </si>
  <si>
    <t xml:space="preserve">Юдаев А.И </t>
  </si>
  <si>
    <t>Ветераны 40 - 44 (08.06.1978)/41</t>
  </si>
  <si>
    <t>2. Зайцев Дмитрий</t>
  </si>
  <si>
    <t>-. Пленкин Денис</t>
  </si>
  <si>
    <t>Ветераны 45 - 49 (19.05.1974)/45</t>
  </si>
  <si>
    <t>99,00</t>
  </si>
  <si>
    <t>Бутко Андрей</t>
  </si>
  <si>
    <t>1. Бутко Андрей</t>
  </si>
  <si>
    <t>Открытая (05.05.1985)/34</t>
  </si>
  <si>
    <t>108,70</t>
  </si>
  <si>
    <t xml:space="preserve">Яхрома/Московская область </t>
  </si>
  <si>
    <t>Дьячев Андрей</t>
  </si>
  <si>
    <t>2. Дьячев Андрей</t>
  </si>
  <si>
    <t>Открытая (15.04.1984)/35</t>
  </si>
  <si>
    <t>108,30</t>
  </si>
  <si>
    <t xml:space="preserve">Шумский С.Ю. </t>
  </si>
  <si>
    <t>Григорьев Алексей</t>
  </si>
  <si>
    <t>1. Григорьев Алексей</t>
  </si>
  <si>
    <t>Ветераны 45 - 49 (27.10.1970)/49</t>
  </si>
  <si>
    <t xml:space="preserve">Любятинский М. </t>
  </si>
  <si>
    <t>Данин Глеб</t>
  </si>
  <si>
    <t>1. Данин Глеб</t>
  </si>
  <si>
    <t>Юноши 15-19 (09.04.2001)/18</t>
  </si>
  <si>
    <t>122,10</t>
  </si>
  <si>
    <t xml:space="preserve">Лазарев Владимир, Маркин Никол </t>
  </si>
  <si>
    <t>Гапошко Андрей</t>
  </si>
  <si>
    <t>1. Гапошко Андрей</t>
  </si>
  <si>
    <t>Открытая (11.04.1986)/33</t>
  </si>
  <si>
    <t>117,30</t>
  </si>
  <si>
    <t>Тарасов Олег</t>
  </si>
  <si>
    <t>2. Тарасов Олег</t>
  </si>
  <si>
    <t>Ветераны 45 - 49 (22.06.1972)/47</t>
  </si>
  <si>
    <t>124,00</t>
  </si>
  <si>
    <t>257,5</t>
  </si>
  <si>
    <t xml:space="preserve">Тарасов </t>
  </si>
  <si>
    <t>Михалин Антон</t>
  </si>
  <si>
    <t>1. Михалин Антон</t>
  </si>
  <si>
    <t>Открытая (05.01.1987)/33</t>
  </si>
  <si>
    <t>137,00</t>
  </si>
  <si>
    <t>115,5278</t>
  </si>
  <si>
    <t>158,9280</t>
  </si>
  <si>
    <t>158,4125</t>
  </si>
  <si>
    <t>133,6700</t>
  </si>
  <si>
    <t>130,9390</t>
  </si>
  <si>
    <t>127,2320</t>
  </si>
  <si>
    <t>127,0688</t>
  </si>
  <si>
    <t>125,0235</t>
  </si>
  <si>
    <t>117,2062</t>
  </si>
  <si>
    <t>109,4310</t>
  </si>
  <si>
    <t>95,0130</t>
  </si>
  <si>
    <t>156,6144</t>
  </si>
  <si>
    <t>125,7875</t>
  </si>
  <si>
    <t>98,7908</t>
  </si>
  <si>
    <t>94,8360</t>
  </si>
  <si>
    <t>89,2210</t>
  </si>
  <si>
    <t>146,0625</t>
  </si>
  <si>
    <t>156,5355</t>
  </si>
  <si>
    <t>156,0870</t>
  </si>
  <si>
    <t>152,3485</t>
  </si>
  <si>
    <t>149,2930</t>
  </si>
  <si>
    <t>147,8500</t>
  </si>
  <si>
    <t>145,7820</t>
  </si>
  <si>
    <t>143,8435</t>
  </si>
  <si>
    <t>134,6542</t>
  </si>
  <si>
    <t>132,4915</t>
  </si>
  <si>
    <t>126,9485</t>
  </si>
  <si>
    <t>114,9880</t>
  </si>
  <si>
    <t>112,3595</t>
  </si>
  <si>
    <t xml:space="preserve">Ветераны 80+ </t>
  </si>
  <si>
    <t>216,5734</t>
  </si>
  <si>
    <t>199,3760</t>
  </si>
  <si>
    <t>160,7277</t>
  </si>
  <si>
    <t>159,0334</t>
  </si>
  <si>
    <t>145,2819</t>
  </si>
  <si>
    <t>144,2498</t>
  </si>
  <si>
    <t>135,2562</t>
  </si>
  <si>
    <t>Золотухин Владислав</t>
  </si>
  <si>
    <t>1. Золотухин Владислав</t>
  </si>
  <si>
    <t>Юноши 15-19 (30.01.2002)/18</t>
  </si>
  <si>
    <t xml:space="preserve">Ушков И.Д </t>
  </si>
  <si>
    <t>126,7000</t>
  </si>
  <si>
    <t>Всероссийский Турнир "Мегаполис 2020"
WPF AM Становая тяга в Однослойной экипировке
Москва/ 23 февраля 2020 г.</t>
  </si>
  <si>
    <t>Всероссийский Турнир "Мегаполис 2020"
WPF AM Пауэрлифтинг в Однослойной экипировке
Москва/ 23 февраля 2020 г.</t>
  </si>
  <si>
    <t>474,3400</t>
  </si>
  <si>
    <t>Таштамиров Руслан</t>
  </si>
  <si>
    <t>481,9100</t>
  </si>
  <si>
    <t>487,8630</t>
  </si>
  <si>
    <t>855,0</t>
  </si>
  <si>
    <t>Трдатьян Левон</t>
  </si>
  <si>
    <t>496,3133</t>
  </si>
  <si>
    <t>815,5</t>
  </si>
  <si>
    <t>511,9875</t>
  </si>
  <si>
    <t>832,5</t>
  </si>
  <si>
    <t>Юдаев Александр</t>
  </si>
  <si>
    <t>532,1450</t>
  </si>
  <si>
    <t>887,5</t>
  </si>
  <si>
    <t>Ахлестин Сергей</t>
  </si>
  <si>
    <t>538,8780</t>
  </si>
  <si>
    <t>870,0</t>
  </si>
  <si>
    <t>Жигалов Николай</t>
  </si>
  <si>
    <t>325,0</t>
  </si>
  <si>
    <t>350,0</t>
  </si>
  <si>
    <t>342,5</t>
  </si>
  <si>
    <t>124,20</t>
  </si>
  <si>
    <t>Открытая (28.11.1980)/39</t>
  </si>
  <si>
    <t>1. Трдатьян Левон</t>
  </si>
  <si>
    <t xml:space="preserve">Андреев В.В. </t>
  </si>
  <si>
    <t>365,0</t>
  </si>
  <si>
    <t>352,5</t>
  </si>
  <si>
    <t>345,0</t>
  </si>
  <si>
    <t xml:space="preserve">Вольск/Саратовская область </t>
  </si>
  <si>
    <t>104,00</t>
  </si>
  <si>
    <t>Открытая (15.09.1989)/30</t>
  </si>
  <si>
    <t>1. Ахлестин Сергей</t>
  </si>
  <si>
    <t>3. Мацкевич Александр</t>
  </si>
  <si>
    <t>317,5</t>
  </si>
  <si>
    <t>Открытая (10.02.1994)/26</t>
  </si>
  <si>
    <t>2. Юдаев Александр</t>
  </si>
  <si>
    <t>335,0</t>
  </si>
  <si>
    <t xml:space="preserve">Минск/ </t>
  </si>
  <si>
    <t>Открытая (29.05.1997)/22</t>
  </si>
  <si>
    <t>1. Жигалов Николай</t>
  </si>
  <si>
    <t xml:space="preserve">Таштамиров Руслан Имранович </t>
  </si>
  <si>
    <t>Открытая (15.07.1988)/31</t>
  </si>
  <si>
    <t>1. Таштамиров Руслан</t>
  </si>
  <si>
    <t>922,7482</t>
  </si>
  <si>
    <t>1080,0</t>
  </si>
  <si>
    <t xml:space="preserve">Мастера 60+ </t>
  </si>
  <si>
    <t>1892,5562</t>
  </si>
  <si>
    <t>2625,0</t>
  </si>
  <si>
    <t xml:space="preserve">Мастера 40 - 49 </t>
  </si>
  <si>
    <t>Калинин Сергей</t>
  </si>
  <si>
    <t>5701,3738</t>
  </si>
  <si>
    <t>7560,0</t>
  </si>
  <si>
    <t>Заболотников Иван</t>
  </si>
  <si>
    <t xml:space="preserve">Gloss </t>
  </si>
  <si>
    <t xml:space="preserve">Мастера </t>
  </si>
  <si>
    <t>1177,4735</t>
  </si>
  <si>
    <t>1610,0</t>
  </si>
  <si>
    <t>Леонов Андрей</t>
  </si>
  <si>
    <t>1346,1875</t>
  </si>
  <si>
    <t>2125,0</t>
  </si>
  <si>
    <t>Силантьев Алексей</t>
  </si>
  <si>
    <t>1489,5899</t>
  </si>
  <si>
    <t>2430,0</t>
  </si>
  <si>
    <t>1727,5912</t>
  </si>
  <si>
    <t>2557,5</t>
  </si>
  <si>
    <t>Дробченко Евгений</t>
  </si>
  <si>
    <t>2931,4035</t>
  </si>
  <si>
    <t>4770,0</t>
  </si>
  <si>
    <t>Наумов Павел</t>
  </si>
  <si>
    <t>12,0</t>
  </si>
  <si>
    <t>Мастера 60+ (26.09.1957)/62</t>
  </si>
  <si>
    <t>1. Смирнов Леонид</t>
  </si>
  <si>
    <t>84,80</t>
  </si>
  <si>
    <t>Открытая (05.07.1984)/35</t>
  </si>
  <si>
    <t>3. Силантьев Алексей</t>
  </si>
  <si>
    <t>27,0</t>
  </si>
  <si>
    <t>2. Мищенко Артем</t>
  </si>
  <si>
    <t xml:space="preserve">Заболотников И.А. </t>
  </si>
  <si>
    <t>53,0</t>
  </si>
  <si>
    <t>Открытая (12.07.1985)/34</t>
  </si>
  <si>
    <t>1. Наумов Павел</t>
  </si>
  <si>
    <t xml:space="preserve">Дробченко Е.С. </t>
  </si>
  <si>
    <t>33,0</t>
  </si>
  <si>
    <t xml:space="preserve">Красногорск/Московская область </t>
  </si>
  <si>
    <t>77,00</t>
  </si>
  <si>
    <t>Открытая (05.10.1981)/38</t>
  </si>
  <si>
    <t>1. Дробченко Евгений</t>
  </si>
  <si>
    <t xml:space="preserve">Калинин Сергей Иванович </t>
  </si>
  <si>
    <t>74,60</t>
  </si>
  <si>
    <t>Мастера 40 - 49 (19.11.1975)/44</t>
  </si>
  <si>
    <t>1. Калинин Сергей</t>
  </si>
  <si>
    <t>23,0</t>
  </si>
  <si>
    <t>69,40</t>
  </si>
  <si>
    <t>Открытая (12.10.1980)/39</t>
  </si>
  <si>
    <t>1. Леонов Андрей</t>
  </si>
  <si>
    <t xml:space="preserve">Никулин Е. </t>
  </si>
  <si>
    <t>112,0</t>
  </si>
  <si>
    <t>66,90</t>
  </si>
  <si>
    <t>Мастера 40 - 49 (17.06.1979)/40</t>
  </si>
  <si>
    <t>1. Заболотников Иван</t>
  </si>
  <si>
    <t>Открытая (17.06.1979)/40</t>
  </si>
  <si>
    <t>Повторы</t>
  </si>
  <si>
    <t>Вес</t>
  </si>
  <si>
    <t>Тоннаж</t>
  </si>
  <si>
    <t>Gloss</t>
  </si>
  <si>
    <t>913,4737</t>
  </si>
  <si>
    <t>1275,0</t>
  </si>
  <si>
    <t xml:space="preserve">Юноши 13 - 19 </t>
  </si>
  <si>
    <t>Одинцов Павел</t>
  </si>
  <si>
    <t xml:space="preserve">Силантьев А.М. </t>
  </si>
  <si>
    <t>34,0</t>
  </si>
  <si>
    <t xml:space="preserve">Сыктывкар/Коми республика </t>
  </si>
  <si>
    <t>71,20</t>
  </si>
  <si>
    <t>Юноши 13 - 19 (06.06.2003)/16</t>
  </si>
  <si>
    <t>1. Одинцов Павел</t>
  </si>
  <si>
    <t>1264,3641</t>
  </si>
  <si>
    <t>1680,0</t>
  </si>
  <si>
    <t>2136,9268</t>
  </si>
  <si>
    <t>3217,5</t>
  </si>
  <si>
    <t xml:space="preserve">Мастера 50 - 59 </t>
  </si>
  <si>
    <t>Гринберг Игорс</t>
  </si>
  <si>
    <t>2203,6320</t>
  </si>
  <si>
    <t>3792,5</t>
  </si>
  <si>
    <t>Виноградов Алексей</t>
  </si>
  <si>
    <t>3522,4068</t>
  </si>
  <si>
    <t>5947,5</t>
  </si>
  <si>
    <t>Кирилкин Сергей</t>
  </si>
  <si>
    <t>14,0</t>
  </si>
  <si>
    <t>Мастера 60+ (24.11.1958)/61</t>
  </si>
  <si>
    <t xml:space="preserve">Наумова Наталья </t>
  </si>
  <si>
    <t>37,0</t>
  </si>
  <si>
    <t>100,10</t>
  </si>
  <si>
    <t>Открытая (22.12.1983)/36</t>
  </si>
  <si>
    <t>1. Виноградов Алексей</t>
  </si>
  <si>
    <t>Мастера 50 - 59 (24.08.1969)/50</t>
  </si>
  <si>
    <t>1. Гринберг Игорс</t>
  </si>
  <si>
    <t xml:space="preserve">Кирилкин С И </t>
  </si>
  <si>
    <t>61,0</t>
  </si>
  <si>
    <t xml:space="preserve">Брянск/Брянская область </t>
  </si>
  <si>
    <t>Открытая (09.10.1979)/40</t>
  </si>
  <si>
    <t>1. Кирилкин Сергей</t>
  </si>
  <si>
    <t>Всероссийский турнир "Мегаполис 2020" ЭЛИТА
WPF PRO Пауэрлифтинг Классический
Москва / 23 февраля 2020 г.</t>
  </si>
  <si>
    <t>Всероссийский Турнир "Мегаполис 2020"
WPF PRO Пауэрлифтинг Классический
Москва / 23 февраля 2020 г.</t>
  </si>
  <si>
    <t>Всероссийский Турнир "Мегаполис 2020"
WPF PRO Пауэрлифтинг Безэкипировочный
Москва / 23 февраля 2020 г.</t>
  </si>
  <si>
    <t>Всероссийский Турнир "Мегаполис 2020"
WPF PRO Жим лежа в Однослойной экипировке
Москва / 23 февраля 2020 г.</t>
  </si>
  <si>
    <t>Всероссийский Турнир "Мегаполис 2020"
WPF PRO Жим лежа Безэкипировочный
Москва / 23 февраля 2020 г.</t>
  </si>
  <si>
    <t>Всероссийский Турнир "Мегаполис 2020"
WPF PRO Становая тяга Безэкипировочная
Москва / 23 февраля 2020 г.</t>
  </si>
  <si>
    <t>Всероссийский Турнир "Мегаполис 2020"
WPF AM Пауэрлифтинг Классический
Москва / 23 февраля 2020 г.</t>
  </si>
  <si>
    <t>Всероссийский Турнир "Мегаполис 2020"
WPF AM Пауэрлифтинг Безэкипировочный
Москва / 23 февраля 2020 г.</t>
  </si>
  <si>
    <t>Всероссийский Турнир "Мегаполис 2020"
WPF AM Жим лежа в Однослойной экипировке
Москва / 23 февраля 2020 г.</t>
  </si>
  <si>
    <t>Всероссийский Турнир "Мегаполис 2020"
WPF AM Жим лежа Безэкипировочный
Москва / 23 февраля 2020 г.</t>
  </si>
  <si>
    <t>Всероссийский Турнир "Мегаполис 2020"
WPF AM Становая тяга Безэкипировочная
Москва / 23 февраля 2020 г.</t>
  </si>
  <si>
    <t>Всероссийский Турнир "Мегаполис 2020"
WPF PRO Многоповторный жим (1 вес)
Москва / 23 февраля 2020 г.</t>
  </si>
  <si>
    <t>Многоповторный жим</t>
  </si>
  <si>
    <t>Всероссийский Турнир "Мегаполис 2020"
WPF PRO Многоповторный жим (1/2 веса)
Москва / 23 февраля 2020 г.</t>
  </si>
  <si>
    <t>Всероссийский Турнир "Мегаполис 2020"
WPF AM Многоповторный жим (1 вес)
Москва / 23 февраля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</si>
</sst>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85546875" style="4" customWidth="1"/>
    <col min="4" max="4" width="8.42578125" style="4" bestFit="1" customWidth="1"/>
    <col min="5" max="5" width="22.7109375" style="4" bestFit="1" customWidth="1"/>
    <col min="6" max="6" width="27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8" width="5.5703125" style="3" bestFit="1" customWidth="1"/>
    <col min="19" max="19" width="7.85546875" style="4" bestFit="1" customWidth="1"/>
    <col min="20" max="20" width="8.5703125" style="3" bestFit="1" customWidth="1"/>
    <col min="21" max="21" width="29.85546875" style="4" bestFit="1" customWidth="1"/>
    <col min="22" max="16384" width="9.140625" style="3"/>
  </cols>
  <sheetData>
    <row r="1" spans="1:21" s="2" customFormat="1" ht="29.1" customHeight="1" x14ac:dyDescent="0.2">
      <c r="A1" s="37" t="s">
        <v>1476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1" ht="15" x14ac:dyDescent="0.2">
      <c r="A5" s="36" t="s">
        <v>275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568</v>
      </c>
      <c r="B6" s="6" t="s">
        <v>569</v>
      </c>
      <c r="C6" s="6" t="s">
        <v>570</v>
      </c>
      <c r="D6" s="6" t="str">
        <f>"0,7414"</f>
        <v>0,7414</v>
      </c>
      <c r="E6" s="6" t="s">
        <v>18</v>
      </c>
      <c r="F6" s="6" t="s">
        <v>68</v>
      </c>
      <c r="G6" s="8" t="s">
        <v>197</v>
      </c>
      <c r="H6" s="7" t="s">
        <v>49</v>
      </c>
      <c r="I6" s="7" t="s">
        <v>59</v>
      </c>
      <c r="J6" s="8"/>
      <c r="K6" s="7" t="s">
        <v>33</v>
      </c>
      <c r="L6" s="7" t="s">
        <v>34</v>
      </c>
      <c r="M6" s="8"/>
      <c r="N6" s="8"/>
      <c r="O6" s="7" t="s">
        <v>96</v>
      </c>
      <c r="P6" s="8" t="s">
        <v>81</v>
      </c>
      <c r="Q6" s="7" t="s">
        <v>81</v>
      </c>
      <c r="R6" s="8"/>
      <c r="S6" s="6" t="str">
        <f>"650,0"</f>
        <v>650,0</v>
      </c>
      <c r="T6" s="7" t="str">
        <f>"481,9100"</f>
        <v>481,9100</v>
      </c>
      <c r="U6" s="6" t="s">
        <v>571</v>
      </c>
    </row>
    <row r="8" spans="1:21" ht="15" x14ac:dyDescent="0.2">
      <c r="A8" s="46" t="s">
        <v>39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x14ac:dyDescent="0.2">
      <c r="A9" s="6" t="s">
        <v>1377</v>
      </c>
      <c r="B9" s="6" t="s">
        <v>1376</v>
      </c>
      <c r="C9" s="6" t="s">
        <v>460</v>
      </c>
      <c r="D9" s="6" t="str">
        <f>"0,6410"</f>
        <v>0,6410</v>
      </c>
      <c r="E9" s="6" t="s">
        <v>18</v>
      </c>
      <c r="F9" s="6" t="s">
        <v>68</v>
      </c>
      <c r="G9" s="7" t="s">
        <v>50</v>
      </c>
      <c r="H9" s="7" t="s">
        <v>81</v>
      </c>
      <c r="I9" s="7" t="s">
        <v>52</v>
      </c>
      <c r="J9" s="8"/>
      <c r="K9" s="7" t="s">
        <v>36</v>
      </c>
      <c r="L9" s="8" t="s">
        <v>37</v>
      </c>
      <c r="M9" s="7" t="s">
        <v>37</v>
      </c>
      <c r="N9" s="8"/>
      <c r="O9" s="7" t="s">
        <v>52</v>
      </c>
      <c r="P9" s="7" t="s">
        <v>83</v>
      </c>
      <c r="Q9" s="8" t="s">
        <v>176</v>
      </c>
      <c r="R9" s="8"/>
      <c r="S9" s="6" t="str">
        <f>"740,0"</f>
        <v>740,0</v>
      </c>
      <c r="T9" s="7" t="str">
        <f>"474,3400"</f>
        <v>474,3400</v>
      </c>
      <c r="U9" s="6" t="s">
        <v>1375</v>
      </c>
    </row>
    <row r="11" spans="1:21" ht="15" x14ac:dyDescent="0.2">
      <c r="A11" s="46" t="s">
        <v>75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1" x14ac:dyDescent="0.2">
      <c r="A12" s="9" t="s">
        <v>1374</v>
      </c>
      <c r="B12" s="9" t="s">
        <v>1373</v>
      </c>
      <c r="C12" s="9" t="s">
        <v>610</v>
      </c>
      <c r="D12" s="9" t="str">
        <f>"0,6194"</f>
        <v>0,6194</v>
      </c>
      <c r="E12" s="9" t="s">
        <v>18</v>
      </c>
      <c r="F12" s="9" t="s">
        <v>1372</v>
      </c>
      <c r="G12" s="10" t="s">
        <v>1134</v>
      </c>
      <c r="H12" s="10" t="s">
        <v>1371</v>
      </c>
      <c r="I12" s="10" t="s">
        <v>1362</v>
      </c>
      <c r="J12" s="11"/>
      <c r="K12" s="10" t="s">
        <v>70</v>
      </c>
      <c r="L12" s="11" t="s">
        <v>303</v>
      </c>
      <c r="M12" s="10" t="s">
        <v>303</v>
      </c>
      <c r="N12" s="11"/>
      <c r="O12" s="10" t="s">
        <v>1126</v>
      </c>
      <c r="P12" s="11" t="s">
        <v>1362</v>
      </c>
      <c r="Q12" s="11" t="s">
        <v>1362</v>
      </c>
      <c r="R12" s="11"/>
      <c r="S12" s="9" t="str">
        <f>"870,0"</f>
        <v>870,0</v>
      </c>
      <c r="T12" s="10" t="str">
        <f>"538,8780"</f>
        <v>538,8780</v>
      </c>
      <c r="U12" s="9" t="s">
        <v>74</v>
      </c>
    </row>
    <row r="13" spans="1:21" x14ac:dyDescent="0.2">
      <c r="A13" s="12" t="s">
        <v>1370</v>
      </c>
      <c r="B13" s="12" t="s">
        <v>1369</v>
      </c>
      <c r="C13" s="12" t="s">
        <v>937</v>
      </c>
      <c r="D13" s="12" t="str">
        <f>"0,6150"</f>
        <v>0,6150</v>
      </c>
      <c r="E13" s="12" t="s">
        <v>18</v>
      </c>
      <c r="F13" s="12" t="s">
        <v>651</v>
      </c>
      <c r="G13" s="13" t="s">
        <v>83</v>
      </c>
      <c r="H13" s="13" t="s">
        <v>1368</v>
      </c>
      <c r="I13" s="14" t="s">
        <v>1353</v>
      </c>
      <c r="J13" s="14"/>
      <c r="K13" s="13" t="s">
        <v>596</v>
      </c>
      <c r="L13" s="13" t="s">
        <v>70</v>
      </c>
      <c r="M13" s="13" t="s">
        <v>71</v>
      </c>
      <c r="N13" s="14"/>
      <c r="O13" s="13" t="s">
        <v>175</v>
      </c>
      <c r="P13" s="13" t="s">
        <v>333</v>
      </c>
      <c r="Q13" s="13" t="s">
        <v>1133</v>
      </c>
      <c r="R13" s="14"/>
      <c r="S13" s="12" t="str">
        <f>"832,5"</f>
        <v>832,5</v>
      </c>
      <c r="T13" s="13" t="str">
        <f>"511,9875"</f>
        <v>511,9875</v>
      </c>
      <c r="U13" s="12" t="s">
        <v>38</v>
      </c>
    </row>
    <row r="14" spans="1:21" x14ac:dyDescent="0.2">
      <c r="A14" s="15" t="s">
        <v>1367</v>
      </c>
      <c r="B14" s="15" t="s">
        <v>1125</v>
      </c>
      <c r="C14" s="15" t="s">
        <v>1092</v>
      </c>
      <c r="D14" s="15" t="str">
        <f>"0,6086"</f>
        <v>0,6086</v>
      </c>
      <c r="E14" s="15" t="s">
        <v>18</v>
      </c>
      <c r="F14" s="15" t="s">
        <v>68</v>
      </c>
      <c r="G14" s="16" t="s">
        <v>81</v>
      </c>
      <c r="H14" s="17" t="s">
        <v>309</v>
      </c>
      <c r="I14" s="16" t="s">
        <v>309</v>
      </c>
      <c r="J14" s="17"/>
      <c r="K14" s="16" t="s">
        <v>452</v>
      </c>
      <c r="L14" s="16" t="s">
        <v>302</v>
      </c>
      <c r="M14" s="16" t="s">
        <v>70</v>
      </c>
      <c r="N14" s="17"/>
      <c r="O14" s="16" t="s">
        <v>176</v>
      </c>
      <c r="P14" s="16" t="s">
        <v>1126</v>
      </c>
      <c r="Q14" s="16" t="s">
        <v>1127</v>
      </c>
      <c r="R14" s="17" t="s">
        <v>1354</v>
      </c>
      <c r="S14" s="15" t="str">
        <f>"815,5"</f>
        <v>815,5</v>
      </c>
      <c r="T14" s="16" t="str">
        <f>"496,3133"</f>
        <v>496,3133</v>
      </c>
      <c r="U14" s="15" t="s">
        <v>1128</v>
      </c>
    </row>
    <row r="16" spans="1:21" ht="15" x14ac:dyDescent="0.2">
      <c r="A16" s="46" t="s">
        <v>112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1" x14ac:dyDescent="0.2">
      <c r="A17" s="6" t="s">
        <v>1366</v>
      </c>
      <c r="B17" s="6" t="s">
        <v>1365</v>
      </c>
      <c r="C17" s="6" t="s">
        <v>1364</v>
      </c>
      <c r="D17" s="6" t="str">
        <f>"0,5996"</f>
        <v>0,5996</v>
      </c>
      <c r="E17" s="6" t="s">
        <v>18</v>
      </c>
      <c r="F17" s="6" t="s">
        <v>1363</v>
      </c>
      <c r="G17" s="7" t="s">
        <v>1353</v>
      </c>
      <c r="H17" s="8" t="s">
        <v>1362</v>
      </c>
      <c r="I17" s="7" t="s">
        <v>1362</v>
      </c>
      <c r="J17" s="8"/>
      <c r="K17" s="7" t="s">
        <v>188</v>
      </c>
      <c r="L17" s="7" t="s">
        <v>70</v>
      </c>
      <c r="M17" s="8" t="s">
        <v>303</v>
      </c>
      <c r="N17" s="8"/>
      <c r="O17" s="7" t="s">
        <v>1126</v>
      </c>
      <c r="P17" s="7" t="s">
        <v>1361</v>
      </c>
      <c r="Q17" s="8" t="s">
        <v>1360</v>
      </c>
      <c r="R17" s="8"/>
      <c r="S17" s="6" t="str">
        <f>"887,5"</f>
        <v>887,5</v>
      </c>
      <c r="T17" s="7" t="str">
        <f>"532,1450"</f>
        <v>532,1450</v>
      </c>
      <c r="U17" s="6" t="s">
        <v>1359</v>
      </c>
    </row>
    <row r="19" spans="1:21" ht="15" x14ac:dyDescent="0.2">
      <c r="A19" s="46" t="s">
        <v>214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1" x14ac:dyDescent="0.2">
      <c r="A20" s="6" t="s">
        <v>1358</v>
      </c>
      <c r="B20" s="6" t="s">
        <v>1357</v>
      </c>
      <c r="C20" s="6" t="s">
        <v>1356</v>
      </c>
      <c r="D20" s="6" t="str">
        <f>"0,5706"</f>
        <v>0,5706</v>
      </c>
      <c r="E20" s="6" t="s">
        <v>18</v>
      </c>
      <c r="F20" s="6" t="s">
        <v>68</v>
      </c>
      <c r="G20" s="7" t="s">
        <v>1126</v>
      </c>
      <c r="H20" s="7" t="s">
        <v>1355</v>
      </c>
      <c r="I20" s="8" t="s">
        <v>1354</v>
      </c>
      <c r="J20" s="8"/>
      <c r="K20" s="7" t="s">
        <v>109</v>
      </c>
      <c r="L20" s="7" t="s">
        <v>437</v>
      </c>
      <c r="M20" s="8" t="s">
        <v>303</v>
      </c>
      <c r="N20" s="8"/>
      <c r="O20" s="7" t="s">
        <v>175</v>
      </c>
      <c r="P20" s="7" t="s">
        <v>176</v>
      </c>
      <c r="Q20" s="7" t="s">
        <v>1353</v>
      </c>
      <c r="R20" s="8"/>
      <c r="S20" s="6" t="str">
        <f>"855,0"</f>
        <v>855,0</v>
      </c>
      <c r="T20" s="7" t="str">
        <f>"487,8630"</f>
        <v>487,8630</v>
      </c>
      <c r="U20" s="6" t="s">
        <v>38</v>
      </c>
    </row>
    <row r="22" spans="1:21" ht="15" x14ac:dyDescent="0.2">
      <c r="E22" s="18" t="s">
        <v>119</v>
      </c>
    </row>
    <row r="23" spans="1:21" ht="15" x14ac:dyDescent="0.2">
      <c r="E23" s="18" t="s">
        <v>120</v>
      </c>
    </row>
    <row r="24" spans="1:21" ht="15" x14ac:dyDescent="0.2">
      <c r="E24" s="18" t="s">
        <v>121</v>
      </c>
    </row>
    <row r="25" spans="1:21" ht="15" x14ac:dyDescent="0.2">
      <c r="E25" s="18" t="s">
        <v>122</v>
      </c>
    </row>
    <row r="26" spans="1:21" ht="15" x14ac:dyDescent="0.2">
      <c r="E26" s="18" t="s">
        <v>122</v>
      </c>
    </row>
    <row r="27" spans="1:21" ht="15" x14ac:dyDescent="0.2">
      <c r="E27" s="18" t="s">
        <v>123</v>
      </c>
    </row>
    <row r="28" spans="1:21" ht="15" x14ac:dyDescent="0.2">
      <c r="E28" s="18"/>
    </row>
    <row r="30" spans="1:21" ht="18" x14ac:dyDescent="0.25">
      <c r="A30" s="19" t="s">
        <v>124</v>
      </c>
      <c r="B30" s="19"/>
    </row>
    <row r="31" spans="1:21" ht="15" x14ac:dyDescent="0.2">
      <c r="A31" s="20" t="s">
        <v>136</v>
      </c>
      <c r="B31" s="20"/>
    </row>
    <row r="32" spans="1:21" ht="14.25" x14ac:dyDescent="0.2">
      <c r="A32" s="22"/>
      <c r="B32" s="23" t="s">
        <v>144</v>
      </c>
    </row>
    <row r="33" spans="1:5" s="3" customFormat="1" ht="15" x14ac:dyDescent="0.2">
      <c r="A33" s="24" t="s">
        <v>127</v>
      </c>
      <c r="B33" s="24" t="s">
        <v>128</v>
      </c>
      <c r="C33" s="24" t="s">
        <v>129</v>
      </c>
      <c r="D33" s="24" t="s">
        <v>130</v>
      </c>
      <c r="E33" s="24" t="s">
        <v>131</v>
      </c>
    </row>
    <row r="34" spans="1:5" s="3" customFormat="1" x14ac:dyDescent="0.2">
      <c r="A34" s="21" t="s">
        <v>1352</v>
      </c>
      <c r="B34" s="4" t="s">
        <v>144</v>
      </c>
      <c r="C34" s="4" t="s">
        <v>138</v>
      </c>
      <c r="D34" s="4" t="s">
        <v>1351</v>
      </c>
      <c r="E34" s="25" t="s">
        <v>1350</v>
      </c>
    </row>
    <row r="35" spans="1:5" s="3" customFormat="1" x14ac:dyDescent="0.2">
      <c r="A35" s="21" t="s">
        <v>1349</v>
      </c>
      <c r="B35" s="4" t="s">
        <v>144</v>
      </c>
      <c r="C35" s="4" t="s">
        <v>151</v>
      </c>
      <c r="D35" s="4" t="s">
        <v>1348</v>
      </c>
      <c r="E35" s="25" t="s">
        <v>1347</v>
      </c>
    </row>
    <row r="36" spans="1:5" s="3" customFormat="1" x14ac:dyDescent="0.2">
      <c r="A36" s="21" t="s">
        <v>1346</v>
      </c>
      <c r="B36" s="4" t="s">
        <v>144</v>
      </c>
      <c r="C36" s="4" t="s">
        <v>138</v>
      </c>
      <c r="D36" s="4" t="s">
        <v>1345</v>
      </c>
      <c r="E36" s="25" t="s">
        <v>1344</v>
      </c>
    </row>
    <row r="37" spans="1:5" s="3" customFormat="1" x14ac:dyDescent="0.2">
      <c r="A37" s="21" t="s">
        <v>1123</v>
      </c>
      <c r="B37" s="4" t="s">
        <v>144</v>
      </c>
      <c r="C37" s="4" t="s">
        <v>138</v>
      </c>
      <c r="D37" s="4" t="s">
        <v>1343</v>
      </c>
      <c r="E37" s="25" t="s">
        <v>1342</v>
      </c>
    </row>
    <row r="38" spans="1:5" s="3" customFormat="1" x14ac:dyDescent="0.2">
      <c r="A38" s="21" t="s">
        <v>1341</v>
      </c>
      <c r="B38" s="4" t="s">
        <v>144</v>
      </c>
      <c r="C38" s="4" t="s">
        <v>232</v>
      </c>
      <c r="D38" s="4" t="s">
        <v>1340</v>
      </c>
      <c r="E38" s="25" t="s">
        <v>1339</v>
      </c>
    </row>
    <row r="39" spans="1:5" s="3" customFormat="1" x14ac:dyDescent="0.2">
      <c r="A39" s="21" t="s">
        <v>567</v>
      </c>
      <c r="B39" s="4" t="s">
        <v>144</v>
      </c>
      <c r="C39" s="4" t="s">
        <v>336</v>
      </c>
      <c r="D39" s="4" t="s">
        <v>225</v>
      </c>
      <c r="E39" s="25" t="s">
        <v>1338</v>
      </c>
    </row>
    <row r="40" spans="1:5" s="3" customFormat="1" x14ac:dyDescent="0.2">
      <c r="A40" s="21" t="s">
        <v>1337</v>
      </c>
      <c r="B40" s="4" t="s">
        <v>144</v>
      </c>
      <c r="C40" s="4" t="s">
        <v>141</v>
      </c>
      <c r="D40" s="4" t="s">
        <v>139</v>
      </c>
      <c r="E40" s="25" t="s">
        <v>1336</v>
      </c>
    </row>
  </sheetData>
  <mergeCells count="18">
    <mergeCell ref="A5:T5"/>
    <mergeCell ref="A8:T8"/>
    <mergeCell ref="A11:T11"/>
    <mergeCell ref="A16:T16"/>
    <mergeCell ref="A19:T19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D3:D4"/>
    <mergeCell ref="S3:S4"/>
    <mergeCell ref="T3:T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6.42578125" style="4" customWidth="1"/>
    <col min="4" max="4" width="8.42578125" style="4" bestFit="1" customWidth="1"/>
    <col min="5" max="5" width="22.7109375" style="4" bestFit="1" customWidth="1"/>
    <col min="6" max="6" width="29.71093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5.85546875" style="4" bestFit="1" customWidth="1"/>
    <col min="22" max="16384" width="9.140625" style="3"/>
  </cols>
  <sheetData>
    <row r="1" spans="1:21" s="2" customFormat="1" ht="29.1" customHeight="1" x14ac:dyDescent="0.2">
      <c r="A1" s="37" t="s">
        <v>1482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1" ht="15" x14ac:dyDescent="0.2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236</v>
      </c>
      <c r="B6" s="6" t="s">
        <v>237</v>
      </c>
      <c r="C6" s="6" t="s">
        <v>238</v>
      </c>
      <c r="D6" s="6" t="str">
        <f>"1,2522"</f>
        <v>1,2522</v>
      </c>
      <c r="E6" s="6" t="s">
        <v>18</v>
      </c>
      <c r="F6" s="6" t="s">
        <v>68</v>
      </c>
      <c r="G6" s="7" t="s">
        <v>33</v>
      </c>
      <c r="H6" s="7" t="s">
        <v>239</v>
      </c>
      <c r="I6" s="7" t="s">
        <v>62</v>
      </c>
      <c r="J6" s="8"/>
      <c r="K6" s="7" t="s">
        <v>240</v>
      </c>
      <c r="L6" s="7" t="s">
        <v>241</v>
      </c>
      <c r="M6" s="7" t="s">
        <v>242</v>
      </c>
      <c r="N6" s="8"/>
      <c r="O6" s="7" t="s">
        <v>37</v>
      </c>
      <c r="P6" s="7" t="s">
        <v>69</v>
      </c>
      <c r="Q6" s="7" t="s">
        <v>109</v>
      </c>
      <c r="R6" s="8"/>
      <c r="S6" s="6" t="str">
        <f>"392,5"</f>
        <v>392,5</v>
      </c>
      <c r="T6" s="7" t="str">
        <f>"491,4885"</f>
        <v>491,4885</v>
      </c>
      <c r="U6" s="6" t="s">
        <v>243</v>
      </c>
    </row>
    <row r="8" spans="1:21" ht="15" x14ac:dyDescent="0.2">
      <c r="A8" s="46" t="s">
        <v>244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x14ac:dyDescent="0.2">
      <c r="A9" s="9" t="s">
        <v>246</v>
      </c>
      <c r="B9" s="9" t="s">
        <v>247</v>
      </c>
      <c r="C9" s="9" t="s">
        <v>248</v>
      </c>
      <c r="D9" s="9" t="str">
        <f>"1,2230"</f>
        <v>1,2230</v>
      </c>
      <c r="E9" s="9" t="s">
        <v>18</v>
      </c>
      <c r="F9" s="9" t="s">
        <v>249</v>
      </c>
      <c r="G9" s="10" t="s">
        <v>250</v>
      </c>
      <c r="H9" s="10" t="s">
        <v>251</v>
      </c>
      <c r="I9" s="11" t="s">
        <v>26</v>
      </c>
      <c r="J9" s="11"/>
      <c r="K9" s="10" t="s">
        <v>252</v>
      </c>
      <c r="L9" s="10" t="s">
        <v>253</v>
      </c>
      <c r="M9" s="11" t="s">
        <v>254</v>
      </c>
      <c r="N9" s="11"/>
      <c r="O9" s="10" t="s">
        <v>35</v>
      </c>
      <c r="P9" s="11" t="s">
        <v>21</v>
      </c>
      <c r="Q9" s="11" t="s">
        <v>21</v>
      </c>
      <c r="R9" s="11"/>
      <c r="S9" s="9" t="str">
        <f>"242,5"</f>
        <v>242,5</v>
      </c>
      <c r="T9" s="10" t="str">
        <f>"296,5775"</f>
        <v>296,5775</v>
      </c>
      <c r="U9" s="9" t="s">
        <v>255</v>
      </c>
    </row>
    <row r="10" spans="1:21" x14ac:dyDescent="0.2">
      <c r="A10" s="15" t="s">
        <v>246</v>
      </c>
      <c r="B10" s="15" t="s">
        <v>256</v>
      </c>
      <c r="C10" s="15" t="s">
        <v>248</v>
      </c>
      <c r="D10" s="15" t="str">
        <f>"1,2230"</f>
        <v>1,2230</v>
      </c>
      <c r="E10" s="15" t="s">
        <v>18</v>
      </c>
      <c r="F10" s="15" t="s">
        <v>249</v>
      </c>
      <c r="G10" s="16" t="s">
        <v>250</v>
      </c>
      <c r="H10" s="16" t="s">
        <v>251</v>
      </c>
      <c r="I10" s="17" t="s">
        <v>26</v>
      </c>
      <c r="J10" s="17"/>
      <c r="K10" s="16" t="s">
        <v>252</v>
      </c>
      <c r="L10" s="16" t="s">
        <v>253</v>
      </c>
      <c r="M10" s="17" t="s">
        <v>254</v>
      </c>
      <c r="N10" s="17"/>
      <c r="O10" s="16" t="s">
        <v>35</v>
      </c>
      <c r="P10" s="17" t="s">
        <v>21</v>
      </c>
      <c r="Q10" s="17" t="s">
        <v>21</v>
      </c>
      <c r="R10" s="17"/>
      <c r="S10" s="15" t="str">
        <f>"242,5"</f>
        <v>242,5</v>
      </c>
      <c r="T10" s="16" t="str">
        <f>"316,7448"</f>
        <v>316,7448</v>
      </c>
      <c r="U10" s="15" t="s">
        <v>255</v>
      </c>
    </row>
    <row r="12" spans="1:21" ht="15" x14ac:dyDescent="0.2">
      <c r="A12" s="46" t="s">
        <v>164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1" x14ac:dyDescent="0.2">
      <c r="A13" s="9" t="s">
        <v>258</v>
      </c>
      <c r="B13" s="9" t="s">
        <v>259</v>
      </c>
      <c r="C13" s="9" t="s">
        <v>260</v>
      </c>
      <c r="D13" s="9" t="str">
        <f>"1,0740"</f>
        <v>1,0740</v>
      </c>
      <c r="E13" s="9" t="s">
        <v>18</v>
      </c>
      <c r="F13" s="9" t="s">
        <v>249</v>
      </c>
      <c r="G13" s="10" t="s">
        <v>189</v>
      </c>
      <c r="H13" s="10" t="s">
        <v>110</v>
      </c>
      <c r="I13" s="10" t="s">
        <v>261</v>
      </c>
      <c r="J13" s="11"/>
      <c r="K13" s="10" t="s">
        <v>24</v>
      </c>
      <c r="L13" s="10" t="s">
        <v>252</v>
      </c>
      <c r="M13" s="11" t="s">
        <v>253</v>
      </c>
      <c r="N13" s="11"/>
      <c r="O13" s="10" t="s">
        <v>25</v>
      </c>
      <c r="P13" s="11" t="s">
        <v>26</v>
      </c>
      <c r="Q13" s="11" t="s">
        <v>26</v>
      </c>
      <c r="R13" s="11"/>
      <c r="S13" s="9" t="str">
        <f>"280,0"</f>
        <v>280,0</v>
      </c>
      <c r="T13" s="10" t="str">
        <f>"300,7200"</f>
        <v>300,7200</v>
      </c>
      <c r="U13" s="9" t="s">
        <v>255</v>
      </c>
    </row>
    <row r="14" spans="1:21" x14ac:dyDescent="0.2">
      <c r="A14" s="15" t="s">
        <v>258</v>
      </c>
      <c r="B14" s="15" t="s">
        <v>262</v>
      </c>
      <c r="C14" s="15" t="s">
        <v>260</v>
      </c>
      <c r="D14" s="15" t="str">
        <f>"1,0740"</f>
        <v>1,0740</v>
      </c>
      <c r="E14" s="15" t="s">
        <v>18</v>
      </c>
      <c r="F14" s="15" t="s">
        <v>249</v>
      </c>
      <c r="G14" s="16" t="s">
        <v>189</v>
      </c>
      <c r="H14" s="16" t="s">
        <v>110</v>
      </c>
      <c r="I14" s="16" t="s">
        <v>261</v>
      </c>
      <c r="J14" s="17"/>
      <c r="K14" s="16" t="s">
        <v>24</v>
      </c>
      <c r="L14" s="16" t="s">
        <v>252</v>
      </c>
      <c r="M14" s="17" t="s">
        <v>253</v>
      </c>
      <c r="N14" s="17"/>
      <c r="O14" s="16" t="s">
        <v>25</v>
      </c>
      <c r="P14" s="17" t="s">
        <v>26</v>
      </c>
      <c r="Q14" s="17" t="s">
        <v>26</v>
      </c>
      <c r="R14" s="17"/>
      <c r="S14" s="15" t="str">
        <f>"280,0"</f>
        <v>280,0</v>
      </c>
      <c r="T14" s="16" t="str">
        <f>"300,7200"</f>
        <v>300,7200</v>
      </c>
      <c r="U14" s="15" t="s">
        <v>255</v>
      </c>
    </row>
    <row r="16" spans="1:21" ht="15" x14ac:dyDescent="0.2">
      <c r="A16" s="46" t="s">
        <v>39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1" x14ac:dyDescent="0.2">
      <c r="A17" s="6" t="s">
        <v>264</v>
      </c>
      <c r="B17" s="6" t="s">
        <v>265</v>
      </c>
      <c r="C17" s="6" t="s">
        <v>266</v>
      </c>
      <c r="D17" s="6" t="str">
        <f>"0,8792"</f>
        <v>0,8792</v>
      </c>
      <c r="E17" s="6" t="s">
        <v>18</v>
      </c>
      <c r="F17" s="6" t="s">
        <v>249</v>
      </c>
      <c r="G17" s="8" t="s">
        <v>189</v>
      </c>
      <c r="H17" s="8" t="s">
        <v>191</v>
      </c>
      <c r="I17" s="7" t="s">
        <v>267</v>
      </c>
      <c r="J17" s="8"/>
      <c r="K17" s="7" t="s">
        <v>268</v>
      </c>
      <c r="L17" s="7" t="s">
        <v>240</v>
      </c>
      <c r="M17" s="8" t="s">
        <v>241</v>
      </c>
      <c r="N17" s="8"/>
      <c r="O17" s="7" t="s">
        <v>25</v>
      </c>
      <c r="P17" s="7" t="s">
        <v>189</v>
      </c>
      <c r="Q17" s="7" t="s">
        <v>191</v>
      </c>
      <c r="R17" s="8"/>
      <c r="S17" s="6" t="str">
        <f>"305,0"</f>
        <v>305,0</v>
      </c>
      <c r="T17" s="7" t="str">
        <f>"268,1560"</f>
        <v>268,1560</v>
      </c>
      <c r="U17" s="6" t="s">
        <v>255</v>
      </c>
    </row>
    <row r="19" spans="1:21" ht="15" x14ac:dyDescent="0.2">
      <c r="A19" s="46" t="s">
        <v>269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1" x14ac:dyDescent="0.2">
      <c r="A20" s="6" t="s">
        <v>271</v>
      </c>
      <c r="B20" s="6" t="s">
        <v>272</v>
      </c>
      <c r="C20" s="6" t="s">
        <v>212</v>
      </c>
      <c r="D20" s="6" t="str">
        <f>"0,8172"</f>
        <v>0,8172</v>
      </c>
      <c r="E20" s="6" t="s">
        <v>18</v>
      </c>
      <c r="F20" s="6" t="s">
        <v>68</v>
      </c>
      <c r="G20" s="7" t="s">
        <v>37</v>
      </c>
      <c r="H20" s="8" t="s">
        <v>94</v>
      </c>
      <c r="I20" s="8" t="s">
        <v>94</v>
      </c>
      <c r="J20" s="8"/>
      <c r="K20" s="7" t="s">
        <v>240</v>
      </c>
      <c r="L20" s="7" t="s">
        <v>242</v>
      </c>
      <c r="M20" s="8" t="s">
        <v>273</v>
      </c>
      <c r="N20" s="8"/>
      <c r="O20" s="7" t="s">
        <v>36</v>
      </c>
      <c r="P20" s="8" t="s">
        <v>37</v>
      </c>
      <c r="Q20" s="8" t="s">
        <v>37</v>
      </c>
      <c r="R20" s="8"/>
      <c r="S20" s="6" t="str">
        <f>"380,0"</f>
        <v>380,0</v>
      </c>
      <c r="T20" s="7" t="str">
        <f>"310,5360"</f>
        <v>310,5360</v>
      </c>
      <c r="U20" s="6" t="s">
        <v>274</v>
      </c>
    </row>
    <row r="22" spans="1:21" ht="15" x14ac:dyDescent="0.2">
      <c r="A22" s="46" t="s">
        <v>275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1" x14ac:dyDescent="0.2">
      <c r="A23" s="6" t="s">
        <v>277</v>
      </c>
      <c r="B23" s="6" t="s">
        <v>278</v>
      </c>
      <c r="C23" s="6" t="s">
        <v>279</v>
      </c>
      <c r="D23" s="6" t="str">
        <f>"0,7186"</f>
        <v>0,7186</v>
      </c>
      <c r="E23" s="6" t="s">
        <v>18</v>
      </c>
      <c r="F23" s="6" t="s">
        <v>280</v>
      </c>
      <c r="G23" s="7" t="s">
        <v>70</v>
      </c>
      <c r="H23" s="7" t="s">
        <v>71</v>
      </c>
      <c r="I23" s="7" t="s">
        <v>73</v>
      </c>
      <c r="J23" s="8"/>
      <c r="K23" s="7" t="s">
        <v>281</v>
      </c>
      <c r="L23" s="7" t="s">
        <v>61</v>
      </c>
      <c r="M23" s="7" t="s">
        <v>33</v>
      </c>
      <c r="N23" s="8"/>
      <c r="O23" s="7" t="s">
        <v>71</v>
      </c>
      <c r="P23" s="7" t="s">
        <v>73</v>
      </c>
      <c r="Q23" s="8" t="s">
        <v>46</v>
      </c>
      <c r="R23" s="8"/>
      <c r="S23" s="6" t="str">
        <f>"555,0"</f>
        <v>555,0</v>
      </c>
      <c r="T23" s="7" t="str">
        <f>"398,8230"</f>
        <v>398,8230</v>
      </c>
      <c r="U23" s="6" t="s">
        <v>282</v>
      </c>
    </row>
    <row r="25" spans="1:21" ht="15" x14ac:dyDescent="0.2">
      <c r="A25" s="46" t="s">
        <v>39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1" x14ac:dyDescent="0.2">
      <c r="A26" s="9" t="s">
        <v>284</v>
      </c>
      <c r="B26" s="9" t="s">
        <v>285</v>
      </c>
      <c r="C26" s="9" t="s">
        <v>286</v>
      </c>
      <c r="D26" s="9" t="str">
        <f>"0,6507"</f>
        <v>0,6507</v>
      </c>
      <c r="E26" s="9" t="s">
        <v>18</v>
      </c>
      <c r="F26" s="9" t="s">
        <v>68</v>
      </c>
      <c r="G26" s="10" t="s">
        <v>49</v>
      </c>
      <c r="H26" s="10" t="s">
        <v>59</v>
      </c>
      <c r="I26" s="11" t="s">
        <v>50</v>
      </c>
      <c r="J26" s="11"/>
      <c r="K26" s="10" t="s">
        <v>84</v>
      </c>
      <c r="L26" s="11" t="s">
        <v>36</v>
      </c>
      <c r="M26" s="10" t="s">
        <v>36</v>
      </c>
      <c r="N26" s="11"/>
      <c r="O26" s="10" t="s">
        <v>46</v>
      </c>
      <c r="P26" s="10" t="s">
        <v>49</v>
      </c>
      <c r="Q26" s="10" t="s">
        <v>59</v>
      </c>
      <c r="R26" s="11"/>
      <c r="S26" s="9" t="str">
        <f>"630,0"</f>
        <v>630,0</v>
      </c>
      <c r="T26" s="10" t="str">
        <f>"409,9410"</f>
        <v>409,9410</v>
      </c>
      <c r="U26" s="9" t="s">
        <v>287</v>
      </c>
    </row>
    <row r="27" spans="1:21" x14ac:dyDescent="0.2">
      <c r="A27" s="15" t="s">
        <v>289</v>
      </c>
      <c r="B27" s="15" t="s">
        <v>290</v>
      </c>
      <c r="C27" s="15" t="s">
        <v>291</v>
      </c>
      <c r="D27" s="15" t="str">
        <f>"0,6455"</f>
        <v>0,6455</v>
      </c>
      <c r="E27" s="15" t="s">
        <v>18</v>
      </c>
      <c r="F27" s="15" t="s">
        <v>108</v>
      </c>
      <c r="G27" s="17" t="s">
        <v>73</v>
      </c>
      <c r="H27" s="16" t="s">
        <v>73</v>
      </c>
      <c r="I27" s="17" t="s">
        <v>197</v>
      </c>
      <c r="J27" s="17"/>
      <c r="K27" s="16" t="s">
        <v>33</v>
      </c>
      <c r="L27" s="17" t="s">
        <v>36</v>
      </c>
      <c r="M27" s="17" t="s">
        <v>36</v>
      </c>
      <c r="N27" s="17"/>
      <c r="O27" s="16" t="s">
        <v>71</v>
      </c>
      <c r="P27" s="16" t="s">
        <v>192</v>
      </c>
      <c r="Q27" s="17"/>
      <c r="R27" s="17"/>
      <c r="S27" s="15" t="str">
        <f>"560,0"</f>
        <v>560,0</v>
      </c>
      <c r="T27" s="16" t="str">
        <f>"361,4800"</f>
        <v>361,4800</v>
      </c>
      <c r="U27" s="15" t="s">
        <v>292</v>
      </c>
    </row>
    <row r="29" spans="1:21" ht="15" x14ac:dyDescent="0.2">
      <c r="A29" s="46" t="s">
        <v>75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1" x14ac:dyDescent="0.2">
      <c r="A30" s="9" t="s">
        <v>294</v>
      </c>
      <c r="B30" s="9" t="s">
        <v>295</v>
      </c>
      <c r="C30" s="9" t="s">
        <v>296</v>
      </c>
      <c r="D30" s="9" t="str">
        <f>"0,6106"</f>
        <v>0,6106</v>
      </c>
      <c r="E30" s="9" t="s">
        <v>18</v>
      </c>
      <c r="F30" s="9" t="s">
        <v>68</v>
      </c>
      <c r="G30" s="11" t="s">
        <v>46</v>
      </c>
      <c r="H30" s="10" t="s">
        <v>49</v>
      </c>
      <c r="I30" s="11" t="s">
        <v>50</v>
      </c>
      <c r="J30" s="11"/>
      <c r="K30" s="10" t="s">
        <v>281</v>
      </c>
      <c r="L30" s="10" t="s">
        <v>33</v>
      </c>
      <c r="M30" s="11" t="s">
        <v>34</v>
      </c>
      <c r="N30" s="11"/>
      <c r="O30" s="10" t="s">
        <v>73</v>
      </c>
      <c r="P30" s="10" t="s">
        <v>49</v>
      </c>
      <c r="Q30" s="11" t="s">
        <v>50</v>
      </c>
      <c r="R30" s="11"/>
      <c r="S30" s="9" t="str">
        <f>"595,0"</f>
        <v>595,0</v>
      </c>
      <c r="T30" s="10" t="str">
        <f>"363,3070"</f>
        <v>363,3070</v>
      </c>
      <c r="U30" s="9" t="s">
        <v>74</v>
      </c>
    </row>
    <row r="31" spans="1:21" x14ac:dyDescent="0.2">
      <c r="A31" s="15" t="s">
        <v>298</v>
      </c>
      <c r="B31" s="15" t="s">
        <v>299</v>
      </c>
      <c r="C31" s="15" t="s">
        <v>300</v>
      </c>
      <c r="D31" s="15" t="str">
        <f>"0,6188"</f>
        <v>0,6188</v>
      </c>
      <c r="E31" s="15" t="s">
        <v>18</v>
      </c>
      <c r="F31" s="15" t="s">
        <v>301</v>
      </c>
      <c r="G31" s="16" t="s">
        <v>71</v>
      </c>
      <c r="H31" s="16" t="s">
        <v>45</v>
      </c>
      <c r="I31" s="16" t="s">
        <v>192</v>
      </c>
      <c r="J31" s="17"/>
      <c r="K31" s="16" t="s">
        <v>239</v>
      </c>
      <c r="L31" s="17" t="s">
        <v>36</v>
      </c>
      <c r="M31" s="16" t="s">
        <v>36</v>
      </c>
      <c r="N31" s="17"/>
      <c r="O31" s="16" t="s">
        <v>302</v>
      </c>
      <c r="P31" s="16" t="s">
        <v>303</v>
      </c>
      <c r="Q31" s="17" t="s">
        <v>45</v>
      </c>
      <c r="R31" s="17"/>
      <c r="S31" s="15" t="str">
        <f>"560,0"</f>
        <v>560,0</v>
      </c>
      <c r="T31" s="16" t="str">
        <f>"357,2704"</f>
        <v>357,2704</v>
      </c>
      <c r="U31" s="15" t="s">
        <v>74</v>
      </c>
    </row>
    <row r="33" spans="1:21" ht="15" x14ac:dyDescent="0.2">
      <c r="A33" s="46" t="s">
        <v>214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1" x14ac:dyDescent="0.2">
      <c r="A34" s="9" t="s">
        <v>305</v>
      </c>
      <c r="B34" s="9" t="s">
        <v>306</v>
      </c>
      <c r="C34" s="9" t="s">
        <v>307</v>
      </c>
      <c r="D34" s="9" t="str">
        <f>"0,5787"</f>
        <v>0,5787</v>
      </c>
      <c r="E34" s="9" t="s">
        <v>18</v>
      </c>
      <c r="F34" s="9" t="s">
        <v>308</v>
      </c>
      <c r="G34" s="10" t="s">
        <v>81</v>
      </c>
      <c r="H34" s="10" t="s">
        <v>175</v>
      </c>
      <c r="I34" s="10" t="s">
        <v>176</v>
      </c>
      <c r="J34" s="11"/>
      <c r="K34" s="10" t="s">
        <v>69</v>
      </c>
      <c r="L34" s="10" t="s">
        <v>188</v>
      </c>
      <c r="M34" s="10" t="s">
        <v>70</v>
      </c>
      <c r="N34" s="11"/>
      <c r="O34" s="10" t="s">
        <v>50</v>
      </c>
      <c r="P34" s="10" t="s">
        <v>81</v>
      </c>
      <c r="Q34" s="11" t="s">
        <v>309</v>
      </c>
      <c r="R34" s="11"/>
      <c r="S34" s="9" t="str">
        <f>"770,0"</f>
        <v>770,0</v>
      </c>
      <c r="T34" s="10" t="str">
        <f>"445,5990"</f>
        <v>445,5990</v>
      </c>
      <c r="U34" s="9" t="s">
        <v>310</v>
      </c>
    </row>
    <row r="35" spans="1:21" x14ac:dyDescent="0.2">
      <c r="A35" s="12" t="s">
        <v>312</v>
      </c>
      <c r="B35" s="12" t="s">
        <v>313</v>
      </c>
      <c r="C35" s="12" t="s">
        <v>314</v>
      </c>
      <c r="D35" s="12" t="str">
        <f>"0,5749"</f>
        <v>0,5749</v>
      </c>
      <c r="E35" s="12" t="s">
        <v>18</v>
      </c>
      <c r="F35" s="12" t="s">
        <v>301</v>
      </c>
      <c r="G35" s="13" t="s">
        <v>50</v>
      </c>
      <c r="H35" s="13" t="s">
        <v>86</v>
      </c>
      <c r="I35" s="14" t="s">
        <v>315</v>
      </c>
      <c r="J35" s="14"/>
      <c r="K35" s="13" t="s">
        <v>36</v>
      </c>
      <c r="L35" s="13" t="s">
        <v>47</v>
      </c>
      <c r="M35" s="13" t="s">
        <v>72</v>
      </c>
      <c r="N35" s="14"/>
      <c r="O35" s="13" t="s">
        <v>85</v>
      </c>
      <c r="P35" s="13" t="s">
        <v>117</v>
      </c>
      <c r="Q35" s="13" t="s">
        <v>86</v>
      </c>
      <c r="R35" s="14"/>
      <c r="S35" s="12" t="str">
        <f>"695,0"</f>
        <v>695,0</v>
      </c>
      <c r="T35" s="13" t="str">
        <f>"399,5555"</f>
        <v>399,5555</v>
      </c>
      <c r="U35" s="12" t="s">
        <v>316</v>
      </c>
    </row>
    <row r="36" spans="1:21" x14ac:dyDescent="0.2">
      <c r="A36" s="15" t="s">
        <v>317</v>
      </c>
      <c r="B36" s="15" t="s">
        <v>318</v>
      </c>
      <c r="C36" s="15" t="s">
        <v>314</v>
      </c>
      <c r="D36" s="15" t="str">
        <f>"0,5749"</f>
        <v>0,5749</v>
      </c>
      <c r="E36" s="15" t="s">
        <v>18</v>
      </c>
      <c r="F36" s="15" t="s">
        <v>301</v>
      </c>
      <c r="G36" s="16" t="s">
        <v>50</v>
      </c>
      <c r="H36" s="16" t="s">
        <v>86</v>
      </c>
      <c r="I36" s="17" t="s">
        <v>315</v>
      </c>
      <c r="J36" s="17"/>
      <c r="K36" s="16" t="s">
        <v>36</v>
      </c>
      <c r="L36" s="16" t="s">
        <v>47</v>
      </c>
      <c r="M36" s="16" t="s">
        <v>72</v>
      </c>
      <c r="N36" s="17"/>
      <c r="O36" s="16" t="s">
        <v>85</v>
      </c>
      <c r="P36" s="16" t="s">
        <v>117</v>
      </c>
      <c r="Q36" s="16" t="s">
        <v>86</v>
      </c>
      <c r="R36" s="17"/>
      <c r="S36" s="15" t="str">
        <f>"695,0"</f>
        <v>695,0</v>
      </c>
      <c r="T36" s="16" t="str">
        <f>"421,5310"</f>
        <v>421,5310</v>
      </c>
      <c r="U36" s="15" t="s">
        <v>316</v>
      </c>
    </row>
    <row r="38" spans="1:21" ht="15" x14ac:dyDescent="0.2">
      <c r="A38" s="46" t="s">
        <v>319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1" x14ac:dyDescent="0.2">
      <c r="A39" s="6" t="s">
        <v>321</v>
      </c>
      <c r="B39" s="6" t="s">
        <v>322</v>
      </c>
      <c r="C39" s="6" t="s">
        <v>323</v>
      </c>
      <c r="D39" s="6" t="str">
        <f>"0,5631"</f>
        <v>0,5631</v>
      </c>
      <c r="E39" s="6" t="s">
        <v>18</v>
      </c>
      <c r="F39" s="6" t="s">
        <v>68</v>
      </c>
      <c r="G39" s="7" t="s">
        <v>52</v>
      </c>
      <c r="H39" s="8" t="s">
        <v>83</v>
      </c>
      <c r="I39" s="7" t="s">
        <v>83</v>
      </c>
      <c r="J39" s="8"/>
      <c r="K39" s="8" t="s">
        <v>69</v>
      </c>
      <c r="L39" s="7" t="s">
        <v>69</v>
      </c>
      <c r="M39" s="8" t="s">
        <v>109</v>
      </c>
      <c r="N39" s="8"/>
      <c r="O39" s="7" t="s">
        <v>50</v>
      </c>
      <c r="P39" s="7" t="s">
        <v>81</v>
      </c>
      <c r="Q39" s="8" t="s">
        <v>52</v>
      </c>
      <c r="R39" s="8"/>
      <c r="S39" s="6" t="str">
        <f>"740,0"</f>
        <v>740,0</v>
      </c>
      <c r="T39" s="7" t="str">
        <f>"416,6940"</f>
        <v>416,6940</v>
      </c>
      <c r="U39" s="6" t="s">
        <v>324</v>
      </c>
    </row>
    <row r="41" spans="1:21" ht="15" x14ac:dyDescent="0.2">
      <c r="E41" s="18" t="s">
        <v>119</v>
      </c>
    </row>
    <row r="42" spans="1:21" ht="15" x14ac:dyDescent="0.2">
      <c r="E42" s="18" t="s">
        <v>120</v>
      </c>
    </row>
    <row r="43" spans="1:21" ht="15" x14ac:dyDescent="0.2">
      <c r="E43" s="18" t="s">
        <v>121</v>
      </c>
    </row>
    <row r="44" spans="1:21" ht="15" x14ac:dyDescent="0.2">
      <c r="E44" s="18" t="s">
        <v>122</v>
      </c>
    </row>
    <row r="45" spans="1:21" ht="15" x14ac:dyDescent="0.2">
      <c r="E45" s="18" t="s">
        <v>122</v>
      </c>
    </row>
    <row r="46" spans="1:21" ht="15" x14ac:dyDescent="0.2">
      <c r="E46" s="18" t="s">
        <v>123</v>
      </c>
    </row>
    <row r="47" spans="1:21" ht="15" x14ac:dyDescent="0.2">
      <c r="E47" s="18"/>
    </row>
    <row r="49" spans="1:5" ht="18" x14ac:dyDescent="0.25">
      <c r="A49" s="19" t="s">
        <v>124</v>
      </c>
      <c r="B49" s="19"/>
    </row>
    <row r="50" spans="1:5" ht="15" x14ac:dyDescent="0.2">
      <c r="A50" s="20" t="s">
        <v>125</v>
      </c>
      <c r="B50" s="20"/>
    </row>
    <row r="51" spans="1:5" ht="14.25" x14ac:dyDescent="0.2">
      <c r="A51" s="22"/>
      <c r="B51" s="23" t="s">
        <v>126</v>
      </c>
    </row>
    <row r="52" spans="1:5" ht="15" x14ac:dyDescent="0.2">
      <c r="A52" s="24" t="s">
        <v>127</v>
      </c>
      <c r="B52" s="24" t="s">
        <v>128</v>
      </c>
      <c r="C52" s="24" t="s">
        <v>129</v>
      </c>
      <c r="D52" s="24" t="s">
        <v>130</v>
      </c>
      <c r="E52" s="24" t="s">
        <v>131</v>
      </c>
    </row>
    <row r="53" spans="1:5" x14ac:dyDescent="0.2">
      <c r="A53" s="21" t="s">
        <v>270</v>
      </c>
      <c r="B53" s="4" t="s">
        <v>132</v>
      </c>
      <c r="C53" s="4" t="s">
        <v>325</v>
      </c>
      <c r="D53" s="4" t="s">
        <v>157</v>
      </c>
      <c r="E53" s="25" t="s">
        <v>326</v>
      </c>
    </row>
    <row r="54" spans="1:5" x14ac:dyDescent="0.2">
      <c r="A54" s="21" t="s">
        <v>257</v>
      </c>
      <c r="B54" s="4" t="s">
        <v>132</v>
      </c>
      <c r="C54" s="4" t="s">
        <v>327</v>
      </c>
      <c r="D54" s="4" t="s">
        <v>52</v>
      </c>
      <c r="E54" s="25" t="s">
        <v>328</v>
      </c>
    </row>
    <row r="56" spans="1:5" ht="14.25" x14ac:dyDescent="0.2">
      <c r="A56" s="22"/>
      <c r="B56" s="23" t="s">
        <v>144</v>
      </c>
    </row>
    <row r="57" spans="1:5" ht="15" x14ac:dyDescent="0.2">
      <c r="A57" s="24" t="s">
        <v>127</v>
      </c>
      <c r="B57" s="24" t="s">
        <v>128</v>
      </c>
      <c r="C57" s="24" t="s">
        <v>129</v>
      </c>
      <c r="D57" s="24" t="s">
        <v>130</v>
      </c>
      <c r="E57" s="24" t="s">
        <v>131</v>
      </c>
    </row>
    <row r="58" spans="1:5" x14ac:dyDescent="0.2">
      <c r="A58" s="21" t="s">
        <v>235</v>
      </c>
      <c r="B58" s="4" t="s">
        <v>144</v>
      </c>
      <c r="C58" s="4" t="s">
        <v>133</v>
      </c>
      <c r="D58" s="4" t="s">
        <v>329</v>
      </c>
      <c r="E58" s="25" t="s">
        <v>330</v>
      </c>
    </row>
    <row r="59" spans="1:5" x14ac:dyDescent="0.2">
      <c r="A59" s="21" t="s">
        <v>257</v>
      </c>
      <c r="B59" s="4" t="s">
        <v>144</v>
      </c>
      <c r="C59" s="4" t="s">
        <v>327</v>
      </c>
      <c r="D59" s="4" t="s">
        <v>52</v>
      </c>
      <c r="E59" s="25" t="s">
        <v>328</v>
      </c>
    </row>
    <row r="60" spans="1:5" x14ac:dyDescent="0.2">
      <c r="A60" s="21" t="s">
        <v>245</v>
      </c>
      <c r="B60" s="4" t="s">
        <v>144</v>
      </c>
      <c r="C60" s="4" t="s">
        <v>331</v>
      </c>
      <c r="D60" s="4" t="s">
        <v>134</v>
      </c>
      <c r="E60" s="25" t="s">
        <v>332</v>
      </c>
    </row>
    <row r="61" spans="1:5" x14ac:dyDescent="0.2">
      <c r="A61" s="21" t="s">
        <v>263</v>
      </c>
      <c r="B61" s="4" t="s">
        <v>144</v>
      </c>
      <c r="C61" s="4" t="s">
        <v>141</v>
      </c>
      <c r="D61" s="4" t="s">
        <v>333</v>
      </c>
      <c r="E61" s="25" t="s">
        <v>334</v>
      </c>
    </row>
    <row r="63" spans="1:5" ht="14.25" x14ac:dyDescent="0.2">
      <c r="A63" s="22"/>
      <c r="B63" s="23" t="s">
        <v>159</v>
      </c>
    </row>
    <row r="64" spans="1:5" ht="15" x14ac:dyDescent="0.2">
      <c r="A64" s="24" t="s">
        <v>127</v>
      </c>
      <c r="B64" s="24" t="s">
        <v>128</v>
      </c>
      <c r="C64" s="24" t="s">
        <v>129</v>
      </c>
      <c r="D64" s="24" t="s">
        <v>130</v>
      </c>
      <c r="E64" s="24" t="s">
        <v>131</v>
      </c>
    </row>
    <row r="65" spans="1:5" x14ac:dyDescent="0.2">
      <c r="A65" s="21" t="s">
        <v>245</v>
      </c>
      <c r="B65" s="4" t="s">
        <v>231</v>
      </c>
      <c r="C65" s="4" t="s">
        <v>331</v>
      </c>
      <c r="D65" s="4" t="s">
        <v>134</v>
      </c>
      <c r="E65" s="25" t="s">
        <v>335</v>
      </c>
    </row>
    <row r="68" spans="1:5" ht="15" x14ac:dyDescent="0.2">
      <c r="A68" s="20" t="s">
        <v>136</v>
      </c>
      <c r="B68" s="20"/>
    </row>
    <row r="69" spans="1:5" ht="14.25" x14ac:dyDescent="0.2">
      <c r="A69" s="22"/>
      <c r="B69" s="23" t="s">
        <v>137</v>
      </c>
    </row>
    <row r="70" spans="1:5" ht="15" x14ac:dyDescent="0.2">
      <c r="A70" s="24" t="s">
        <v>127</v>
      </c>
      <c r="B70" s="24" t="s">
        <v>128</v>
      </c>
      <c r="C70" s="24" t="s">
        <v>129</v>
      </c>
      <c r="D70" s="24" t="s">
        <v>130</v>
      </c>
      <c r="E70" s="24" t="s">
        <v>131</v>
      </c>
    </row>
    <row r="71" spans="1:5" x14ac:dyDescent="0.2">
      <c r="A71" s="21" t="s">
        <v>276</v>
      </c>
      <c r="B71" s="4" t="s">
        <v>132</v>
      </c>
      <c r="C71" s="4" t="s">
        <v>336</v>
      </c>
      <c r="D71" s="4" t="s">
        <v>337</v>
      </c>
      <c r="E71" s="25" t="s">
        <v>338</v>
      </c>
    </row>
    <row r="73" spans="1:5" ht="14.25" x14ac:dyDescent="0.2">
      <c r="A73" s="22"/>
      <c r="B73" s="23" t="s">
        <v>144</v>
      </c>
    </row>
    <row r="74" spans="1:5" ht="15" x14ac:dyDescent="0.2">
      <c r="A74" s="24" t="s">
        <v>127</v>
      </c>
      <c r="B74" s="24" t="s">
        <v>128</v>
      </c>
      <c r="C74" s="24" t="s">
        <v>129</v>
      </c>
      <c r="D74" s="24" t="s">
        <v>130</v>
      </c>
      <c r="E74" s="24" t="s">
        <v>131</v>
      </c>
    </row>
    <row r="75" spans="1:5" x14ac:dyDescent="0.2">
      <c r="A75" s="21" t="s">
        <v>304</v>
      </c>
      <c r="B75" s="4" t="s">
        <v>144</v>
      </c>
      <c r="C75" s="4" t="s">
        <v>232</v>
      </c>
      <c r="D75" s="4" t="s">
        <v>339</v>
      </c>
      <c r="E75" s="25" t="s">
        <v>340</v>
      </c>
    </row>
    <row r="76" spans="1:5" x14ac:dyDescent="0.2">
      <c r="A76" s="21" t="s">
        <v>320</v>
      </c>
      <c r="B76" s="4" t="s">
        <v>144</v>
      </c>
      <c r="C76" s="4" t="s">
        <v>341</v>
      </c>
      <c r="D76" s="4" t="s">
        <v>139</v>
      </c>
      <c r="E76" s="25" t="s">
        <v>342</v>
      </c>
    </row>
    <row r="77" spans="1:5" x14ac:dyDescent="0.2">
      <c r="A77" s="21" t="s">
        <v>283</v>
      </c>
      <c r="B77" s="4" t="s">
        <v>144</v>
      </c>
      <c r="C77" s="4" t="s">
        <v>141</v>
      </c>
      <c r="D77" s="4" t="s">
        <v>343</v>
      </c>
      <c r="E77" s="25" t="s">
        <v>344</v>
      </c>
    </row>
    <row r="78" spans="1:5" x14ac:dyDescent="0.2">
      <c r="A78" s="21" t="s">
        <v>311</v>
      </c>
      <c r="B78" s="4" t="s">
        <v>144</v>
      </c>
      <c r="C78" s="4" t="s">
        <v>232</v>
      </c>
      <c r="D78" s="4" t="s">
        <v>345</v>
      </c>
      <c r="E78" s="25" t="s">
        <v>346</v>
      </c>
    </row>
    <row r="79" spans="1:5" x14ac:dyDescent="0.2">
      <c r="A79" s="21" t="s">
        <v>293</v>
      </c>
      <c r="B79" s="4" t="s">
        <v>144</v>
      </c>
      <c r="C79" s="4" t="s">
        <v>138</v>
      </c>
      <c r="D79" s="4" t="s">
        <v>347</v>
      </c>
      <c r="E79" s="25" t="s">
        <v>348</v>
      </c>
    </row>
    <row r="80" spans="1:5" x14ac:dyDescent="0.2">
      <c r="A80" s="21" t="s">
        <v>288</v>
      </c>
      <c r="B80" s="4" t="s">
        <v>144</v>
      </c>
      <c r="C80" s="4" t="s">
        <v>141</v>
      </c>
      <c r="D80" s="4" t="s">
        <v>349</v>
      </c>
      <c r="E80" s="25" t="s">
        <v>350</v>
      </c>
    </row>
    <row r="82" spans="1:5" ht="14.25" x14ac:dyDescent="0.2">
      <c r="A82" s="22"/>
      <c r="B82" s="23" t="s">
        <v>159</v>
      </c>
    </row>
    <row r="83" spans="1:5" ht="15" x14ac:dyDescent="0.2">
      <c r="A83" s="24" t="s">
        <v>127</v>
      </c>
      <c r="B83" s="24" t="s">
        <v>128</v>
      </c>
      <c r="C83" s="24" t="s">
        <v>129</v>
      </c>
      <c r="D83" s="24" t="s">
        <v>130</v>
      </c>
      <c r="E83" s="24" t="s">
        <v>131</v>
      </c>
    </row>
    <row r="84" spans="1:5" x14ac:dyDescent="0.2">
      <c r="A84" s="21" t="s">
        <v>311</v>
      </c>
      <c r="B84" s="4" t="s">
        <v>231</v>
      </c>
      <c r="C84" s="4" t="s">
        <v>232</v>
      </c>
      <c r="D84" s="4" t="s">
        <v>345</v>
      </c>
      <c r="E84" s="25" t="s">
        <v>351</v>
      </c>
    </row>
    <row r="85" spans="1:5" x14ac:dyDescent="0.2">
      <c r="A85" s="21" t="s">
        <v>297</v>
      </c>
      <c r="B85" s="4" t="s">
        <v>160</v>
      </c>
      <c r="C85" s="4" t="s">
        <v>138</v>
      </c>
      <c r="D85" s="4" t="s">
        <v>349</v>
      </c>
      <c r="E85" s="25" t="s">
        <v>352</v>
      </c>
    </row>
  </sheetData>
  <mergeCells count="23"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38:T38"/>
    <mergeCell ref="A16:T16"/>
    <mergeCell ref="A19:T19"/>
    <mergeCell ref="A22:T22"/>
    <mergeCell ref="A25:T25"/>
    <mergeCell ref="A29:T29"/>
    <mergeCell ref="A33:T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workbookViewId="0">
      <selection activeCell="W10" sqref="W10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7" style="4" customWidth="1"/>
    <col min="4" max="4" width="8.42578125" style="4" bestFit="1" customWidth="1"/>
    <col min="5" max="5" width="22.7109375" style="4" bestFit="1" customWidth="1"/>
    <col min="6" max="6" width="31.5703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28.85546875" style="4" bestFit="1" customWidth="1"/>
    <col min="22" max="16384" width="9.140625" style="3"/>
  </cols>
  <sheetData>
    <row r="1" spans="1:21" s="2" customFormat="1" ht="29.1" customHeight="1" x14ac:dyDescent="0.2">
      <c r="A1" s="37" t="s">
        <v>1483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1" ht="15" x14ac:dyDescent="0.2">
      <c r="A5" s="36" t="s">
        <v>353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9" t="s">
        <v>355</v>
      </c>
      <c r="B6" s="9" t="s">
        <v>356</v>
      </c>
      <c r="C6" s="9" t="s">
        <v>357</v>
      </c>
      <c r="D6" s="9" t="str">
        <f>"1,4059"</f>
        <v>1,4059</v>
      </c>
      <c r="E6" s="9" t="s">
        <v>18</v>
      </c>
      <c r="F6" s="9" t="s">
        <v>68</v>
      </c>
      <c r="G6" s="10" t="s">
        <v>241</v>
      </c>
      <c r="H6" s="10" t="s">
        <v>273</v>
      </c>
      <c r="I6" s="10" t="s">
        <v>358</v>
      </c>
      <c r="J6" s="11"/>
      <c r="K6" s="10" t="s">
        <v>359</v>
      </c>
      <c r="L6" s="10" t="s">
        <v>360</v>
      </c>
      <c r="M6" s="10" t="s">
        <v>361</v>
      </c>
      <c r="N6" s="11"/>
      <c r="O6" s="10" t="s">
        <v>362</v>
      </c>
      <c r="P6" s="10" t="s">
        <v>251</v>
      </c>
      <c r="Q6" s="10" t="s">
        <v>363</v>
      </c>
      <c r="R6" s="11"/>
      <c r="S6" s="9" t="str">
        <f>"225,0"</f>
        <v>225,0</v>
      </c>
      <c r="T6" s="10" t="str">
        <f>"316,3275"</f>
        <v>316,3275</v>
      </c>
      <c r="U6" s="9" t="s">
        <v>213</v>
      </c>
    </row>
    <row r="7" spans="1:21" x14ac:dyDescent="0.2">
      <c r="A7" s="15" t="s">
        <v>365</v>
      </c>
      <c r="B7" s="15" t="s">
        <v>366</v>
      </c>
      <c r="C7" s="15" t="s">
        <v>367</v>
      </c>
      <c r="D7" s="15" t="str">
        <f>"1,3265"</f>
        <v>1,3265</v>
      </c>
      <c r="E7" s="15" t="s">
        <v>18</v>
      </c>
      <c r="F7" s="15" t="s">
        <v>68</v>
      </c>
      <c r="G7" s="16" t="s">
        <v>368</v>
      </c>
      <c r="H7" s="16" t="s">
        <v>35</v>
      </c>
      <c r="I7" s="16" t="s">
        <v>20</v>
      </c>
      <c r="J7" s="17"/>
      <c r="K7" s="16" t="s">
        <v>253</v>
      </c>
      <c r="L7" s="16" t="s">
        <v>254</v>
      </c>
      <c r="M7" s="16" t="s">
        <v>268</v>
      </c>
      <c r="N7" s="17"/>
      <c r="O7" s="16" t="s">
        <v>25</v>
      </c>
      <c r="P7" s="16" t="s">
        <v>26</v>
      </c>
      <c r="Q7" s="16" t="s">
        <v>189</v>
      </c>
      <c r="R7" s="17"/>
      <c r="S7" s="15" t="str">
        <f>"260,0"</f>
        <v>260,0</v>
      </c>
      <c r="T7" s="16" t="str">
        <f>"344,8900"</f>
        <v>344,8900</v>
      </c>
      <c r="U7" s="15" t="s">
        <v>369</v>
      </c>
    </row>
    <row r="9" spans="1:21" ht="15" x14ac:dyDescent="0.2">
      <c r="A9" s="46" t="s">
        <v>244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1" x14ac:dyDescent="0.2">
      <c r="A10" s="9" t="s">
        <v>371</v>
      </c>
      <c r="B10" s="9" t="s">
        <v>372</v>
      </c>
      <c r="C10" s="9" t="s">
        <v>373</v>
      </c>
      <c r="D10" s="9" t="str">
        <f>"1,1900"</f>
        <v>1,1900</v>
      </c>
      <c r="E10" s="9" t="s">
        <v>18</v>
      </c>
      <c r="F10" s="9" t="s">
        <v>374</v>
      </c>
      <c r="G10" s="10" t="s">
        <v>362</v>
      </c>
      <c r="H10" s="11" t="s">
        <v>251</v>
      </c>
      <c r="I10" s="11" t="s">
        <v>363</v>
      </c>
      <c r="J10" s="11"/>
      <c r="K10" s="10" t="s">
        <v>254</v>
      </c>
      <c r="L10" s="11" t="s">
        <v>375</v>
      </c>
      <c r="M10" s="11" t="s">
        <v>375</v>
      </c>
      <c r="N10" s="11"/>
      <c r="O10" s="10" t="s">
        <v>26</v>
      </c>
      <c r="P10" s="11" t="s">
        <v>191</v>
      </c>
      <c r="Q10" s="11" t="s">
        <v>191</v>
      </c>
      <c r="R10" s="11"/>
      <c r="S10" s="9" t="str">
        <f>"260,0"</f>
        <v>260,0</v>
      </c>
      <c r="T10" s="10" t="str">
        <f>"309,4000"</f>
        <v>309,4000</v>
      </c>
      <c r="U10" s="9" t="s">
        <v>376</v>
      </c>
    </row>
    <row r="11" spans="1:21" x14ac:dyDescent="0.2">
      <c r="A11" s="12" t="s">
        <v>371</v>
      </c>
      <c r="B11" s="12" t="s">
        <v>377</v>
      </c>
      <c r="C11" s="12" t="s">
        <v>373</v>
      </c>
      <c r="D11" s="12" t="str">
        <f>"1,1900"</f>
        <v>1,1900</v>
      </c>
      <c r="E11" s="12" t="s">
        <v>18</v>
      </c>
      <c r="F11" s="12" t="s">
        <v>374</v>
      </c>
      <c r="G11" s="13" t="s">
        <v>362</v>
      </c>
      <c r="H11" s="14" t="s">
        <v>251</v>
      </c>
      <c r="I11" s="14" t="s">
        <v>363</v>
      </c>
      <c r="J11" s="14"/>
      <c r="K11" s="13" t="s">
        <v>254</v>
      </c>
      <c r="L11" s="14" t="s">
        <v>375</v>
      </c>
      <c r="M11" s="14" t="s">
        <v>375</v>
      </c>
      <c r="N11" s="14"/>
      <c r="O11" s="13" t="s">
        <v>26</v>
      </c>
      <c r="P11" s="14" t="s">
        <v>191</v>
      </c>
      <c r="Q11" s="14" t="s">
        <v>191</v>
      </c>
      <c r="R11" s="14"/>
      <c r="S11" s="12" t="str">
        <f>"260,0"</f>
        <v>260,0</v>
      </c>
      <c r="T11" s="13" t="str">
        <f>"309,4000"</f>
        <v>309,4000</v>
      </c>
      <c r="U11" s="12" t="s">
        <v>376</v>
      </c>
    </row>
    <row r="12" spans="1:21" x14ac:dyDescent="0.2">
      <c r="A12" s="15" t="s">
        <v>379</v>
      </c>
      <c r="B12" s="15" t="s">
        <v>380</v>
      </c>
      <c r="C12" s="15" t="s">
        <v>381</v>
      </c>
      <c r="D12" s="15" t="str">
        <f>"1,1766"</f>
        <v>1,1766</v>
      </c>
      <c r="E12" s="15" t="s">
        <v>18</v>
      </c>
      <c r="F12" s="15" t="s">
        <v>382</v>
      </c>
      <c r="G12" s="16" t="s">
        <v>383</v>
      </c>
      <c r="H12" s="16" t="s">
        <v>20</v>
      </c>
      <c r="I12" s="17" t="s">
        <v>384</v>
      </c>
      <c r="J12" s="17"/>
      <c r="K12" s="16" t="s">
        <v>22</v>
      </c>
      <c r="L12" s="16" t="s">
        <v>23</v>
      </c>
      <c r="M12" s="17" t="s">
        <v>24</v>
      </c>
      <c r="N12" s="17"/>
      <c r="O12" s="16" t="s">
        <v>35</v>
      </c>
      <c r="P12" s="16" t="s">
        <v>384</v>
      </c>
      <c r="Q12" s="16" t="s">
        <v>25</v>
      </c>
      <c r="R12" s="17"/>
      <c r="S12" s="15" t="str">
        <f>"237,5"</f>
        <v>237,5</v>
      </c>
      <c r="T12" s="16" t="str">
        <f>"279,4425"</f>
        <v>279,4425</v>
      </c>
      <c r="U12" s="15" t="s">
        <v>385</v>
      </c>
    </row>
    <row r="14" spans="1:21" ht="15" x14ac:dyDescent="0.2">
      <c r="A14" s="46" t="s">
        <v>386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1" x14ac:dyDescent="0.2">
      <c r="A15" s="9" t="s">
        <v>388</v>
      </c>
      <c r="B15" s="9" t="s">
        <v>389</v>
      </c>
      <c r="C15" s="9" t="s">
        <v>390</v>
      </c>
      <c r="D15" s="9" t="str">
        <f>"1,1371"</f>
        <v>1,1371</v>
      </c>
      <c r="E15" s="9" t="s">
        <v>18</v>
      </c>
      <c r="F15" s="9" t="s">
        <v>391</v>
      </c>
      <c r="G15" s="10" t="s">
        <v>24</v>
      </c>
      <c r="H15" s="11" t="s">
        <v>268</v>
      </c>
      <c r="I15" s="11" t="s">
        <v>240</v>
      </c>
      <c r="J15" s="11"/>
      <c r="K15" s="10" t="s">
        <v>359</v>
      </c>
      <c r="L15" s="10" t="s">
        <v>22</v>
      </c>
      <c r="M15" s="10" t="s">
        <v>392</v>
      </c>
      <c r="N15" s="11"/>
      <c r="O15" s="10" t="s">
        <v>368</v>
      </c>
      <c r="P15" s="10" t="s">
        <v>21</v>
      </c>
      <c r="Q15" s="10" t="s">
        <v>26</v>
      </c>
      <c r="R15" s="11"/>
      <c r="S15" s="9" t="str">
        <f>"200,0"</f>
        <v>200,0</v>
      </c>
      <c r="T15" s="10" t="str">
        <f>"227,4200"</f>
        <v>227,4200</v>
      </c>
      <c r="U15" s="9" t="s">
        <v>393</v>
      </c>
    </row>
    <row r="16" spans="1:21" x14ac:dyDescent="0.2">
      <c r="A16" s="15" t="s">
        <v>395</v>
      </c>
      <c r="B16" s="15" t="s">
        <v>396</v>
      </c>
      <c r="C16" s="15" t="s">
        <v>397</v>
      </c>
      <c r="D16" s="15" t="str">
        <f>"1,1251"</f>
        <v>1,1251</v>
      </c>
      <c r="E16" s="15" t="s">
        <v>18</v>
      </c>
      <c r="F16" s="15" t="s">
        <v>68</v>
      </c>
      <c r="G16" s="16" t="s">
        <v>35</v>
      </c>
      <c r="H16" s="17" t="s">
        <v>20</v>
      </c>
      <c r="I16" s="16" t="s">
        <v>20</v>
      </c>
      <c r="J16" s="17"/>
      <c r="K16" s="16" t="s">
        <v>252</v>
      </c>
      <c r="L16" s="16" t="s">
        <v>253</v>
      </c>
      <c r="M16" s="17" t="s">
        <v>254</v>
      </c>
      <c r="N16" s="17"/>
      <c r="O16" s="16" t="s">
        <v>35</v>
      </c>
      <c r="P16" s="16" t="s">
        <v>20</v>
      </c>
      <c r="Q16" s="16" t="s">
        <v>21</v>
      </c>
      <c r="R16" s="17"/>
      <c r="S16" s="15" t="str">
        <f>"240,0"</f>
        <v>240,0</v>
      </c>
      <c r="T16" s="16" t="str">
        <f>"270,0240"</f>
        <v>270,0240</v>
      </c>
      <c r="U16" s="15" t="s">
        <v>398</v>
      </c>
    </row>
    <row r="18" spans="1:21" ht="15" x14ac:dyDescent="0.2">
      <c r="A18" s="46" t="s">
        <v>164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1" x14ac:dyDescent="0.2">
      <c r="A19" s="9" t="s">
        <v>400</v>
      </c>
      <c r="B19" s="9" t="s">
        <v>401</v>
      </c>
      <c r="C19" s="9" t="s">
        <v>402</v>
      </c>
      <c r="D19" s="9" t="str">
        <f>"1,0805"</f>
        <v>1,0805</v>
      </c>
      <c r="E19" s="9" t="s">
        <v>18</v>
      </c>
      <c r="F19" s="9" t="s">
        <v>403</v>
      </c>
      <c r="G19" s="10" t="s">
        <v>190</v>
      </c>
      <c r="H19" s="10" t="s">
        <v>281</v>
      </c>
      <c r="I19" s="11"/>
      <c r="J19" s="11"/>
      <c r="K19" s="11" t="s">
        <v>268</v>
      </c>
      <c r="L19" s="10" t="s">
        <v>268</v>
      </c>
      <c r="M19" s="11" t="s">
        <v>240</v>
      </c>
      <c r="N19" s="11"/>
      <c r="O19" s="10" t="s">
        <v>20</v>
      </c>
      <c r="P19" s="10" t="s">
        <v>25</v>
      </c>
      <c r="Q19" s="10" t="s">
        <v>189</v>
      </c>
      <c r="R19" s="11"/>
      <c r="S19" s="9" t="str">
        <f>"295,0"</f>
        <v>295,0</v>
      </c>
      <c r="T19" s="10" t="str">
        <f>"318,7475"</f>
        <v>318,7475</v>
      </c>
      <c r="U19" s="9" t="s">
        <v>404</v>
      </c>
    </row>
    <row r="20" spans="1:21" x14ac:dyDescent="0.2">
      <c r="A20" s="15" t="s">
        <v>406</v>
      </c>
      <c r="B20" s="15" t="s">
        <v>407</v>
      </c>
      <c r="C20" s="15" t="s">
        <v>408</v>
      </c>
      <c r="D20" s="15" t="str">
        <f>"1,0206"</f>
        <v>1,0206</v>
      </c>
      <c r="E20" s="15" t="s">
        <v>18</v>
      </c>
      <c r="F20" s="15" t="s">
        <v>68</v>
      </c>
      <c r="G20" s="16" t="s">
        <v>358</v>
      </c>
      <c r="H20" s="16" t="s">
        <v>383</v>
      </c>
      <c r="I20" s="16" t="s">
        <v>409</v>
      </c>
      <c r="J20" s="17"/>
      <c r="K20" s="16" t="s">
        <v>392</v>
      </c>
      <c r="L20" s="17" t="s">
        <v>23</v>
      </c>
      <c r="M20" s="17" t="s">
        <v>23</v>
      </c>
      <c r="N20" s="17"/>
      <c r="O20" s="16" t="s">
        <v>189</v>
      </c>
      <c r="P20" s="16" t="s">
        <v>191</v>
      </c>
      <c r="Q20" s="16" t="s">
        <v>267</v>
      </c>
      <c r="R20" s="17"/>
      <c r="S20" s="15" t="str">
        <f>"255,0"</f>
        <v>255,0</v>
      </c>
      <c r="T20" s="16" t="str">
        <f>"260,2530"</f>
        <v>260,2530</v>
      </c>
      <c r="U20" s="15" t="s">
        <v>38</v>
      </c>
    </row>
    <row r="22" spans="1:21" ht="15" x14ac:dyDescent="0.2">
      <c r="A22" s="46" t="s">
        <v>275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1" x14ac:dyDescent="0.2">
      <c r="A23" s="6" t="s">
        <v>411</v>
      </c>
      <c r="B23" s="6" t="s">
        <v>412</v>
      </c>
      <c r="C23" s="6" t="s">
        <v>413</v>
      </c>
      <c r="D23" s="6" t="str">
        <f>"0,9890"</f>
        <v>0,9890</v>
      </c>
      <c r="E23" s="6" t="s">
        <v>18</v>
      </c>
      <c r="F23" s="6" t="s">
        <v>68</v>
      </c>
      <c r="G23" s="7" t="s">
        <v>368</v>
      </c>
      <c r="H23" s="7" t="s">
        <v>35</v>
      </c>
      <c r="I23" s="7" t="s">
        <v>20</v>
      </c>
      <c r="J23" s="8"/>
      <c r="K23" s="7" t="s">
        <v>24</v>
      </c>
      <c r="L23" s="7" t="s">
        <v>253</v>
      </c>
      <c r="M23" s="8" t="s">
        <v>254</v>
      </c>
      <c r="N23" s="8"/>
      <c r="O23" s="7" t="s">
        <v>25</v>
      </c>
      <c r="P23" s="7" t="s">
        <v>189</v>
      </c>
      <c r="Q23" s="7" t="s">
        <v>110</v>
      </c>
      <c r="R23" s="8"/>
      <c r="S23" s="6" t="str">
        <f>"265,0"</f>
        <v>265,0</v>
      </c>
      <c r="T23" s="7" t="str">
        <f>"262,0850"</f>
        <v>262,0850</v>
      </c>
      <c r="U23" s="6" t="s">
        <v>414</v>
      </c>
    </row>
    <row r="25" spans="1:21" ht="15" x14ac:dyDescent="0.2">
      <c r="A25" s="46" t="s">
        <v>164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1" x14ac:dyDescent="0.2">
      <c r="A26" s="9" t="s">
        <v>415</v>
      </c>
      <c r="B26" s="9" t="s">
        <v>167</v>
      </c>
      <c r="C26" s="9" t="s">
        <v>416</v>
      </c>
      <c r="D26" s="9" t="str">
        <f>"0,7794"</f>
        <v>0,7794</v>
      </c>
      <c r="E26" s="9" t="s">
        <v>18</v>
      </c>
      <c r="F26" s="9" t="s">
        <v>169</v>
      </c>
      <c r="G26" s="11" t="s">
        <v>188</v>
      </c>
      <c r="H26" s="10" t="s">
        <v>188</v>
      </c>
      <c r="I26" s="11" t="s">
        <v>70</v>
      </c>
      <c r="J26" s="11"/>
      <c r="K26" s="10" t="s">
        <v>384</v>
      </c>
      <c r="L26" s="10" t="s">
        <v>362</v>
      </c>
      <c r="M26" s="11" t="s">
        <v>251</v>
      </c>
      <c r="N26" s="11"/>
      <c r="O26" s="10" t="s">
        <v>71</v>
      </c>
      <c r="P26" s="10" t="s">
        <v>73</v>
      </c>
      <c r="Q26" s="11" t="s">
        <v>192</v>
      </c>
      <c r="R26" s="11"/>
      <c r="S26" s="9" t="str">
        <f>"487,5"</f>
        <v>487,5</v>
      </c>
      <c r="T26" s="10" t="str">
        <f>"379,9575"</f>
        <v>379,9575</v>
      </c>
      <c r="U26" s="9" t="s">
        <v>74</v>
      </c>
    </row>
    <row r="27" spans="1:21" x14ac:dyDescent="0.2">
      <c r="A27" s="15" t="s">
        <v>418</v>
      </c>
      <c r="B27" s="15" t="s">
        <v>419</v>
      </c>
      <c r="C27" s="15" t="s">
        <v>420</v>
      </c>
      <c r="D27" s="15" t="str">
        <f>"0,7813"</f>
        <v>0,7813</v>
      </c>
      <c r="E27" s="15" t="s">
        <v>18</v>
      </c>
      <c r="F27" s="15" t="s">
        <v>68</v>
      </c>
      <c r="G27" s="16" t="s">
        <v>281</v>
      </c>
      <c r="H27" s="16" t="s">
        <v>33</v>
      </c>
      <c r="I27" s="16" t="s">
        <v>34</v>
      </c>
      <c r="J27" s="17"/>
      <c r="K27" s="16" t="s">
        <v>26</v>
      </c>
      <c r="L27" s="16" t="s">
        <v>189</v>
      </c>
      <c r="M27" s="17" t="s">
        <v>190</v>
      </c>
      <c r="N27" s="17"/>
      <c r="O27" s="16" t="s">
        <v>84</v>
      </c>
      <c r="P27" s="16" t="s">
        <v>93</v>
      </c>
      <c r="Q27" s="16" t="s">
        <v>72</v>
      </c>
      <c r="R27" s="17"/>
      <c r="S27" s="15" t="str">
        <f>"415,0"</f>
        <v>415,0</v>
      </c>
      <c r="T27" s="16" t="str">
        <f>"324,2395"</f>
        <v>324,2395</v>
      </c>
      <c r="U27" s="15" t="s">
        <v>74</v>
      </c>
    </row>
    <row r="29" spans="1:21" ht="15" x14ac:dyDescent="0.2">
      <c r="A29" s="46" t="s">
        <v>275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1" x14ac:dyDescent="0.2">
      <c r="A30" s="9" t="s">
        <v>422</v>
      </c>
      <c r="B30" s="9" t="s">
        <v>423</v>
      </c>
      <c r="C30" s="9" t="s">
        <v>424</v>
      </c>
      <c r="D30" s="9" t="str">
        <f>"0,7469"</f>
        <v>0,7469</v>
      </c>
      <c r="E30" s="9" t="s">
        <v>18</v>
      </c>
      <c r="F30" s="9" t="s">
        <v>58</v>
      </c>
      <c r="G30" s="11" t="s">
        <v>61</v>
      </c>
      <c r="H30" s="10" t="s">
        <v>33</v>
      </c>
      <c r="I30" s="10" t="s">
        <v>84</v>
      </c>
      <c r="J30" s="11"/>
      <c r="K30" s="10" t="s">
        <v>362</v>
      </c>
      <c r="L30" s="10" t="s">
        <v>251</v>
      </c>
      <c r="M30" s="11" t="s">
        <v>363</v>
      </c>
      <c r="N30" s="11"/>
      <c r="O30" s="10" t="s">
        <v>36</v>
      </c>
      <c r="P30" s="10" t="s">
        <v>47</v>
      </c>
      <c r="Q30" s="10" t="s">
        <v>72</v>
      </c>
      <c r="R30" s="11"/>
      <c r="S30" s="9" t="str">
        <f>"412,5"</f>
        <v>412,5</v>
      </c>
      <c r="T30" s="10" t="str">
        <f>"308,0963"</f>
        <v>308,0963</v>
      </c>
      <c r="U30" s="9" t="s">
        <v>74</v>
      </c>
    </row>
    <row r="31" spans="1:21" x14ac:dyDescent="0.2">
      <c r="A31" s="15" t="s">
        <v>426</v>
      </c>
      <c r="B31" s="15" t="s">
        <v>427</v>
      </c>
      <c r="C31" s="15" t="s">
        <v>428</v>
      </c>
      <c r="D31" s="15" t="str">
        <f>"0,7322"</f>
        <v>0,7322</v>
      </c>
      <c r="E31" s="15" t="s">
        <v>18</v>
      </c>
      <c r="F31" s="15" t="s">
        <v>68</v>
      </c>
      <c r="G31" s="16" t="s">
        <v>25</v>
      </c>
      <c r="H31" s="16" t="s">
        <v>429</v>
      </c>
      <c r="I31" s="16" t="s">
        <v>110</v>
      </c>
      <c r="J31" s="17"/>
      <c r="K31" s="16" t="s">
        <v>430</v>
      </c>
      <c r="L31" s="16" t="s">
        <v>241</v>
      </c>
      <c r="M31" s="17" t="s">
        <v>242</v>
      </c>
      <c r="N31" s="17"/>
      <c r="O31" s="17" t="s">
        <v>190</v>
      </c>
      <c r="P31" s="16" t="s">
        <v>190</v>
      </c>
      <c r="Q31" s="17" t="s">
        <v>61</v>
      </c>
      <c r="R31" s="17"/>
      <c r="S31" s="15" t="str">
        <f>"302,5"</f>
        <v>302,5</v>
      </c>
      <c r="T31" s="16" t="str">
        <f>"221,4905"</f>
        <v>221,4905</v>
      </c>
      <c r="U31" s="15" t="s">
        <v>431</v>
      </c>
    </row>
    <row r="33" spans="1:21" ht="15" x14ac:dyDescent="0.2">
      <c r="A33" s="46" t="s">
        <v>28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1" x14ac:dyDescent="0.2">
      <c r="A34" s="9" t="s">
        <v>433</v>
      </c>
      <c r="B34" s="9" t="s">
        <v>434</v>
      </c>
      <c r="C34" s="9" t="s">
        <v>435</v>
      </c>
      <c r="D34" s="9" t="str">
        <f>"0,6790"</f>
        <v>0,6790</v>
      </c>
      <c r="E34" s="9" t="s">
        <v>18</v>
      </c>
      <c r="F34" s="9" t="s">
        <v>436</v>
      </c>
      <c r="G34" s="10" t="s">
        <v>71</v>
      </c>
      <c r="H34" s="10" t="s">
        <v>46</v>
      </c>
      <c r="I34" s="10" t="s">
        <v>197</v>
      </c>
      <c r="J34" s="11"/>
      <c r="K34" s="10" t="s">
        <v>69</v>
      </c>
      <c r="L34" s="10" t="s">
        <v>188</v>
      </c>
      <c r="M34" s="11" t="s">
        <v>437</v>
      </c>
      <c r="N34" s="11"/>
      <c r="O34" s="10" t="s">
        <v>46</v>
      </c>
      <c r="P34" s="10" t="s">
        <v>59</v>
      </c>
      <c r="Q34" s="11" t="s">
        <v>85</v>
      </c>
      <c r="R34" s="11"/>
      <c r="S34" s="9" t="str">
        <f>"645,0"</f>
        <v>645,0</v>
      </c>
      <c r="T34" s="10" t="str">
        <f>"437,9550"</f>
        <v>437,9550</v>
      </c>
      <c r="U34" s="9" t="s">
        <v>38</v>
      </c>
    </row>
    <row r="35" spans="1:21" x14ac:dyDescent="0.2">
      <c r="A35" s="12" t="s">
        <v>439</v>
      </c>
      <c r="B35" s="12" t="s">
        <v>440</v>
      </c>
      <c r="C35" s="12" t="s">
        <v>441</v>
      </c>
      <c r="D35" s="12" t="str">
        <f>"0,6729"</f>
        <v>0,6729</v>
      </c>
      <c r="E35" s="12" t="s">
        <v>18</v>
      </c>
      <c r="F35" s="12" t="s">
        <v>442</v>
      </c>
      <c r="G35" s="13" t="s">
        <v>281</v>
      </c>
      <c r="H35" s="13" t="s">
        <v>33</v>
      </c>
      <c r="I35" s="14" t="s">
        <v>84</v>
      </c>
      <c r="J35" s="14"/>
      <c r="K35" s="13" t="s">
        <v>189</v>
      </c>
      <c r="L35" s="13" t="s">
        <v>190</v>
      </c>
      <c r="M35" s="14" t="s">
        <v>110</v>
      </c>
      <c r="N35" s="14"/>
      <c r="O35" s="13" t="s">
        <v>281</v>
      </c>
      <c r="P35" s="13" t="s">
        <v>84</v>
      </c>
      <c r="Q35" s="13" t="s">
        <v>37</v>
      </c>
      <c r="R35" s="14"/>
      <c r="S35" s="12" t="str">
        <f>"410,0"</f>
        <v>410,0</v>
      </c>
      <c r="T35" s="13" t="str">
        <f>"275,8890"</f>
        <v>275,8890</v>
      </c>
      <c r="U35" s="12" t="s">
        <v>177</v>
      </c>
    </row>
    <row r="36" spans="1:21" x14ac:dyDescent="0.2">
      <c r="A36" s="12" t="s">
        <v>444</v>
      </c>
      <c r="B36" s="12" t="s">
        <v>445</v>
      </c>
      <c r="C36" s="12" t="s">
        <v>446</v>
      </c>
      <c r="D36" s="12" t="str">
        <f>"0,7011"</f>
        <v>0,7011</v>
      </c>
      <c r="E36" s="12" t="s">
        <v>18</v>
      </c>
      <c r="F36" s="12" t="s">
        <v>68</v>
      </c>
      <c r="G36" s="13" t="s">
        <v>33</v>
      </c>
      <c r="H36" s="13" t="s">
        <v>34</v>
      </c>
      <c r="I36" s="14" t="s">
        <v>84</v>
      </c>
      <c r="J36" s="14"/>
      <c r="K36" s="13" t="s">
        <v>35</v>
      </c>
      <c r="L36" s="13" t="s">
        <v>384</v>
      </c>
      <c r="M36" s="14" t="s">
        <v>25</v>
      </c>
      <c r="N36" s="14"/>
      <c r="O36" s="13" t="s">
        <v>84</v>
      </c>
      <c r="P36" s="13" t="s">
        <v>93</v>
      </c>
      <c r="Q36" s="13" t="s">
        <v>48</v>
      </c>
      <c r="R36" s="14"/>
      <c r="S36" s="12" t="str">
        <f>"395,0"</f>
        <v>395,0</v>
      </c>
      <c r="T36" s="13" t="str">
        <f>"276,9345"</f>
        <v>276,9345</v>
      </c>
      <c r="U36" s="12" t="s">
        <v>447</v>
      </c>
    </row>
    <row r="37" spans="1:21" x14ac:dyDescent="0.2">
      <c r="A37" s="15" t="s">
        <v>449</v>
      </c>
      <c r="B37" s="15" t="s">
        <v>450</v>
      </c>
      <c r="C37" s="15" t="s">
        <v>451</v>
      </c>
      <c r="D37" s="15" t="str">
        <f>"0,6734"</f>
        <v>0,6734</v>
      </c>
      <c r="E37" s="15" t="s">
        <v>18</v>
      </c>
      <c r="F37" s="15" t="s">
        <v>68</v>
      </c>
      <c r="G37" s="16" t="s">
        <v>452</v>
      </c>
      <c r="H37" s="16" t="s">
        <v>437</v>
      </c>
      <c r="I37" s="17" t="s">
        <v>303</v>
      </c>
      <c r="J37" s="17"/>
      <c r="K37" s="16" t="s">
        <v>25</v>
      </c>
      <c r="L37" s="17" t="s">
        <v>189</v>
      </c>
      <c r="M37" s="17" t="s">
        <v>189</v>
      </c>
      <c r="N37" s="17"/>
      <c r="O37" s="16" t="s">
        <v>46</v>
      </c>
      <c r="P37" s="16" t="s">
        <v>453</v>
      </c>
      <c r="Q37" s="16" t="s">
        <v>199</v>
      </c>
      <c r="R37" s="17"/>
      <c r="S37" s="15" t="str">
        <f>"520,0"</f>
        <v>520,0</v>
      </c>
      <c r="T37" s="16" t="str">
        <f>"378,8818"</f>
        <v>378,8818</v>
      </c>
      <c r="U37" s="15" t="s">
        <v>38</v>
      </c>
    </row>
    <row r="39" spans="1:21" ht="15" x14ac:dyDescent="0.2">
      <c r="A39" s="46" t="s">
        <v>39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1" x14ac:dyDescent="0.2">
      <c r="A40" s="9" t="s">
        <v>455</v>
      </c>
      <c r="B40" s="9" t="s">
        <v>456</v>
      </c>
      <c r="C40" s="9" t="s">
        <v>187</v>
      </c>
      <c r="D40" s="9" t="str">
        <f>"0,6491"</f>
        <v>0,6491</v>
      </c>
      <c r="E40" s="9" t="s">
        <v>18</v>
      </c>
      <c r="F40" s="9" t="s">
        <v>58</v>
      </c>
      <c r="G40" s="10" t="s">
        <v>70</v>
      </c>
      <c r="H40" s="10" t="s">
        <v>71</v>
      </c>
      <c r="I40" s="11" t="s">
        <v>73</v>
      </c>
      <c r="J40" s="11"/>
      <c r="K40" s="11" t="s">
        <v>189</v>
      </c>
      <c r="L40" s="10" t="s">
        <v>189</v>
      </c>
      <c r="M40" s="10" t="s">
        <v>191</v>
      </c>
      <c r="N40" s="11"/>
      <c r="O40" s="10" t="s">
        <v>46</v>
      </c>
      <c r="P40" s="10" t="s">
        <v>49</v>
      </c>
      <c r="Q40" s="11" t="s">
        <v>59</v>
      </c>
      <c r="R40" s="11"/>
      <c r="S40" s="9" t="str">
        <f>"547,5"</f>
        <v>547,5</v>
      </c>
      <c r="T40" s="10" t="str">
        <f>"355,3823"</f>
        <v>355,3823</v>
      </c>
      <c r="U40" s="9" t="s">
        <v>74</v>
      </c>
    </row>
    <row r="41" spans="1:21" x14ac:dyDescent="0.2">
      <c r="A41" s="12" t="s">
        <v>458</v>
      </c>
      <c r="B41" s="12" t="s">
        <v>459</v>
      </c>
      <c r="C41" s="12" t="s">
        <v>460</v>
      </c>
      <c r="D41" s="12" t="str">
        <f>"0,6410"</f>
        <v>0,6410</v>
      </c>
      <c r="E41" s="12" t="s">
        <v>18</v>
      </c>
      <c r="F41" s="12" t="s">
        <v>68</v>
      </c>
      <c r="G41" s="13" t="s">
        <v>72</v>
      </c>
      <c r="H41" s="13" t="s">
        <v>452</v>
      </c>
      <c r="I41" s="14" t="s">
        <v>437</v>
      </c>
      <c r="J41" s="14"/>
      <c r="K41" s="13" t="s">
        <v>61</v>
      </c>
      <c r="L41" s="14" t="s">
        <v>34</v>
      </c>
      <c r="M41" s="14" t="s">
        <v>34</v>
      </c>
      <c r="N41" s="14"/>
      <c r="O41" s="13" t="s">
        <v>45</v>
      </c>
      <c r="P41" s="13" t="s">
        <v>46</v>
      </c>
      <c r="Q41" s="13" t="s">
        <v>49</v>
      </c>
      <c r="R41" s="14"/>
      <c r="S41" s="12" t="str">
        <f>"537,5"</f>
        <v>537,5</v>
      </c>
      <c r="T41" s="13" t="str">
        <f>"344,5375"</f>
        <v>344,5375</v>
      </c>
      <c r="U41" s="12" t="s">
        <v>461</v>
      </c>
    </row>
    <row r="42" spans="1:21" x14ac:dyDescent="0.2">
      <c r="A42" s="15" t="s">
        <v>462</v>
      </c>
      <c r="B42" s="15" t="s">
        <v>463</v>
      </c>
      <c r="C42" s="15" t="s">
        <v>464</v>
      </c>
      <c r="D42" s="15" t="str">
        <f>"0,6395"</f>
        <v>0,6395</v>
      </c>
      <c r="E42" s="15" t="s">
        <v>18</v>
      </c>
      <c r="F42" s="15" t="s">
        <v>68</v>
      </c>
      <c r="G42" s="17" t="s">
        <v>36</v>
      </c>
      <c r="H42" s="17" t="s">
        <v>36</v>
      </c>
      <c r="I42" s="17"/>
      <c r="J42" s="17"/>
      <c r="K42" s="17" t="s">
        <v>281</v>
      </c>
      <c r="L42" s="17"/>
      <c r="M42" s="17"/>
      <c r="N42" s="17"/>
      <c r="O42" s="17" t="s">
        <v>37</v>
      </c>
      <c r="P42" s="17"/>
      <c r="Q42" s="17"/>
      <c r="R42" s="17"/>
      <c r="S42" s="15" t="str">
        <f>"0.00"</f>
        <v>0.00</v>
      </c>
      <c r="T42" s="16" t="str">
        <f>"0,0000"</f>
        <v>0,0000</v>
      </c>
      <c r="U42" s="15" t="s">
        <v>177</v>
      </c>
    </row>
    <row r="44" spans="1:21" ht="15" x14ac:dyDescent="0.2">
      <c r="A44" s="46" t="s">
        <v>75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1" x14ac:dyDescent="0.2">
      <c r="A45" s="9" t="s">
        <v>466</v>
      </c>
      <c r="B45" s="9" t="s">
        <v>467</v>
      </c>
      <c r="C45" s="9" t="s">
        <v>468</v>
      </c>
      <c r="D45" s="9" t="str">
        <f>"0,6335"</f>
        <v>0,6335</v>
      </c>
      <c r="E45" s="9" t="s">
        <v>18</v>
      </c>
      <c r="F45" s="9" t="s">
        <v>469</v>
      </c>
      <c r="G45" s="10" t="s">
        <v>71</v>
      </c>
      <c r="H45" s="10" t="s">
        <v>73</v>
      </c>
      <c r="I45" s="11" t="s">
        <v>46</v>
      </c>
      <c r="J45" s="11"/>
      <c r="K45" s="10" t="s">
        <v>36</v>
      </c>
      <c r="L45" s="11" t="s">
        <v>93</v>
      </c>
      <c r="M45" s="11" t="s">
        <v>47</v>
      </c>
      <c r="N45" s="11"/>
      <c r="O45" s="10" t="s">
        <v>73</v>
      </c>
      <c r="P45" s="10" t="s">
        <v>46</v>
      </c>
      <c r="Q45" s="11" t="s">
        <v>49</v>
      </c>
      <c r="R45" s="11"/>
      <c r="S45" s="9" t="str">
        <f>"580,0"</f>
        <v>580,0</v>
      </c>
      <c r="T45" s="10" t="str">
        <f>"367,4300"</f>
        <v>367,4300</v>
      </c>
      <c r="U45" s="9" t="s">
        <v>74</v>
      </c>
    </row>
    <row r="46" spans="1:21" x14ac:dyDescent="0.2">
      <c r="A46" s="12" t="s">
        <v>471</v>
      </c>
      <c r="B46" s="12" t="s">
        <v>472</v>
      </c>
      <c r="C46" s="12" t="s">
        <v>473</v>
      </c>
      <c r="D46" s="12" t="str">
        <f>"0,6220"</f>
        <v>0,6220</v>
      </c>
      <c r="E46" s="12" t="s">
        <v>18</v>
      </c>
      <c r="F46" s="12" t="s">
        <v>19</v>
      </c>
      <c r="G46" s="13" t="s">
        <v>188</v>
      </c>
      <c r="H46" s="13" t="s">
        <v>71</v>
      </c>
      <c r="I46" s="14" t="s">
        <v>46</v>
      </c>
      <c r="J46" s="14"/>
      <c r="K46" s="13" t="s">
        <v>110</v>
      </c>
      <c r="L46" s="13" t="s">
        <v>281</v>
      </c>
      <c r="M46" s="13" t="s">
        <v>61</v>
      </c>
      <c r="N46" s="14"/>
      <c r="O46" s="13" t="s">
        <v>188</v>
      </c>
      <c r="P46" s="13" t="s">
        <v>71</v>
      </c>
      <c r="Q46" s="14" t="s">
        <v>45</v>
      </c>
      <c r="R46" s="14"/>
      <c r="S46" s="12" t="str">
        <f>"530,0"</f>
        <v>530,0</v>
      </c>
      <c r="T46" s="13" t="str">
        <f>"329,6600"</f>
        <v>329,6600</v>
      </c>
      <c r="U46" s="12" t="s">
        <v>27</v>
      </c>
    </row>
    <row r="47" spans="1:21" x14ac:dyDescent="0.2">
      <c r="A47" s="15" t="s">
        <v>475</v>
      </c>
      <c r="B47" s="15" t="s">
        <v>476</v>
      </c>
      <c r="C47" s="15" t="s">
        <v>477</v>
      </c>
      <c r="D47" s="15" t="str">
        <f>"0,6144"</f>
        <v>0,6144</v>
      </c>
      <c r="E47" s="15" t="s">
        <v>18</v>
      </c>
      <c r="F47" s="15" t="s">
        <v>68</v>
      </c>
      <c r="G47" s="17" t="s">
        <v>49</v>
      </c>
      <c r="H47" s="17" t="s">
        <v>49</v>
      </c>
      <c r="I47" s="17" t="s">
        <v>49</v>
      </c>
      <c r="J47" s="17"/>
      <c r="K47" s="17" t="s">
        <v>69</v>
      </c>
      <c r="L47" s="17"/>
      <c r="M47" s="17"/>
      <c r="N47" s="17"/>
      <c r="O47" s="17" t="s">
        <v>59</v>
      </c>
      <c r="P47" s="17"/>
      <c r="Q47" s="17"/>
      <c r="R47" s="17"/>
      <c r="S47" s="15" t="str">
        <f>"0.00"</f>
        <v>0.00</v>
      </c>
      <c r="T47" s="16" t="str">
        <f>"0,0000"</f>
        <v>0,0000</v>
      </c>
      <c r="U47" s="15" t="s">
        <v>478</v>
      </c>
    </row>
    <row r="49" spans="1:21" ht="15" x14ac:dyDescent="0.2">
      <c r="A49" s="46" t="s">
        <v>112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1" x14ac:dyDescent="0.2">
      <c r="A50" s="9" t="s">
        <v>480</v>
      </c>
      <c r="B50" s="9" t="s">
        <v>481</v>
      </c>
      <c r="C50" s="9" t="s">
        <v>482</v>
      </c>
      <c r="D50" s="9" t="str">
        <f>"0,5897"</f>
        <v>0,5897</v>
      </c>
      <c r="E50" s="9" t="s">
        <v>18</v>
      </c>
      <c r="F50" s="9" t="s">
        <v>436</v>
      </c>
      <c r="G50" s="10" t="s">
        <v>46</v>
      </c>
      <c r="H50" s="10" t="s">
        <v>49</v>
      </c>
      <c r="I50" s="10" t="s">
        <v>59</v>
      </c>
      <c r="J50" s="11"/>
      <c r="K50" s="10" t="s">
        <v>70</v>
      </c>
      <c r="L50" s="10" t="s">
        <v>71</v>
      </c>
      <c r="M50" s="11"/>
      <c r="N50" s="11"/>
      <c r="O50" s="10" t="s">
        <v>59</v>
      </c>
      <c r="P50" s="10" t="s">
        <v>50</v>
      </c>
      <c r="Q50" s="10" t="s">
        <v>96</v>
      </c>
      <c r="R50" s="11"/>
      <c r="S50" s="9" t="str">
        <f>"700,0"</f>
        <v>700,0</v>
      </c>
      <c r="T50" s="10" t="str">
        <f>"412,7900"</f>
        <v>412,7900</v>
      </c>
      <c r="U50" s="9" t="s">
        <v>483</v>
      </c>
    </row>
    <row r="51" spans="1:21" x14ac:dyDescent="0.2">
      <c r="A51" s="15" t="s">
        <v>485</v>
      </c>
      <c r="B51" s="15" t="s">
        <v>486</v>
      </c>
      <c r="C51" s="15" t="s">
        <v>487</v>
      </c>
      <c r="D51" s="15" t="str">
        <f>"0,6041"</f>
        <v>0,6041</v>
      </c>
      <c r="E51" s="15" t="s">
        <v>18</v>
      </c>
      <c r="F51" s="15" t="s">
        <v>68</v>
      </c>
      <c r="G51" s="16" t="s">
        <v>70</v>
      </c>
      <c r="H51" s="16" t="s">
        <v>71</v>
      </c>
      <c r="I51" s="16" t="s">
        <v>45</v>
      </c>
      <c r="J51" s="17"/>
      <c r="K51" s="16" t="s">
        <v>189</v>
      </c>
      <c r="L51" s="16" t="s">
        <v>191</v>
      </c>
      <c r="M51" s="17"/>
      <c r="N51" s="17"/>
      <c r="O51" s="16" t="s">
        <v>81</v>
      </c>
      <c r="P51" s="17" t="s">
        <v>52</v>
      </c>
      <c r="Q51" s="17" t="s">
        <v>52</v>
      </c>
      <c r="R51" s="17"/>
      <c r="S51" s="15" t="str">
        <f>"592,5"</f>
        <v>592,5</v>
      </c>
      <c r="T51" s="16" t="str">
        <f>"498,5954"</f>
        <v>498,5954</v>
      </c>
      <c r="U51" s="15" t="s">
        <v>488</v>
      </c>
    </row>
    <row r="53" spans="1:21" ht="15" x14ac:dyDescent="0.2">
      <c r="A53" s="46" t="s">
        <v>214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1" x14ac:dyDescent="0.2">
      <c r="A54" s="9" t="s">
        <v>490</v>
      </c>
      <c r="B54" s="9" t="s">
        <v>491</v>
      </c>
      <c r="C54" s="9" t="s">
        <v>492</v>
      </c>
      <c r="D54" s="9" t="str">
        <f>"0,5733"</f>
        <v>0,5733</v>
      </c>
      <c r="E54" s="9" t="s">
        <v>18</v>
      </c>
      <c r="F54" s="9" t="s">
        <v>68</v>
      </c>
      <c r="G54" s="10" t="s">
        <v>46</v>
      </c>
      <c r="H54" s="10" t="s">
        <v>174</v>
      </c>
      <c r="I54" s="11" t="s">
        <v>59</v>
      </c>
      <c r="J54" s="11"/>
      <c r="K54" s="10" t="s">
        <v>37</v>
      </c>
      <c r="L54" s="10" t="s">
        <v>109</v>
      </c>
      <c r="M54" s="10" t="s">
        <v>188</v>
      </c>
      <c r="N54" s="11"/>
      <c r="O54" s="10" t="s">
        <v>59</v>
      </c>
      <c r="P54" s="10" t="s">
        <v>493</v>
      </c>
      <c r="Q54" s="11"/>
      <c r="R54" s="11"/>
      <c r="S54" s="9" t="str">
        <f>"682,5"</f>
        <v>682,5</v>
      </c>
      <c r="T54" s="10" t="str">
        <f>"391,2773"</f>
        <v>391,2773</v>
      </c>
      <c r="U54" s="9" t="s">
        <v>177</v>
      </c>
    </row>
    <row r="55" spans="1:21" x14ac:dyDescent="0.2">
      <c r="A55" s="15" t="s">
        <v>495</v>
      </c>
      <c r="B55" s="15" t="s">
        <v>496</v>
      </c>
      <c r="C55" s="15" t="s">
        <v>497</v>
      </c>
      <c r="D55" s="15" t="str">
        <f>"0,5705"</f>
        <v>0,5705</v>
      </c>
      <c r="E55" s="15" t="s">
        <v>18</v>
      </c>
      <c r="F55" s="15" t="s">
        <v>68</v>
      </c>
      <c r="G55" s="16" t="s">
        <v>72</v>
      </c>
      <c r="H55" s="17" t="s">
        <v>182</v>
      </c>
      <c r="I55" s="16" t="s">
        <v>182</v>
      </c>
      <c r="J55" s="17"/>
      <c r="K55" s="16" t="s">
        <v>72</v>
      </c>
      <c r="L55" s="16" t="s">
        <v>182</v>
      </c>
      <c r="M55" s="17" t="s">
        <v>109</v>
      </c>
      <c r="N55" s="17"/>
      <c r="O55" s="16" t="s">
        <v>70</v>
      </c>
      <c r="P55" s="16" t="s">
        <v>71</v>
      </c>
      <c r="Q55" s="17" t="s">
        <v>73</v>
      </c>
      <c r="R55" s="17"/>
      <c r="S55" s="15" t="str">
        <f>"545,0"</f>
        <v>545,0</v>
      </c>
      <c r="T55" s="16" t="str">
        <f>"310,9225"</f>
        <v>310,9225</v>
      </c>
      <c r="U55" s="15" t="s">
        <v>38</v>
      </c>
    </row>
    <row r="57" spans="1:21" ht="15" x14ac:dyDescent="0.2">
      <c r="E57" s="18" t="s">
        <v>119</v>
      </c>
    </row>
    <row r="58" spans="1:21" ht="15" x14ac:dyDescent="0.2">
      <c r="E58" s="18" t="s">
        <v>120</v>
      </c>
    </row>
    <row r="59" spans="1:21" ht="15" x14ac:dyDescent="0.2">
      <c r="E59" s="18" t="s">
        <v>121</v>
      </c>
    </row>
    <row r="60" spans="1:21" ht="15" x14ac:dyDescent="0.2">
      <c r="E60" s="18" t="s">
        <v>122</v>
      </c>
    </row>
    <row r="61" spans="1:21" ht="15" x14ac:dyDescent="0.2">
      <c r="E61" s="18" t="s">
        <v>122</v>
      </c>
    </row>
    <row r="62" spans="1:21" ht="15" x14ac:dyDescent="0.2">
      <c r="E62" s="18" t="s">
        <v>123</v>
      </c>
    </row>
    <row r="63" spans="1:21" ht="15" x14ac:dyDescent="0.2">
      <c r="E63" s="18"/>
    </row>
    <row r="65" spans="1:5" ht="18" x14ac:dyDescent="0.25">
      <c r="A65" s="19" t="s">
        <v>124</v>
      </c>
      <c r="B65" s="19"/>
    </row>
    <row r="66" spans="1:5" ht="15" x14ac:dyDescent="0.2">
      <c r="A66" s="20" t="s">
        <v>125</v>
      </c>
      <c r="B66" s="20"/>
    </row>
    <row r="67" spans="1:5" ht="14.25" x14ac:dyDescent="0.2">
      <c r="A67" s="22"/>
      <c r="B67" s="23" t="s">
        <v>498</v>
      </c>
    </row>
    <row r="68" spans="1:5" ht="15" x14ac:dyDescent="0.2">
      <c r="A68" s="24" t="s">
        <v>127</v>
      </c>
      <c r="B68" s="24" t="s">
        <v>128</v>
      </c>
      <c r="C68" s="24" t="s">
        <v>129</v>
      </c>
      <c r="D68" s="24" t="s">
        <v>130</v>
      </c>
      <c r="E68" s="24" t="s">
        <v>131</v>
      </c>
    </row>
    <row r="69" spans="1:5" x14ac:dyDescent="0.2">
      <c r="A69" s="21" t="s">
        <v>370</v>
      </c>
      <c r="B69" s="4" t="s">
        <v>499</v>
      </c>
      <c r="C69" s="4" t="s">
        <v>331</v>
      </c>
      <c r="D69" s="4" t="s">
        <v>96</v>
      </c>
      <c r="E69" s="25" t="s">
        <v>500</v>
      </c>
    </row>
    <row r="71" spans="1:5" ht="14.25" x14ac:dyDescent="0.2">
      <c r="A71" s="22"/>
      <c r="B71" s="23" t="s">
        <v>126</v>
      </c>
    </row>
    <row r="72" spans="1:5" ht="15" x14ac:dyDescent="0.2">
      <c r="A72" s="24" t="s">
        <v>127</v>
      </c>
      <c r="B72" s="24" t="s">
        <v>128</v>
      </c>
      <c r="C72" s="24" t="s">
        <v>129</v>
      </c>
      <c r="D72" s="24" t="s">
        <v>130</v>
      </c>
      <c r="E72" s="24" t="s">
        <v>131</v>
      </c>
    </row>
    <row r="73" spans="1:5" x14ac:dyDescent="0.2">
      <c r="A73" s="21" t="s">
        <v>354</v>
      </c>
      <c r="B73" s="4" t="s">
        <v>132</v>
      </c>
      <c r="C73" s="4" t="s">
        <v>501</v>
      </c>
      <c r="D73" s="4" t="s">
        <v>197</v>
      </c>
      <c r="E73" s="25" t="s">
        <v>502</v>
      </c>
    </row>
    <row r="74" spans="1:5" x14ac:dyDescent="0.2">
      <c r="A74" s="21" t="s">
        <v>387</v>
      </c>
      <c r="B74" s="4" t="s">
        <v>132</v>
      </c>
      <c r="C74" s="4" t="s">
        <v>503</v>
      </c>
      <c r="D74" s="4" t="s">
        <v>71</v>
      </c>
      <c r="E74" s="25" t="s">
        <v>504</v>
      </c>
    </row>
    <row r="76" spans="1:5" ht="14.25" x14ac:dyDescent="0.2">
      <c r="A76" s="22"/>
      <c r="B76" s="23" t="s">
        <v>144</v>
      </c>
    </row>
    <row r="77" spans="1:5" ht="15" x14ac:dyDescent="0.2">
      <c r="A77" s="24" t="s">
        <v>127</v>
      </c>
      <c r="B77" s="24" t="s">
        <v>128</v>
      </c>
      <c r="C77" s="24" t="s">
        <v>129</v>
      </c>
      <c r="D77" s="24" t="s">
        <v>130</v>
      </c>
      <c r="E77" s="24" t="s">
        <v>131</v>
      </c>
    </row>
    <row r="78" spans="1:5" x14ac:dyDescent="0.2">
      <c r="A78" s="21" t="s">
        <v>364</v>
      </c>
      <c r="B78" s="4" t="s">
        <v>144</v>
      </c>
      <c r="C78" s="4" t="s">
        <v>501</v>
      </c>
      <c r="D78" s="4" t="s">
        <v>96</v>
      </c>
      <c r="E78" s="25" t="s">
        <v>505</v>
      </c>
    </row>
    <row r="79" spans="1:5" x14ac:dyDescent="0.2">
      <c r="A79" s="21" t="s">
        <v>399</v>
      </c>
      <c r="B79" s="4" t="s">
        <v>144</v>
      </c>
      <c r="C79" s="4" t="s">
        <v>327</v>
      </c>
      <c r="D79" s="4" t="s">
        <v>506</v>
      </c>
      <c r="E79" s="25" t="s">
        <v>507</v>
      </c>
    </row>
    <row r="80" spans="1:5" x14ac:dyDescent="0.2">
      <c r="A80" s="21" t="s">
        <v>370</v>
      </c>
      <c r="B80" s="4" t="s">
        <v>144</v>
      </c>
      <c r="C80" s="4" t="s">
        <v>331</v>
      </c>
      <c r="D80" s="4" t="s">
        <v>96</v>
      </c>
      <c r="E80" s="25" t="s">
        <v>500</v>
      </c>
    </row>
    <row r="81" spans="1:5" x14ac:dyDescent="0.2">
      <c r="A81" s="21" t="s">
        <v>378</v>
      </c>
      <c r="B81" s="4" t="s">
        <v>144</v>
      </c>
      <c r="C81" s="4" t="s">
        <v>331</v>
      </c>
      <c r="D81" s="4" t="s">
        <v>198</v>
      </c>
      <c r="E81" s="25" t="s">
        <v>508</v>
      </c>
    </row>
    <row r="82" spans="1:5" x14ac:dyDescent="0.2">
      <c r="A82" s="21" t="s">
        <v>410</v>
      </c>
      <c r="B82" s="4" t="s">
        <v>144</v>
      </c>
      <c r="C82" s="4" t="s">
        <v>336</v>
      </c>
      <c r="D82" s="4" t="s">
        <v>86</v>
      </c>
      <c r="E82" s="25" t="s">
        <v>509</v>
      </c>
    </row>
    <row r="83" spans="1:5" x14ac:dyDescent="0.2">
      <c r="A83" s="21" t="s">
        <v>405</v>
      </c>
      <c r="B83" s="4" t="s">
        <v>144</v>
      </c>
      <c r="C83" s="4" t="s">
        <v>327</v>
      </c>
      <c r="D83" s="4" t="s">
        <v>117</v>
      </c>
      <c r="E83" s="25" t="s">
        <v>510</v>
      </c>
    </row>
    <row r="85" spans="1:5" ht="14.25" x14ac:dyDescent="0.2">
      <c r="A85" s="22"/>
      <c r="B85" s="23" t="s">
        <v>159</v>
      </c>
    </row>
    <row r="86" spans="1:5" ht="15" x14ac:dyDescent="0.2">
      <c r="A86" s="24" t="s">
        <v>127</v>
      </c>
      <c r="B86" s="24" t="s">
        <v>128</v>
      </c>
      <c r="C86" s="24" t="s">
        <v>129</v>
      </c>
      <c r="D86" s="24" t="s">
        <v>130</v>
      </c>
      <c r="E86" s="24" t="s">
        <v>131</v>
      </c>
    </row>
    <row r="87" spans="1:5" x14ac:dyDescent="0.2">
      <c r="A87" s="21" t="s">
        <v>394</v>
      </c>
      <c r="B87" s="4" t="s">
        <v>160</v>
      </c>
      <c r="C87" s="4" t="s">
        <v>503</v>
      </c>
      <c r="D87" s="4" t="s">
        <v>59</v>
      </c>
      <c r="E87" s="25" t="s">
        <v>511</v>
      </c>
    </row>
    <row r="90" spans="1:5" ht="15" x14ac:dyDescent="0.2">
      <c r="A90" s="20" t="s">
        <v>136</v>
      </c>
      <c r="B90" s="20"/>
    </row>
    <row r="91" spans="1:5" ht="14.25" x14ac:dyDescent="0.2">
      <c r="A91" s="22"/>
      <c r="B91" s="23" t="s">
        <v>512</v>
      </c>
    </row>
    <row r="92" spans="1:5" ht="15" x14ac:dyDescent="0.2">
      <c r="A92" s="24" t="s">
        <v>127</v>
      </c>
      <c r="B92" s="24" t="s">
        <v>128</v>
      </c>
      <c r="C92" s="24" t="s">
        <v>129</v>
      </c>
      <c r="D92" s="24" t="s">
        <v>130</v>
      </c>
      <c r="E92" s="24" t="s">
        <v>131</v>
      </c>
    </row>
    <row r="93" spans="1:5" x14ac:dyDescent="0.2">
      <c r="A93" s="21" t="s">
        <v>421</v>
      </c>
      <c r="B93" s="4" t="s">
        <v>499</v>
      </c>
      <c r="C93" s="4" t="s">
        <v>336</v>
      </c>
      <c r="D93" s="4" t="s">
        <v>513</v>
      </c>
      <c r="E93" s="25" t="s">
        <v>514</v>
      </c>
    </row>
    <row r="94" spans="1:5" x14ac:dyDescent="0.2">
      <c r="A94" s="21" t="s">
        <v>425</v>
      </c>
      <c r="B94" s="4" t="s">
        <v>499</v>
      </c>
      <c r="C94" s="4" t="s">
        <v>336</v>
      </c>
      <c r="D94" s="4" t="s">
        <v>515</v>
      </c>
      <c r="E94" s="25" t="s">
        <v>516</v>
      </c>
    </row>
    <row r="96" spans="1:5" ht="14.25" x14ac:dyDescent="0.2">
      <c r="A96" s="22"/>
      <c r="B96" s="23" t="s">
        <v>137</v>
      </c>
    </row>
    <row r="97" spans="1:5" ht="15" x14ac:dyDescent="0.2">
      <c r="A97" s="24" t="s">
        <v>127</v>
      </c>
      <c r="B97" s="24" t="s">
        <v>128</v>
      </c>
      <c r="C97" s="24" t="s">
        <v>129</v>
      </c>
      <c r="D97" s="24" t="s">
        <v>130</v>
      </c>
      <c r="E97" s="24" t="s">
        <v>131</v>
      </c>
    </row>
    <row r="98" spans="1:5" x14ac:dyDescent="0.2">
      <c r="A98" s="21" t="s">
        <v>165</v>
      </c>
      <c r="B98" s="4" t="s">
        <v>132</v>
      </c>
      <c r="C98" s="4" t="s">
        <v>327</v>
      </c>
      <c r="D98" s="4" t="s">
        <v>517</v>
      </c>
      <c r="E98" s="25" t="s">
        <v>518</v>
      </c>
    </row>
    <row r="100" spans="1:5" ht="14.25" x14ac:dyDescent="0.2">
      <c r="A100" s="22"/>
      <c r="B100" s="23" t="s">
        <v>144</v>
      </c>
    </row>
    <row r="101" spans="1:5" ht="15" x14ac:dyDescent="0.2">
      <c r="A101" s="24" t="s">
        <v>127</v>
      </c>
      <c r="B101" s="24" t="s">
        <v>128</v>
      </c>
      <c r="C101" s="24" t="s">
        <v>129</v>
      </c>
      <c r="D101" s="24" t="s">
        <v>130</v>
      </c>
      <c r="E101" s="24" t="s">
        <v>131</v>
      </c>
    </row>
    <row r="102" spans="1:5" x14ac:dyDescent="0.2">
      <c r="A102" s="21" t="s">
        <v>432</v>
      </c>
      <c r="B102" s="4" t="s">
        <v>144</v>
      </c>
      <c r="C102" s="4" t="s">
        <v>156</v>
      </c>
      <c r="D102" s="4" t="s">
        <v>142</v>
      </c>
      <c r="E102" s="25" t="s">
        <v>519</v>
      </c>
    </row>
    <row r="103" spans="1:5" x14ac:dyDescent="0.2">
      <c r="A103" s="21" t="s">
        <v>479</v>
      </c>
      <c r="B103" s="4" t="s">
        <v>144</v>
      </c>
      <c r="C103" s="4" t="s">
        <v>151</v>
      </c>
      <c r="D103" s="4" t="s">
        <v>520</v>
      </c>
      <c r="E103" s="25" t="s">
        <v>521</v>
      </c>
    </row>
    <row r="104" spans="1:5" x14ac:dyDescent="0.2">
      <c r="A104" s="21" t="s">
        <v>489</v>
      </c>
      <c r="B104" s="4" t="s">
        <v>144</v>
      </c>
      <c r="C104" s="4" t="s">
        <v>232</v>
      </c>
      <c r="D104" s="4" t="s">
        <v>522</v>
      </c>
      <c r="E104" s="25" t="s">
        <v>523</v>
      </c>
    </row>
    <row r="105" spans="1:5" x14ac:dyDescent="0.2">
      <c r="A105" s="21" t="s">
        <v>465</v>
      </c>
      <c r="B105" s="4" t="s">
        <v>144</v>
      </c>
      <c r="C105" s="4" t="s">
        <v>138</v>
      </c>
      <c r="D105" s="4" t="s">
        <v>524</v>
      </c>
      <c r="E105" s="25" t="s">
        <v>525</v>
      </c>
    </row>
    <row r="106" spans="1:5" x14ac:dyDescent="0.2">
      <c r="A106" s="21" t="s">
        <v>454</v>
      </c>
      <c r="B106" s="4" t="s">
        <v>144</v>
      </c>
      <c r="C106" s="4" t="s">
        <v>141</v>
      </c>
      <c r="D106" s="4" t="s">
        <v>526</v>
      </c>
      <c r="E106" s="25" t="s">
        <v>527</v>
      </c>
    </row>
    <row r="107" spans="1:5" x14ac:dyDescent="0.2">
      <c r="A107" s="21" t="s">
        <v>457</v>
      </c>
      <c r="B107" s="4" t="s">
        <v>144</v>
      </c>
      <c r="C107" s="4" t="s">
        <v>141</v>
      </c>
      <c r="D107" s="4" t="s">
        <v>528</v>
      </c>
      <c r="E107" s="25" t="s">
        <v>529</v>
      </c>
    </row>
    <row r="108" spans="1:5" x14ac:dyDescent="0.2">
      <c r="A108" s="21" t="s">
        <v>470</v>
      </c>
      <c r="B108" s="4" t="s">
        <v>144</v>
      </c>
      <c r="C108" s="4" t="s">
        <v>138</v>
      </c>
      <c r="D108" s="4" t="s">
        <v>530</v>
      </c>
      <c r="E108" s="25" t="s">
        <v>531</v>
      </c>
    </row>
    <row r="109" spans="1:5" x14ac:dyDescent="0.2">
      <c r="A109" s="21" t="s">
        <v>417</v>
      </c>
      <c r="B109" s="4" t="s">
        <v>144</v>
      </c>
      <c r="C109" s="4" t="s">
        <v>327</v>
      </c>
      <c r="D109" s="4" t="s">
        <v>532</v>
      </c>
      <c r="E109" s="25" t="s">
        <v>533</v>
      </c>
    </row>
    <row r="110" spans="1:5" x14ac:dyDescent="0.2">
      <c r="A110" s="21" t="s">
        <v>494</v>
      </c>
      <c r="B110" s="4" t="s">
        <v>144</v>
      </c>
      <c r="C110" s="4" t="s">
        <v>232</v>
      </c>
      <c r="D110" s="4" t="s">
        <v>534</v>
      </c>
      <c r="E110" s="25" t="s">
        <v>535</v>
      </c>
    </row>
    <row r="111" spans="1:5" x14ac:dyDescent="0.2">
      <c r="A111" s="21" t="s">
        <v>443</v>
      </c>
      <c r="B111" s="4" t="s">
        <v>144</v>
      </c>
      <c r="C111" s="4" t="s">
        <v>156</v>
      </c>
      <c r="D111" s="4" t="s">
        <v>536</v>
      </c>
      <c r="E111" s="25" t="s">
        <v>537</v>
      </c>
    </row>
    <row r="112" spans="1:5" x14ac:dyDescent="0.2">
      <c r="A112" s="21" t="s">
        <v>438</v>
      </c>
      <c r="B112" s="4" t="s">
        <v>144</v>
      </c>
      <c r="C112" s="4" t="s">
        <v>156</v>
      </c>
      <c r="D112" s="4" t="s">
        <v>538</v>
      </c>
      <c r="E112" s="25" t="s">
        <v>539</v>
      </c>
    </row>
    <row r="114" spans="1:5" ht="14.25" x14ac:dyDescent="0.2">
      <c r="A114" s="22"/>
      <c r="B114" s="23" t="s">
        <v>159</v>
      </c>
    </row>
    <row r="115" spans="1:5" ht="15" x14ac:dyDescent="0.2">
      <c r="A115" s="24" t="s">
        <v>127</v>
      </c>
      <c r="B115" s="24" t="s">
        <v>128</v>
      </c>
      <c r="C115" s="24" t="s">
        <v>129</v>
      </c>
      <c r="D115" s="24" t="s">
        <v>130</v>
      </c>
      <c r="E115" s="24" t="s">
        <v>131</v>
      </c>
    </row>
    <row r="116" spans="1:5" x14ac:dyDescent="0.2">
      <c r="A116" s="21" t="s">
        <v>484</v>
      </c>
      <c r="B116" s="4" t="s">
        <v>540</v>
      </c>
      <c r="C116" s="4" t="s">
        <v>151</v>
      </c>
      <c r="D116" s="4" t="s">
        <v>541</v>
      </c>
      <c r="E116" s="25" t="s">
        <v>542</v>
      </c>
    </row>
    <row r="117" spans="1:5" x14ac:dyDescent="0.2">
      <c r="A117" s="21" t="s">
        <v>448</v>
      </c>
      <c r="B117" s="4" t="s">
        <v>231</v>
      </c>
      <c r="C117" s="4" t="s">
        <v>156</v>
      </c>
      <c r="D117" s="4" t="s">
        <v>543</v>
      </c>
      <c r="E117" s="25" t="s">
        <v>544</v>
      </c>
    </row>
  </sheetData>
  <mergeCells count="25">
    <mergeCell ref="A14:T1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  <mergeCell ref="A44:T44"/>
    <mergeCell ref="A49:T49"/>
    <mergeCell ref="A53:T53"/>
    <mergeCell ref="A18:T18"/>
    <mergeCell ref="A22:T22"/>
    <mergeCell ref="A25:T25"/>
    <mergeCell ref="A29:T29"/>
    <mergeCell ref="A33:T33"/>
    <mergeCell ref="A39:T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6.5703125" style="4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14.28515625" style="4" bestFit="1" customWidth="1"/>
    <col min="14" max="16384" width="9.140625" style="3"/>
  </cols>
  <sheetData>
    <row r="1" spans="1:13" s="2" customFormat="1" ht="29.1" customHeight="1" x14ac:dyDescent="0.2">
      <c r="A1" s="37" t="s">
        <v>1484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718</v>
      </c>
      <c r="L3" s="32" t="s">
        <v>3</v>
      </c>
      <c r="M3" s="34" t="s">
        <v>2</v>
      </c>
    </row>
    <row r="4" spans="1:13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3" ht="15" x14ac:dyDescent="0.2">
      <c r="A5" s="36" t="s">
        <v>164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1080</v>
      </c>
      <c r="B6" s="6" t="s">
        <v>1081</v>
      </c>
      <c r="C6" s="6" t="s">
        <v>1082</v>
      </c>
      <c r="D6" s="6" t="str">
        <f>"1,0663"</f>
        <v>1,0663</v>
      </c>
      <c r="E6" s="6" t="s">
        <v>18</v>
      </c>
      <c r="F6" s="6" t="s">
        <v>1083</v>
      </c>
      <c r="G6" s="7" t="s">
        <v>409</v>
      </c>
      <c r="H6" s="7" t="s">
        <v>21</v>
      </c>
      <c r="I6" s="8" t="s">
        <v>25</v>
      </c>
      <c r="J6" s="8"/>
      <c r="K6" s="6" t="str">
        <f>"95,0"</f>
        <v>95,0</v>
      </c>
      <c r="L6" s="7" t="str">
        <f>"101,2985"</f>
        <v>101,2985</v>
      </c>
      <c r="M6" s="6" t="s">
        <v>549</v>
      </c>
    </row>
    <row r="8" spans="1:13" ht="15" x14ac:dyDescent="0.2">
      <c r="A8" s="46" t="s">
        <v>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x14ac:dyDescent="0.2">
      <c r="A9" s="6" t="s">
        <v>1085</v>
      </c>
      <c r="B9" s="6" t="s">
        <v>1086</v>
      </c>
      <c r="C9" s="6" t="s">
        <v>1087</v>
      </c>
      <c r="D9" s="6" t="str">
        <f>"0,6739"</f>
        <v>0,6739</v>
      </c>
      <c r="E9" s="6" t="s">
        <v>18</v>
      </c>
      <c r="F9" s="6" t="s">
        <v>68</v>
      </c>
      <c r="G9" s="7" t="s">
        <v>182</v>
      </c>
      <c r="H9" s="7" t="s">
        <v>452</v>
      </c>
      <c r="I9" s="7" t="s">
        <v>188</v>
      </c>
      <c r="J9" s="8"/>
      <c r="K9" s="6" t="str">
        <f>"180,0"</f>
        <v>180,0</v>
      </c>
      <c r="L9" s="7" t="str">
        <f>"121,3020"</f>
        <v>121,3020</v>
      </c>
      <c r="M9" s="6" t="s">
        <v>1088</v>
      </c>
    </row>
    <row r="11" spans="1:13" ht="15" x14ac:dyDescent="0.2">
      <c r="A11" s="46" t="s">
        <v>75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3" x14ac:dyDescent="0.2">
      <c r="A12" s="9" t="s">
        <v>1090</v>
      </c>
      <c r="B12" s="9" t="s">
        <v>1091</v>
      </c>
      <c r="C12" s="9" t="s">
        <v>1092</v>
      </c>
      <c r="D12" s="9" t="str">
        <f>"0,6086"</f>
        <v>0,6086</v>
      </c>
      <c r="E12" s="9" t="s">
        <v>18</v>
      </c>
      <c r="F12" s="9" t="s">
        <v>761</v>
      </c>
      <c r="G12" s="10" t="s">
        <v>81</v>
      </c>
      <c r="H12" s="11" t="s">
        <v>52</v>
      </c>
      <c r="I12" s="11" t="s">
        <v>52</v>
      </c>
      <c r="J12" s="11"/>
      <c r="K12" s="9" t="str">
        <f>"270,0"</f>
        <v>270,0</v>
      </c>
      <c r="L12" s="10" t="str">
        <f>"164,3220"</f>
        <v>164,3220</v>
      </c>
      <c r="M12" s="9" t="s">
        <v>549</v>
      </c>
    </row>
    <row r="13" spans="1:13" x14ac:dyDescent="0.2">
      <c r="A13" s="15" t="s">
        <v>1094</v>
      </c>
      <c r="B13" s="15" t="s">
        <v>1095</v>
      </c>
      <c r="C13" s="15" t="s">
        <v>1096</v>
      </c>
      <c r="D13" s="15" t="str">
        <f>"0,6129"</f>
        <v>0,6129</v>
      </c>
      <c r="E13" s="15" t="s">
        <v>18</v>
      </c>
      <c r="F13" s="15" t="s">
        <v>1097</v>
      </c>
      <c r="G13" s="16" t="s">
        <v>93</v>
      </c>
      <c r="H13" s="16" t="s">
        <v>72</v>
      </c>
      <c r="I13" s="17" t="s">
        <v>69</v>
      </c>
      <c r="J13" s="17"/>
      <c r="K13" s="15" t="str">
        <f>"165,0"</f>
        <v>165,0</v>
      </c>
      <c r="L13" s="16" t="str">
        <f>"101,1285"</f>
        <v>101,1285</v>
      </c>
      <c r="M13" s="15" t="s">
        <v>1098</v>
      </c>
    </row>
    <row r="15" spans="1:13" ht="15" x14ac:dyDescent="0.2">
      <c r="A15" s="46" t="s">
        <v>112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3" x14ac:dyDescent="0.2">
      <c r="A16" s="9" t="s">
        <v>1100</v>
      </c>
      <c r="B16" s="9" t="s">
        <v>1101</v>
      </c>
      <c r="C16" s="9" t="s">
        <v>1102</v>
      </c>
      <c r="D16" s="9" t="str">
        <f>"0,5950"</f>
        <v>0,5950</v>
      </c>
      <c r="E16" s="9" t="s">
        <v>18</v>
      </c>
      <c r="F16" s="9" t="s">
        <v>761</v>
      </c>
      <c r="G16" s="10" t="s">
        <v>70</v>
      </c>
      <c r="H16" s="10" t="s">
        <v>71</v>
      </c>
      <c r="I16" s="11" t="s">
        <v>73</v>
      </c>
      <c r="J16" s="11"/>
      <c r="K16" s="9" t="str">
        <f>"200,0"</f>
        <v>200,0</v>
      </c>
      <c r="L16" s="10" t="str">
        <f>"119,0000"</f>
        <v>119,0000</v>
      </c>
      <c r="M16" s="9" t="s">
        <v>38</v>
      </c>
    </row>
    <row r="17" spans="1:13" x14ac:dyDescent="0.2">
      <c r="A17" s="15" t="s">
        <v>1104</v>
      </c>
      <c r="B17" s="15" t="s">
        <v>1105</v>
      </c>
      <c r="C17" s="15" t="s">
        <v>1106</v>
      </c>
      <c r="D17" s="15" t="str">
        <f>"0,5960"</f>
        <v>0,5960</v>
      </c>
      <c r="E17" s="15" t="s">
        <v>18</v>
      </c>
      <c r="F17" s="15" t="s">
        <v>1097</v>
      </c>
      <c r="G17" s="16" t="s">
        <v>188</v>
      </c>
      <c r="H17" s="16" t="s">
        <v>437</v>
      </c>
      <c r="I17" s="17" t="s">
        <v>605</v>
      </c>
      <c r="J17" s="17"/>
      <c r="K17" s="15" t="str">
        <f>"187,5"</f>
        <v>187,5</v>
      </c>
      <c r="L17" s="16" t="str">
        <f>"111,7500"</f>
        <v>111,7500</v>
      </c>
      <c r="M17" s="15" t="s">
        <v>762</v>
      </c>
    </row>
    <row r="19" spans="1:13" ht="15" x14ac:dyDescent="0.2">
      <c r="E19" s="18" t="s">
        <v>119</v>
      </c>
    </row>
    <row r="20" spans="1:13" ht="15" x14ac:dyDescent="0.2">
      <c r="E20" s="18" t="s">
        <v>120</v>
      </c>
    </row>
    <row r="21" spans="1:13" ht="15" x14ac:dyDescent="0.2">
      <c r="E21" s="18" t="s">
        <v>121</v>
      </c>
    </row>
    <row r="22" spans="1:13" ht="15" x14ac:dyDescent="0.2">
      <c r="E22" s="18" t="s">
        <v>122</v>
      </c>
    </row>
    <row r="23" spans="1:13" ht="15" x14ac:dyDescent="0.2">
      <c r="E23" s="18" t="s">
        <v>122</v>
      </c>
    </row>
    <row r="24" spans="1:13" ht="15" x14ac:dyDescent="0.2">
      <c r="E24" s="18" t="s">
        <v>123</v>
      </c>
    </row>
    <row r="25" spans="1:13" ht="15" x14ac:dyDescent="0.2">
      <c r="E25" s="18"/>
    </row>
    <row r="27" spans="1:13" ht="18" x14ac:dyDescent="0.25">
      <c r="A27" s="19" t="s">
        <v>124</v>
      </c>
      <c r="B27" s="19"/>
    </row>
    <row r="28" spans="1:13" ht="15" x14ac:dyDescent="0.2">
      <c r="A28" s="20" t="s">
        <v>125</v>
      </c>
      <c r="B28" s="20"/>
    </row>
    <row r="29" spans="1:13" ht="14.25" x14ac:dyDescent="0.2">
      <c r="A29" s="22"/>
      <c r="B29" s="23" t="s">
        <v>498</v>
      </c>
    </row>
    <row r="30" spans="1:13" ht="15" x14ac:dyDescent="0.2">
      <c r="A30" s="24" t="s">
        <v>127</v>
      </c>
      <c r="B30" s="24" t="s">
        <v>128</v>
      </c>
      <c r="C30" s="24" t="s">
        <v>129</v>
      </c>
      <c r="D30" s="24" t="s">
        <v>130</v>
      </c>
      <c r="E30" s="24" t="s">
        <v>131</v>
      </c>
    </row>
    <row r="31" spans="1:13" x14ac:dyDescent="0.2">
      <c r="A31" s="21" t="s">
        <v>1079</v>
      </c>
      <c r="B31" s="4" t="s">
        <v>499</v>
      </c>
      <c r="C31" s="4" t="s">
        <v>327</v>
      </c>
      <c r="D31" s="4" t="s">
        <v>21</v>
      </c>
      <c r="E31" s="25" t="s">
        <v>1107</v>
      </c>
    </row>
    <row r="34" spans="1:5" ht="15" x14ac:dyDescent="0.2">
      <c r="A34" s="20" t="s">
        <v>136</v>
      </c>
      <c r="B34" s="20"/>
    </row>
    <row r="35" spans="1:5" ht="14.25" x14ac:dyDescent="0.2">
      <c r="A35" s="22"/>
      <c r="B35" s="23" t="s">
        <v>137</v>
      </c>
    </row>
    <row r="36" spans="1:5" ht="15" x14ac:dyDescent="0.2">
      <c r="A36" s="24" t="s">
        <v>127</v>
      </c>
      <c r="B36" s="24" t="s">
        <v>128</v>
      </c>
      <c r="C36" s="24" t="s">
        <v>129</v>
      </c>
      <c r="D36" s="24" t="s">
        <v>130</v>
      </c>
      <c r="E36" s="24" t="s">
        <v>131</v>
      </c>
    </row>
    <row r="37" spans="1:5" x14ac:dyDescent="0.2">
      <c r="A37" s="21" t="s">
        <v>1099</v>
      </c>
      <c r="B37" s="4" t="s">
        <v>132</v>
      </c>
      <c r="C37" s="4" t="s">
        <v>151</v>
      </c>
      <c r="D37" s="4" t="s">
        <v>71</v>
      </c>
      <c r="E37" s="25" t="s">
        <v>1108</v>
      </c>
    </row>
    <row r="39" spans="1:5" ht="14.25" x14ac:dyDescent="0.2">
      <c r="A39" s="22"/>
      <c r="B39" s="23" t="s">
        <v>144</v>
      </c>
    </row>
    <row r="40" spans="1:5" ht="15" x14ac:dyDescent="0.2">
      <c r="A40" s="24" t="s">
        <v>127</v>
      </c>
      <c r="B40" s="24" t="s">
        <v>128</v>
      </c>
      <c r="C40" s="24" t="s">
        <v>129</v>
      </c>
      <c r="D40" s="24" t="s">
        <v>130</v>
      </c>
      <c r="E40" s="24" t="s">
        <v>131</v>
      </c>
    </row>
    <row r="41" spans="1:5" x14ac:dyDescent="0.2">
      <c r="A41" s="21" t="s">
        <v>1089</v>
      </c>
      <c r="B41" s="4" t="s">
        <v>144</v>
      </c>
      <c r="C41" s="4" t="s">
        <v>138</v>
      </c>
      <c r="D41" s="4" t="s">
        <v>81</v>
      </c>
      <c r="E41" s="25" t="s">
        <v>1109</v>
      </c>
    </row>
    <row r="42" spans="1:5" x14ac:dyDescent="0.2">
      <c r="A42" s="21" t="s">
        <v>1084</v>
      </c>
      <c r="B42" s="4" t="s">
        <v>144</v>
      </c>
      <c r="C42" s="4" t="s">
        <v>156</v>
      </c>
      <c r="D42" s="4" t="s">
        <v>188</v>
      </c>
      <c r="E42" s="25" t="s">
        <v>1110</v>
      </c>
    </row>
    <row r="43" spans="1:5" x14ac:dyDescent="0.2">
      <c r="A43" s="21" t="s">
        <v>1103</v>
      </c>
      <c r="B43" s="4" t="s">
        <v>144</v>
      </c>
      <c r="C43" s="4" t="s">
        <v>151</v>
      </c>
      <c r="D43" s="4" t="s">
        <v>437</v>
      </c>
      <c r="E43" s="25" t="s">
        <v>1111</v>
      </c>
    </row>
    <row r="44" spans="1:5" x14ac:dyDescent="0.2">
      <c r="A44" s="21" t="s">
        <v>1093</v>
      </c>
      <c r="B44" s="4" t="s">
        <v>144</v>
      </c>
      <c r="C44" s="4" t="s">
        <v>138</v>
      </c>
      <c r="D44" s="4" t="s">
        <v>72</v>
      </c>
      <c r="E44" s="25" t="s">
        <v>1112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workbookViewId="0">
      <selection sqref="A1:M2"/>
    </sheetView>
  </sheetViews>
  <sheetFormatPr defaultRowHeight="12.75" x14ac:dyDescent="0.2"/>
  <cols>
    <col min="1" max="1" width="28.5703125" style="4" bestFit="1" customWidth="1"/>
    <col min="2" max="2" width="29.7109375" style="4" bestFit="1" customWidth="1"/>
    <col min="3" max="3" width="17.140625" style="4" customWidth="1"/>
    <col min="4" max="4" width="8.42578125" style="4" bestFit="1" customWidth="1"/>
    <col min="5" max="5" width="22.7109375" style="4" bestFit="1" customWidth="1"/>
    <col min="6" max="6" width="33.28515625" style="4" bestFit="1" customWidth="1"/>
    <col min="7" max="10" width="5.5703125" style="3" bestFit="1" customWidth="1"/>
    <col min="11" max="11" width="11.28515625" style="4" bestFit="1" customWidth="1"/>
    <col min="12" max="12" width="8.5703125" style="3" bestFit="1" customWidth="1"/>
    <col min="13" max="13" width="31.7109375" style="4" bestFit="1" customWidth="1"/>
    <col min="14" max="16384" width="9.140625" style="3"/>
  </cols>
  <sheetData>
    <row r="1" spans="1:13" s="2" customFormat="1" ht="29.1" customHeight="1" x14ac:dyDescent="0.2">
      <c r="A1" s="37" t="s">
        <v>1485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718</v>
      </c>
      <c r="L3" s="32" t="s">
        <v>3</v>
      </c>
      <c r="M3" s="34" t="s">
        <v>2</v>
      </c>
    </row>
    <row r="4" spans="1:13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3" ht="15" x14ac:dyDescent="0.2">
      <c r="A5" s="36" t="s">
        <v>353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9" t="s">
        <v>736</v>
      </c>
      <c r="B6" s="9" t="s">
        <v>737</v>
      </c>
      <c r="C6" s="9" t="s">
        <v>738</v>
      </c>
      <c r="D6" s="9" t="str">
        <f>"1,3868"</f>
        <v>1,3868</v>
      </c>
      <c r="E6" s="9" t="s">
        <v>18</v>
      </c>
      <c r="F6" s="9" t="s">
        <v>68</v>
      </c>
      <c r="G6" s="10" t="s">
        <v>739</v>
      </c>
      <c r="H6" s="10" t="s">
        <v>740</v>
      </c>
      <c r="I6" s="10" t="s">
        <v>741</v>
      </c>
      <c r="J6" s="11" t="s">
        <v>561</v>
      </c>
      <c r="K6" s="9" t="str">
        <f>"30,0"</f>
        <v>30,0</v>
      </c>
      <c r="L6" s="10" t="str">
        <f>"41,6040"</f>
        <v>41,6040</v>
      </c>
      <c r="M6" s="9" t="s">
        <v>74</v>
      </c>
    </row>
    <row r="7" spans="1:13" x14ac:dyDescent="0.2">
      <c r="A7" s="12" t="s">
        <v>743</v>
      </c>
      <c r="B7" s="12" t="s">
        <v>744</v>
      </c>
      <c r="C7" s="12" t="s">
        <v>745</v>
      </c>
      <c r="D7" s="12" t="str">
        <f>"1,3367"</f>
        <v>1,3367</v>
      </c>
      <c r="E7" s="12" t="s">
        <v>18</v>
      </c>
      <c r="F7" s="12" t="s">
        <v>68</v>
      </c>
      <c r="G7" s="13" t="s">
        <v>252</v>
      </c>
      <c r="H7" s="13" t="s">
        <v>253</v>
      </c>
      <c r="I7" s="14" t="s">
        <v>268</v>
      </c>
      <c r="J7" s="14"/>
      <c r="K7" s="12" t="str">
        <f>"55,0"</f>
        <v>55,0</v>
      </c>
      <c r="L7" s="13" t="str">
        <f>"73,5185"</f>
        <v>73,5185</v>
      </c>
      <c r="M7" s="12" t="s">
        <v>746</v>
      </c>
    </row>
    <row r="8" spans="1:13" x14ac:dyDescent="0.2">
      <c r="A8" s="15" t="s">
        <v>748</v>
      </c>
      <c r="B8" s="15" t="s">
        <v>749</v>
      </c>
      <c r="C8" s="15" t="s">
        <v>750</v>
      </c>
      <c r="D8" s="15" t="str">
        <f>"1,3553"</f>
        <v>1,3553</v>
      </c>
      <c r="E8" s="15" t="s">
        <v>18</v>
      </c>
      <c r="F8" s="15" t="s">
        <v>68</v>
      </c>
      <c r="G8" s="16" t="s">
        <v>360</v>
      </c>
      <c r="H8" s="17" t="s">
        <v>22</v>
      </c>
      <c r="I8" s="17" t="s">
        <v>22</v>
      </c>
      <c r="J8" s="17"/>
      <c r="K8" s="15" t="str">
        <f>"37,5"</f>
        <v>37,5</v>
      </c>
      <c r="L8" s="16" t="str">
        <f>"50,8237"</f>
        <v>50,8237</v>
      </c>
      <c r="M8" s="15" t="s">
        <v>751</v>
      </c>
    </row>
    <row r="10" spans="1:13" ht="15" x14ac:dyDescent="0.2">
      <c r="A10" s="46" t="s">
        <v>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3" x14ac:dyDescent="0.2">
      <c r="A11" s="6" t="s">
        <v>753</v>
      </c>
      <c r="B11" s="6" t="s">
        <v>754</v>
      </c>
      <c r="C11" s="6" t="s">
        <v>755</v>
      </c>
      <c r="D11" s="6" t="str">
        <f>"1,2485"</f>
        <v>1,2485</v>
      </c>
      <c r="E11" s="6" t="s">
        <v>18</v>
      </c>
      <c r="F11" s="6" t="s">
        <v>219</v>
      </c>
      <c r="G11" s="7" t="s">
        <v>361</v>
      </c>
      <c r="H11" s="7" t="s">
        <v>392</v>
      </c>
      <c r="I11" s="8" t="s">
        <v>24</v>
      </c>
      <c r="J11" s="8"/>
      <c r="K11" s="6" t="str">
        <f>"45,0"</f>
        <v>45,0</v>
      </c>
      <c r="L11" s="7" t="str">
        <f>"56,1825"</f>
        <v>56,1825</v>
      </c>
      <c r="M11" s="6" t="s">
        <v>756</v>
      </c>
    </row>
    <row r="13" spans="1:13" ht="15" x14ac:dyDescent="0.2">
      <c r="A13" s="46" t="s">
        <v>244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3" x14ac:dyDescent="0.2">
      <c r="A14" s="9" t="s">
        <v>758</v>
      </c>
      <c r="B14" s="9" t="s">
        <v>759</v>
      </c>
      <c r="C14" s="9" t="s">
        <v>760</v>
      </c>
      <c r="D14" s="9" t="str">
        <f>"1,1933"</f>
        <v>1,1933</v>
      </c>
      <c r="E14" s="9" t="s">
        <v>18</v>
      </c>
      <c r="F14" s="9" t="s">
        <v>761</v>
      </c>
      <c r="G14" s="10" t="s">
        <v>253</v>
      </c>
      <c r="H14" s="11" t="s">
        <v>268</v>
      </c>
      <c r="I14" s="11" t="s">
        <v>268</v>
      </c>
      <c r="J14" s="11"/>
      <c r="K14" s="9" t="str">
        <f>"55,0"</f>
        <v>55,0</v>
      </c>
      <c r="L14" s="10" t="str">
        <f>"65,6315"</f>
        <v>65,6315</v>
      </c>
      <c r="M14" s="9" t="s">
        <v>762</v>
      </c>
    </row>
    <row r="15" spans="1:13" x14ac:dyDescent="0.2">
      <c r="A15" s="12" t="s">
        <v>764</v>
      </c>
      <c r="B15" s="12" t="s">
        <v>765</v>
      </c>
      <c r="C15" s="12" t="s">
        <v>381</v>
      </c>
      <c r="D15" s="12" t="str">
        <f>"1,1766"</f>
        <v>1,1766</v>
      </c>
      <c r="E15" s="12" t="s">
        <v>18</v>
      </c>
      <c r="F15" s="12" t="s">
        <v>68</v>
      </c>
      <c r="G15" s="13" t="s">
        <v>741</v>
      </c>
      <c r="H15" s="13" t="s">
        <v>561</v>
      </c>
      <c r="I15" s="14" t="s">
        <v>360</v>
      </c>
      <c r="J15" s="14"/>
      <c r="K15" s="12" t="str">
        <f>"32,5"</f>
        <v>32,5</v>
      </c>
      <c r="L15" s="13" t="str">
        <f>"38,2395"</f>
        <v>38,2395</v>
      </c>
      <c r="M15" s="12" t="s">
        <v>766</v>
      </c>
    </row>
    <row r="16" spans="1:13" x14ac:dyDescent="0.2">
      <c r="A16" s="12" t="s">
        <v>768</v>
      </c>
      <c r="B16" s="12" t="s">
        <v>769</v>
      </c>
      <c r="C16" s="12" t="s">
        <v>770</v>
      </c>
      <c r="D16" s="12" t="str">
        <f>"1,1783"</f>
        <v>1,1783</v>
      </c>
      <c r="E16" s="12" t="s">
        <v>18</v>
      </c>
      <c r="F16" s="12" t="s">
        <v>169</v>
      </c>
      <c r="G16" s="13" t="s">
        <v>241</v>
      </c>
      <c r="H16" s="13" t="s">
        <v>242</v>
      </c>
      <c r="I16" s="14" t="s">
        <v>273</v>
      </c>
      <c r="J16" s="14"/>
      <c r="K16" s="12" t="str">
        <f>"70,0"</f>
        <v>70,0</v>
      </c>
      <c r="L16" s="13" t="str">
        <f>"82,4810"</f>
        <v>82,4810</v>
      </c>
      <c r="M16" s="12" t="s">
        <v>38</v>
      </c>
    </row>
    <row r="17" spans="1:13" x14ac:dyDescent="0.2">
      <c r="A17" s="12" t="s">
        <v>772</v>
      </c>
      <c r="B17" s="12" t="s">
        <v>773</v>
      </c>
      <c r="C17" s="12" t="s">
        <v>774</v>
      </c>
      <c r="D17" s="12" t="str">
        <f>"1,2159"</f>
        <v>1,2159</v>
      </c>
      <c r="E17" s="12" t="s">
        <v>18</v>
      </c>
      <c r="F17" s="12" t="s">
        <v>68</v>
      </c>
      <c r="G17" s="13" t="s">
        <v>561</v>
      </c>
      <c r="H17" s="14" t="s">
        <v>360</v>
      </c>
      <c r="I17" s="14" t="s">
        <v>360</v>
      </c>
      <c r="J17" s="14"/>
      <c r="K17" s="12" t="str">
        <f>"32,5"</f>
        <v>32,5</v>
      </c>
      <c r="L17" s="13" t="str">
        <f>"39,5167"</f>
        <v>39,5167</v>
      </c>
      <c r="M17" s="12" t="s">
        <v>775</v>
      </c>
    </row>
    <row r="18" spans="1:13" x14ac:dyDescent="0.2">
      <c r="A18" s="12" t="s">
        <v>776</v>
      </c>
      <c r="B18" s="12" t="s">
        <v>777</v>
      </c>
      <c r="C18" s="12" t="s">
        <v>774</v>
      </c>
      <c r="D18" s="12" t="str">
        <f>"1,2159"</f>
        <v>1,2159</v>
      </c>
      <c r="E18" s="12" t="s">
        <v>18</v>
      </c>
      <c r="F18" s="12" t="s">
        <v>68</v>
      </c>
      <c r="G18" s="13" t="s">
        <v>561</v>
      </c>
      <c r="H18" s="14" t="s">
        <v>360</v>
      </c>
      <c r="I18" s="14" t="s">
        <v>360</v>
      </c>
      <c r="J18" s="14"/>
      <c r="K18" s="12" t="str">
        <f>"32,5"</f>
        <v>32,5</v>
      </c>
      <c r="L18" s="13" t="str">
        <f>"39,5167"</f>
        <v>39,5167</v>
      </c>
      <c r="M18" s="12" t="s">
        <v>775</v>
      </c>
    </row>
    <row r="19" spans="1:13" x14ac:dyDescent="0.2">
      <c r="A19" s="15" t="s">
        <v>778</v>
      </c>
      <c r="B19" s="15" t="s">
        <v>779</v>
      </c>
      <c r="C19" s="15" t="s">
        <v>373</v>
      </c>
      <c r="D19" s="15" t="str">
        <f>"1,1900"</f>
        <v>1,1900</v>
      </c>
      <c r="E19" s="15" t="s">
        <v>18</v>
      </c>
      <c r="F19" s="15" t="s">
        <v>780</v>
      </c>
      <c r="G19" s="17" t="s">
        <v>252</v>
      </c>
      <c r="H19" s="17" t="s">
        <v>252</v>
      </c>
      <c r="I19" s="17" t="s">
        <v>253</v>
      </c>
      <c r="J19" s="17"/>
      <c r="K19" s="15" t="str">
        <f>"0.00"</f>
        <v>0.00</v>
      </c>
      <c r="L19" s="16" t="str">
        <f>"0,0000"</f>
        <v>0,0000</v>
      </c>
      <c r="M19" s="15" t="s">
        <v>781</v>
      </c>
    </row>
    <row r="21" spans="1:13" ht="15" x14ac:dyDescent="0.2">
      <c r="A21" s="46" t="s">
        <v>386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3" x14ac:dyDescent="0.2">
      <c r="A22" s="6" t="s">
        <v>783</v>
      </c>
      <c r="B22" s="6" t="s">
        <v>784</v>
      </c>
      <c r="C22" s="6" t="s">
        <v>785</v>
      </c>
      <c r="D22" s="6" t="str">
        <f>"1,1149"</f>
        <v>1,1149</v>
      </c>
      <c r="E22" s="6" t="s">
        <v>18</v>
      </c>
      <c r="F22" s="6" t="s">
        <v>92</v>
      </c>
      <c r="G22" s="7" t="s">
        <v>254</v>
      </c>
      <c r="H22" s="8" t="s">
        <v>268</v>
      </c>
      <c r="I22" s="7" t="s">
        <v>268</v>
      </c>
      <c r="J22" s="8"/>
      <c r="K22" s="6" t="str">
        <f>"60,0"</f>
        <v>60,0</v>
      </c>
      <c r="L22" s="7" t="str">
        <f>"66,8940"</f>
        <v>66,8940</v>
      </c>
      <c r="M22" s="6" t="s">
        <v>786</v>
      </c>
    </row>
    <row r="24" spans="1:13" ht="15" x14ac:dyDescent="0.2">
      <c r="A24" s="46" t="s">
        <v>164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3" x14ac:dyDescent="0.2">
      <c r="A25" s="6" t="s">
        <v>788</v>
      </c>
      <c r="B25" s="6" t="s">
        <v>789</v>
      </c>
      <c r="C25" s="6" t="s">
        <v>790</v>
      </c>
      <c r="D25" s="6" t="str">
        <f>"1,0491"</f>
        <v>1,0491</v>
      </c>
      <c r="E25" s="6" t="s">
        <v>18</v>
      </c>
      <c r="F25" s="6" t="s">
        <v>249</v>
      </c>
      <c r="G25" s="8" t="s">
        <v>392</v>
      </c>
      <c r="H25" s="7" t="s">
        <v>392</v>
      </c>
      <c r="I25" s="8" t="s">
        <v>23</v>
      </c>
      <c r="J25" s="8"/>
      <c r="K25" s="6" t="str">
        <f>"45,0"</f>
        <v>45,0</v>
      </c>
      <c r="L25" s="7" t="str">
        <f>"47,2095"</f>
        <v>47,2095</v>
      </c>
      <c r="M25" s="6" t="s">
        <v>597</v>
      </c>
    </row>
    <row r="27" spans="1:13" ht="15" x14ac:dyDescent="0.2">
      <c r="A27" s="46" t="s">
        <v>275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3" x14ac:dyDescent="0.2">
      <c r="A28" s="9" t="s">
        <v>792</v>
      </c>
      <c r="B28" s="9" t="s">
        <v>793</v>
      </c>
      <c r="C28" s="9" t="s">
        <v>794</v>
      </c>
      <c r="D28" s="9" t="str">
        <f>"0,9948"</f>
        <v>0,9948</v>
      </c>
      <c r="E28" s="9" t="s">
        <v>18</v>
      </c>
      <c r="F28" s="9" t="s">
        <v>795</v>
      </c>
      <c r="G28" s="10" t="s">
        <v>23</v>
      </c>
      <c r="H28" s="10" t="s">
        <v>253</v>
      </c>
      <c r="I28" s="11" t="s">
        <v>268</v>
      </c>
      <c r="J28" s="11"/>
      <c r="K28" s="9" t="str">
        <f>"55,0"</f>
        <v>55,0</v>
      </c>
      <c r="L28" s="10" t="str">
        <f>"54,7140"</f>
        <v>54,7140</v>
      </c>
      <c r="M28" s="9" t="s">
        <v>796</v>
      </c>
    </row>
    <row r="29" spans="1:13" x14ac:dyDescent="0.2">
      <c r="A29" s="15" t="s">
        <v>798</v>
      </c>
      <c r="B29" s="15" t="s">
        <v>799</v>
      </c>
      <c r="C29" s="15" t="s">
        <v>800</v>
      </c>
      <c r="D29" s="15" t="str">
        <f>"0,9613"</f>
        <v>0,9613</v>
      </c>
      <c r="E29" s="15" t="s">
        <v>18</v>
      </c>
      <c r="F29" s="15" t="s">
        <v>68</v>
      </c>
      <c r="G29" s="16" t="s">
        <v>254</v>
      </c>
      <c r="H29" s="17" t="s">
        <v>268</v>
      </c>
      <c r="I29" s="16" t="s">
        <v>268</v>
      </c>
      <c r="J29" s="17"/>
      <c r="K29" s="15" t="str">
        <f>"60,0"</f>
        <v>60,0</v>
      </c>
      <c r="L29" s="16" t="str">
        <f>"57,6780"</f>
        <v>57,6780</v>
      </c>
      <c r="M29" s="15" t="s">
        <v>801</v>
      </c>
    </row>
    <row r="31" spans="1:13" ht="15" x14ac:dyDescent="0.2">
      <c r="A31" s="46" t="s">
        <v>164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3" x14ac:dyDescent="0.2">
      <c r="A32" s="9" t="s">
        <v>418</v>
      </c>
      <c r="B32" s="9" t="s">
        <v>419</v>
      </c>
      <c r="C32" s="9" t="s">
        <v>420</v>
      </c>
      <c r="D32" s="9" t="str">
        <f>"0,7813"</f>
        <v>0,7813</v>
      </c>
      <c r="E32" s="9" t="s">
        <v>18</v>
      </c>
      <c r="F32" s="9" t="s">
        <v>68</v>
      </c>
      <c r="G32" s="10" t="s">
        <v>26</v>
      </c>
      <c r="H32" s="10" t="s">
        <v>189</v>
      </c>
      <c r="I32" s="11" t="s">
        <v>190</v>
      </c>
      <c r="J32" s="11"/>
      <c r="K32" s="9" t="str">
        <f>"110,0"</f>
        <v>110,0</v>
      </c>
      <c r="L32" s="10" t="str">
        <f>"85,9430"</f>
        <v>85,9430</v>
      </c>
      <c r="M32" s="9" t="s">
        <v>74</v>
      </c>
    </row>
    <row r="33" spans="1:13" x14ac:dyDescent="0.2">
      <c r="A33" s="15" t="s">
        <v>803</v>
      </c>
      <c r="B33" s="15" t="s">
        <v>804</v>
      </c>
      <c r="C33" s="15" t="s">
        <v>805</v>
      </c>
      <c r="D33" s="15" t="str">
        <f>"0,7785"</f>
        <v>0,7785</v>
      </c>
      <c r="E33" s="15" t="s">
        <v>18</v>
      </c>
      <c r="F33" s="15" t="s">
        <v>68</v>
      </c>
      <c r="G33" s="17" t="s">
        <v>20</v>
      </c>
      <c r="H33" s="16" t="s">
        <v>25</v>
      </c>
      <c r="I33" s="17" t="s">
        <v>189</v>
      </c>
      <c r="J33" s="17"/>
      <c r="K33" s="15" t="str">
        <f>"100,0"</f>
        <v>100,0</v>
      </c>
      <c r="L33" s="16" t="str">
        <f>"77,8500"</f>
        <v>77,8500</v>
      </c>
      <c r="M33" s="15" t="s">
        <v>177</v>
      </c>
    </row>
    <row r="35" spans="1:13" ht="15" x14ac:dyDescent="0.2">
      <c r="A35" s="46" t="s">
        <v>275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3" x14ac:dyDescent="0.2">
      <c r="A36" s="9" t="s">
        <v>807</v>
      </c>
      <c r="B36" s="9" t="s">
        <v>808</v>
      </c>
      <c r="C36" s="9" t="s">
        <v>809</v>
      </c>
      <c r="D36" s="9" t="str">
        <f>"0,7552"</f>
        <v>0,7552</v>
      </c>
      <c r="E36" s="9" t="s">
        <v>18</v>
      </c>
      <c r="F36" s="9" t="s">
        <v>68</v>
      </c>
      <c r="G36" s="10" t="s">
        <v>251</v>
      </c>
      <c r="H36" s="10" t="s">
        <v>363</v>
      </c>
      <c r="I36" s="10" t="s">
        <v>429</v>
      </c>
      <c r="J36" s="11"/>
      <c r="K36" s="9" t="str">
        <f>"112,5"</f>
        <v>112,5</v>
      </c>
      <c r="L36" s="10" t="str">
        <f>"84,9600"</f>
        <v>84,9600</v>
      </c>
      <c r="M36" s="9" t="s">
        <v>810</v>
      </c>
    </row>
    <row r="37" spans="1:13" x14ac:dyDescent="0.2">
      <c r="A37" s="12" t="s">
        <v>812</v>
      </c>
      <c r="B37" s="12" t="s">
        <v>813</v>
      </c>
      <c r="C37" s="12" t="s">
        <v>814</v>
      </c>
      <c r="D37" s="12" t="str">
        <f>"0,7173"</f>
        <v>0,7173</v>
      </c>
      <c r="E37" s="12" t="s">
        <v>18</v>
      </c>
      <c r="F37" s="12" t="s">
        <v>68</v>
      </c>
      <c r="G37" s="13" t="s">
        <v>251</v>
      </c>
      <c r="H37" s="13" t="s">
        <v>363</v>
      </c>
      <c r="I37" s="14" t="s">
        <v>429</v>
      </c>
      <c r="J37" s="14"/>
      <c r="K37" s="12" t="str">
        <f>"107,5"</f>
        <v>107,5</v>
      </c>
      <c r="L37" s="13" t="str">
        <f>"77,1097"</f>
        <v>77,1097</v>
      </c>
      <c r="M37" s="12" t="s">
        <v>815</v>
      </c>
    </row>
    <row r="38" spans="1:13" x14ac:dyDescent="0.2">
      <c r="A38" s="12" t="s">
        <v>817</v>
      </c>
      <c r="B38" s="12" t="s">
        <v>818</v>
      </c>
      <c r="C38" s="12" t="s">
        <v>819</v>
      </c>
      <c r="D38" s="12" t="str">
        <f>"0,7228"</f>
        <v>0,7228</v>
      </c>
      <c r="E38" s="12" t="s">
        <v>18</v>
      </c>
      <c r="F38" s="12" t="s">
        <v>68</v>
      </c>
      <c r="G38" s="14" t="s">
        <v>35</v>
      </c>
      <c r="H38" s="13" t="s">
        <v>35</v>
      </c>
      <c r="I38" s="13" t="s">
        <v>20</v>
      </c>
      <c r="J38" s="14"/>
      <c r="K38" s="12" t="str">
        <f>"90,0"</f>
        <v>90,0</v>
      </c>
      <c r="L38" s="13" t="str">
        <f>"65,0520"</f>
        <v>65,0520</v>
      </c>
      <c r="M38" s="12" t="s">
        <v>177</v>
      </c>
    </row>
    <row r="39" spans="1:13" x14ac:dyDescent="0.2">
      <c r="A39" s="12" t="s">
        <v>821</v>
      </c>
      <c r="B39" s="12" t="s">
        <v>822</v>
      </c>
      <c r="C39" s="12" t="s">
        <v>823</v>
      </c>
      <c r="D39" s="12" t="str">
        <f>"0,7179"</f>
        <v>0,7179</v>
      </c>
      <c r="E39" s="12" t="s">
        <v>18</v>
      </c>
      <c r="F39" s="12" t="s">
        <v>301</v>
      </c>
      <c r="G39" s="14" t="s">
        <v>190</v>
      </c>
      <c r="H39" s="13" t="s">
        <v>267</v>
      </c>
      <c r="I39" s="14" t="s">
        <v>261</v>
      </c>
      <c r="J39" s="14"/>
      <c r="K39" s="12" t="str">
        <f>"122,5"</f>
        <v>122,5</v>
      </c>
      <c r="L39" s="13" t="str">
        <f>"87,9427"</f>
        <v>87,9427</v>
      </c>
      <c r="M39" s="12" t="s">
        <v>824</v>
      </c>
    </row>
    <row r="40" spans="1:13" x14ac:dyDescent="0.2">
      <c r="A40" s="12" t="s">
        <v>826</v>
      </c>
      <c r="B40" s="12" t="s">
        <v>827</v>
      </c>
      <c r="C40" s="12" t="s">
        <v>828</v>
      </c>
      <c r="D40" s="12" t="str">
        <f>"0,7200"</f>
        <v>0,7200</v>
      </c>
      <c r="E40" s="12" t="s">
        <v>18</v>
      </c>
      <c r="F40" s="12" t="s">
        <v>68</v>
      </c>
      <c r="G40" s="13" t="s">
        <v>110</v>
      </c>
      <c r="H40" s="13" t="s">
        <v>61</v>
      </c>
      <c r="I40" s="14" t="s">
        <v>829</v>
      </c>
      <c r="J40" s="14"/>
      <c r="K40" s="12" t="str">
        <f>"130,0"</f>
        <v>130,0</v>
      </c>
      <c r="L40" s="13" t="str">
        <f>"93,6000"</f>
        <v>93,6000</v>
      </c>
      <c r="M40" s="12" t="s">
        <v>830</v>
      </c>
    </row>
    <row r="41" spans="1:13" x14ac:dyDescent="0.2">
      <c r="A41" s="15" t="s">
        <v>832</v>
      </c>
      <c r="B41" s="15" t="s">
        <v>833</v>
      </c>
      <c r="C41" s="15" t="s">
        <v>834</v>
      </c>
      <c r="D41" s="15" t="str">
        <f>"0,7166"</f>
        <v>0,7166</v>
      </c>
      <c r="E41" s="15" t="s">
        <v>18</v>
      </c>
      <c r="F41" s="15" t="s">
        <v>92</v>
      </c>
      <c r="G41" s="16" t="s">
        <v>368</v>
      </c>
      <c r="H41" s="16" t="s">
        <v>383</v>
      </c>
      <c r="I41" s="17"/>
      <c r="J41" s="17"/>
      <c r="K41" s="15" t="str">
        <f>"82,5"</f>
        <v>82,5</v>
      </c>
      <c r="L41" s="16" t="str">
        <f>"106,1195"</f>
        <v>106,1195</v>
      </c>
      <c r="M41" s="15" t="s">
        <v>835</v>
      </c>
    </row>
    <row r="43" spans="1:13" ht="15" x14ac:dyDescent="0.2">
      <c r="A43" s="46" t="s">
        <v>28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3" x14ac:dyDescent="0.2">
      <c r="A44" s="9" t="s">
        <v>836</v>
      </c>
      <c r="B44" s="9" t="s">
        <v>837</v>
      </c>
      <c r="C44" s="9" t="s">
        <v>838</v>
      </c>
      <c r="D44" s="9" t="str">
        <f>"0,6963"</f>
        <v>0,6963</v>
      </c>
      <c r="E44" s="9" t="s">
        <v>18</v>
      </c>
      <c r="F44" s="9" t="s">
        <v>68</v>
      </c>
      <c r="G44" s="11" t="s">
        <v>61</v>
      </c>
      <c r="H44" s="11" t="s">
        <v>61</v>
      </c>
      <c r="I44" s="11" t="s">
        <v>61</v>
      </c>
      <c r="J44" s="11"/>
      <c r="K44" s="9" t="str">
        <f>"0.00"</f>
        <v>0.00</v>
      </c>
      <c r="L44" s="10" t="str">
        <f>"0,0000"</f>
        <v>0,0000</v>
      </c>
      <c r="M44" s="9" t="s">
        <v>839</v>
      </c>
    </row>
    <row r="45" spans="1:13" x14ac:dyDescent="0.2">
      <c r="A45" s="12" t="s">
        <v>841</v>
      </c>
      <c r="B45" s="12" t="s">
        <v>842</v>
      </c>
      <c r="C45" s="12" t="s">
        <v>843</v>
      </c>
      <c r="D45" s="12" t="str">
        <f>"0,6893"</f>
        <v>0,6893</v>
      </c>
      <c r="E45" s="12" t="s">
        <v>18</v>
      </c>
      <c r="F45" s="12" t="s">
        <v>68</v>
      </c>
      <c r="G45" s="13" t="s">
        <v>189</v>
      </c>
      <c r="H45" s="13" t="s">
        <v>190</v>
      </c>
      <c r="I45" s="14" t="s">
        <v>110</v>
      </c>
      <c r="J45" s="14"/>
      <c r="K45" s="12" t="str">
        <f>"115,0"</f>
        <v>115,0</v>
      </c>
      <c r="L45" s="13" t="str">
        <f>"79,2695"</f>
        <v>79,2695</v>
      </c>
      <c r="M45" s="12" t="s">
        <v>844</v>
      </c>
    </row>
    <row r="46" spans="1:13" x14ac:dyDescent="0.2">
      <c r="A46" s="12" t="s">
        <v>433</v>
      </c>
      <c r="B46" s="12" t="s">
        <v>434</v>
      </c>
      <c r="C46" s="12" t="s">
        <v>435</v>
      </c>
      <c r="D46" s="12" t="str">
        <f>"0,6790"</f>
        <v>0,6790</v>
      </c>
      <c r="E46" s="12" t="s">
        <v>18</v>
      </c>
      <c r="F46" s="12" t="s">
        <v>436</v>
      </c>
      <c r="G46" s="13" t="s">
        <v>69</v>
      </c>
      <c r="H46" s="13" t="s">
        <v>188</v>
      </c>
      <c r="I46" s="14" t="s">
        <v>437</v>
      </c>
      <c r="J46" s="14"/>
      <c r="K46" s="12" t="str">
        <f>"180,0"</f>
        <v>180,0</v>
      </c>
      <c r="L46" s="13" t="str">
        <f>"122,2200"</f>
        <v>122,2200</v>
      </c>
      <c r="M46" s="12" t="s">
        <v>38</v>
      </c>
    </row>
    <row r="47" spans="1:13" x14ac:dyDescent="0.2">
      <c r="A47" s="12" t="s">
        <v>846</v>
      </c>
      <c r="B47" s="12" t="s">
        <v>847</v>
      </c>
      <c r="C47" s="12" t="s">
        <v>451</v>
      </c>
      <c r="D47" s="12" t="str">
        <f>"0,6734"</f>
        <v>0,6734</v>
      </c>
      <c r="E47" s="12" t="s">
        <v>18</v>
      </c>
      <c r="F47" s="12" t="s">
        <v>68</v>
      </c>
      <c r="G47" s="13" t="s">
        <v>72</v>
      </c>
      <c r="H47" s="13" t="s">
        <v>69</v>
      </c>
      <c r="I47" s="13" t="s">
        <v>182</v>
      </c>
      <c r="J47" s="14"/>
      <c r="K47" s="12" t="str">
        <f>"172,5"</f>
        <v>172,5</v>
      </c>
      <c r="L47" s="13" t="str">
        <f>"116,1615"</f>
        <v>116,1615</v>
      </c>
      <c r="M47" s="12" t="s">
        <v>848</v>
      </c>
    </row>
    <row r="48" spans="1:13" x14ac:dyDescent="0.2">
      <c r="A48" s="12" t="s">
        <v>850</v>
      </c>
      <c r="B48" s="12" t="s">
        <v>851</v>
      </c>
      <c r="C48" s="12" t="s">
        <v>852</v>
      </c>
      <c r="D48" s="12" t="str">
        <f>"0,6769"</f>
        <v>0,6769</v>
      </c>
      <c r="E48" s="12" t="s">
        <v>18</v>
      </c>
      <c r="F48" s="12" t="s">
        <v>308</v>
      </c>
      <c r="G48" s="13" t="s">
        <v>281</v>
      </c>
      <c r="H48" s="13" t="s">
        <v>61</v>
      </c>
      <c r="I48" s="14" t="s">
        <v>33</v>
      </c>
      <c r="J48" s="14"/>
      <c r="K48" s="12" t="str">
        <f>"130,0"</f>
        <v>130,0</v>
      </c>
      <c r="L48" s="13" t="str">
        <f>"87,9970"</f>
        <v>87,9970</v>
      </c>
      <c r="M48" s="12" t="s">
        <v>853</v>
      </c>
    </row>
    <row r="49" spans="1:13" x14ac:dyDescent="0.2">
      <c r="A49" s="12" t="s">
        <v>855</v>
      </c>
      <c r="B49" s="12" t="s">
        <v>856</v>
      </c>
      <c r="C49" s="12" t="s">
        <v>857</v>
      </c>
      <c r="D49" s="12" t="str">
        <f>"0,6916"</f>
        <v>0,6916</v>
      </c>
      <c r="E49" s="12" t="s">
        <v>18</v>
      </c>
      <c r="F49" s="12" t="s">
        <v>391</v>
      </c>
      <c r="G49" s="13" t="s">
        <v>190</v>
      </c>
      <c r="H49" s="14" t="s">
        <v>267</v>
      </c>
      <c r="I49" s="14" t="s">
        <v>267</v>
      </c>
      <c r="J49" s="14"/>
      <c r="K49" s="12" t="str">
        <f>"115,0"</f>
        <v>115,0</v>
      </c>
      <c r="L49" s="13" t="str">
        <f>"79,5340"</f>
        <v>79,5340</v>
      </c>
      <c r="M49" s="12" t="s">
        <v>74</v>
      </c>
    </row>
    <row r="50" spans="1:13" x14ac:dyDescent="0.2">
      <c r="A50" s="12" t="s">
        <v>859</v>
      </c>
      <c r="B50" s="12" t="s">
        <v>860</v>
      </c>
      <c r="C50" s="12" t="s">
        <v>861</v>
      </c>
      <c r="D50" s="12" t="str">
        <f>"0,6774"</f>
        <v>0,6774</v>
      </c>
      <c r="E50" s="12" t="s">
        <v>18</v>
      </c>
      <c r="F50" s="12" t="s">
        <v>68</v>
      </c>
      <c r="G50" s="13" t="s">
        <v>189</v>
      </c>
      <c r="H50" s="14" t="s">
        <v>429</v>
      </c>
      <c r="I50" s="14" t="s">
        <v>429</v>
      </c>
      <c r="J50" s="14"/>
      <c r="K50" s="12" t="str">
        <f>"110,0"</f>
        <v>110,0</v>
      </c>
      <c r="L50" s="13" t="str">
        <f>"74,5140"</f>
        <v>74,5140</v>
      </c>
      <c r="M50" s="12" t="s">
        <v>862</v>
      </c>
    </row>
    <row r="51" spans="1:13" x14ac:dyDescent="0.2">
      <c r="A51" s="12" t="s">
        <v>864</v>
      </c>
      <c r="B51" s="12" t="s">
        <v>865</v>
      </c>
      <c r="C51" s="12" t="s">
        <v>866</v>
      </c>
      <c r="D51" s="12" t="str">
        <f>"0,6827"</f>
        <v>0,6827</v>
      </c>
      <c r="E51" s="12" t="s">
        <v>18</v>
      </c>
      <c r="F51" s="12" t="s">
        <v>68</v>
      </c>
      <c r="G51" s="13" t="s">
        <v>20</v>
      </c>
      <c r="H51" s="13" t="s">
        <v>25</v>
      </c>
      <c r="I51" s="14" t="s">
        <v>189</v>
      </c>
      <c r="J51" s="14"/>
      <c r="K51" s="12" t="str">
        <f>"100,0"</f>
        <v>100,0</v>
      </c>
      <c r="L51" s="13" t="str">
        <f>"70,3864"</f>
        <v>70,3864</v>
      </c>
      <c r="M51" s="12" t="s">
        <v>867</v>
      </c>
    </row>
    <row r="52" spans="1:13" x14ac:dyDescent="0.2">
      <c r="A52" s="15" t="s">
        <v>869</v>
      </c>
      <c r="B52" s="15" t="s">
        <v>870</v>
      </c>
      <c r="C52" s="15" t="s">
        <v>871</v>
      </c>
      <c r="D52" s="15" t="str">
        <f>"0,6699"</f>
        <v>0,6699</v>
      </c>
      <c r="E52" s="15" t="s">
        <v>18</v>
      </c>
      <c r="F52" s="15" t="s">
        <v>108</v>
      </c>
      <c r="G52" s="16" t="s">
        <v>110</v>
      </c>
      <c r="H52" s="16" t="s">
        <v>281</v>
      </c>
      <c r="I52" s="17" t="s">
        <v>61</v>
      </c>
      <c r="J52" s="17"/>
      <c r="K52" s="15" t="str">
        <f>"125,0"</f>
        <v>125,0</v>
      </c>
      <c r="L52" s="16" t="str">
        <f>"104,3369"</f>
        <v>104,3369</v>
      </c>
      <c r="M52" s="15" t="s">
        <v>38</v>
      </c>
    </row>
    <row r="54" spans="1:13" ht="15" x14ac:dyDescent="0.2">
      <c r="A54" s="46" t="s">
        <v>39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3" x14ac:dyDescent="0.2">
      <c r="A55" s="9" t="s">
        <v>873</v>
      </c>
      <c r="B55" s="9" t="s">
        <v>874</v>
      </c>
      <c r="C55" s="9" t="s">
        <v>875</v>
      </c>
      <c r="D55" s="9" t="str">
        <f>"0,6467"</f>
        <v>0,6467</v>
      </c>
      <c r="E55" s="9" t="s">
        <v>18</v>
      </c>
      <c r="F55" s="9" t="s">
        <v>249</v>
      </c>
      <c r="G55" s="10" t="s">
        <v>33</v>
      </c>
      <c r="H55" s="10" t="s">
        <v>84</v>
      </c>
      <c r="I55" s="10" t="s">
        <v>36</v>
      </c>
      <c r="J55" s="11"/>
      <c r="K55" s="9" t="str">
        <f>"150,0"</f>
        <v>150,0</v>
      </c>
      <c r="L55" s="10" t="str">
        <f>"97,0050"</f>
        <v>97,0050</v>
      </c>
      <c r="M55" s="9" t="s">
        <v>876</v>
      </c>
    </row>
    <row r="56" spans="1:13" x14ac:dyDescent="0.2">
      <c r="A56" s="12" t="s">
        <v>877</v>
      </c>
      <c r="B56" s="12" t="s">
        <v>878</v>
      </c>
      <c r="C56" s="12" t="s">
        <v>879</v>
      </c>
      <c r="D56" s="12" t="str">
        <f>"0,6421"</f>
        <v>0,6421</v>
      </c>
      <c r="E56" s="12" t="s">
        <v>18</v>
      </c>
      <c r="F56" s="12" t="s">
        <v>68</v>
      </c>
      <c r="G56" s="14"/>
      <c r="H56" s="14"/>
      <c r="I56" s="14"/>
      <c r="J56" s="14"/>
      <c r="K56" s="12" t="str">
        <f>"0.00"</f>
        <v>0.00</v>
      </c>
      <c r="L56" s="13" t="str">
        <f>"0,0000"</f>
        <v>0,0000</v>
      </c>
      <c r="M56" s="12" t="s">
        <v>880</v>
      </c>
    </row>
    <row r="57" spans="1:13" x14ac:dyDescent="0.2">
      <c r="A57" s="12" t="s">
        <v>882</v>
      </c>
      <c r="B57" s="12" t="s">
        <v>883</v>
      </c>
      <c r="C57" s="12" t="s">
        <v>464</v>
      </c>
      <c r="D57" s="12" t="str">
        <f>"0,6395"</f>
        <v>0,6395</v>
      </c>
      <c r="E57" s="12" t="s">
        <v>18</v>
      </c>
      <c r="F57" s="12" t="s">
        <v>68</v>
      </c>
      <c r="G57" s="13" t="s">
        <v>69</v>
      </c>
      <c r="H57" s="13" t="s">
        <v>109</v>
      </c>
      <c r="I57" s="13" t="s">
        <v>452</v>
      </c>
      <c r="J57" s="14"/>
      <c r="K57" s="12" t="str">
        <f>"177,5"</f>
        <v>177,5</v>
      </c>
      <c r="L57" s="13" t="str">
        <f>"113,5113"</f>
        <v>113,5113</v>
      </c>
      <c r="M57" s="12" t="s">
        <v>884</v>
      </c>
    </row>
    <row r="58" spans="1:13" x14ac:dyDescent="0.2">
      <c r="A58" s="12" t="s">
        <v>886</v>
      </c>
      <c r="B58" s="12" t="s">
        <v>887</v>
      </c>
      <c r="C58" s="12" t="s">
        <v>888</v>
      </c>
      <c r="D58" s="12" t="str">
        <f>"0,6495"</f>
        <v>0,6495</v>
      </c>
      <c r="E58" s="12" t="s">
        <v>18</v>
      </c>
      <c r="F58" s="12" t="s">
        <v>889</v>
      </c>
      <c r="G58" s="14" t="s">
        <v>36</v>
      </c>
      <c r="H58" s="13" t="s">
        <v>36</v>
      </c>
      <c r="I58" s="13" t="s">
        <v>93</v>
      </c>
      <c r="J58" s="14"/>
      <c r="K58" s="12" t="str">
        <f>"155,0"</f>
        <v>155,0</v>
      </c>
      <c r="L58" s="13" t="str">
        <f>"100,6725"</f>
        <v>100,6725</v>
      </c>
      <c r="M58" s="12" t="s">
        <v>890</v>
      </c>
    </row>
    <row r="59" spans="1:13" x14ac:dyDescent="0.2">
      <c r="A59" s="12" t="s">
        <v>892</v>
      </c>
      <c r="B59" s="12" t="s">
        <v>893</v>
      </c>
      <c r="C59" s="12" t="s">
        <v>894</v>
      </c>
      <c r="D59" s="12" t="str">
        <f>"0,6479"</f>
        <v>0,6479</v>
      </c>
      <c r="E59" s="12" t="s">
        <v>18</v>
      </c>
      <c r="F59" s="12" t="s">
        <v>58</v>
      </c>
      <c r="G59" s="13" t="s">
        <v>33</v>
      </c>
      <c r="H59" s="14" t="s">
        <v>93</v>
      </c>
      <c r="I59" s="13" t="s">
        <v>93</v>
      </c>
      <c r="J59" s="14"/>
      <c r="K59" s="12" t="str">
        <f>"155,0"</f>
        <v>155,0</v>
      </c>
      <c r="L59" s="13" t="str">
        <f>"100,4245"</f>
        <v>100,4245</v>
      </c>
      <c r="M59" s="12" t="s">
        <v>895</v>
      </c>
    </row>
    <row r="60" spans="1:13" x14ac:dyDescent="0.2">
      <c r="A60" s="12" t="s">
        <v>897</v>
      </c>
      <c r="B60" s="12" t="s">
        <v>898</v>
      </c>
      <c r="C60" s="12" t="s">
        <v>899</v>
      </c>
      <c r="D60" s="12" t="str">
        <f>"0,6549"</f>
        <v>0,6549</v>
      </c>
      <c r="E60" s="12" t="s">
        <v>18</v>
      </c>
      <c r="F60" s="12" t="s">
        <v>68</v>
      </c>
      <c r="G60" s="14" t="s">
        <v>84</v>
      </c>
      <c r="H60" s="14" t="s">
        <v>84</v>
      </c>
      <c r="I60" s="13" t="s">
        <v>84</v>
      </c>
      <c r="J60" s="14"/>
      <c r="K60" s="12" t="str">
        <f>"145,0"</f>
        <v>145,0</v>
      </c>
      <c r="L60" s="13" t="str">
        <f>"94,9605"</f>
        <v>94,9605</v>
      </c>
      <c r="M60" s="12" t="s">
        <v>900</v>
      </c>
    </row>
    <row r="61" spans="1:13" x14ac:dyDescent="0.2">
      <c r="A61" s="12" t="s">
        <v>902</v>
      </c>
      <c r="B61" s="12" t="s">
        <v>903</v>
      </c>
      <c r="C61" s="12" t="s">
        <v>904</v>
      </c>
      <c r="D61" s="12" t="str">
        <f>"0,6436"</f>
        <v>0,6436</v>
      </c>
      <c r="E61" s="12" t="s">
        <v>18</v>
      </c>
      <c r="F61" s="12" t="s">
        <v>219</v>
      </c>
      <c r="G61" s="13" t="s">
        <v>191</v>
      </c>
      <c r="H61" s="14" t="s">
        <v>281</v>
      </c>
      <c r="I61" s="14" t="s">
        <v>281</v>
      </c>
      <c r="J61" s="14"/>
      <c r="K61" s="12" t="str">
        <f>"117,5"</f>
        <v>117,5</v>
      </c>
      <c r="L61" s="13" t="str">
        <f>"75,6230"</f>
        <v>75,6230</v>
      </c>
      <c r="M61" s="12" t="s">
        <v>756</v>
      </c>
    </row>
    <row r="62" spans="1:13" x14ac:dyDescent="0.2">
      <c r="A62" s="12" t="s">
        <v>906</v>
      </c>
      <c r="B62" s="12" t="s">
        <v>907</v>
      </c>
      <c r="C62" s="12" t="s">
        <v>875</v>
      </c>
      <c r="D62" s="12" t="str">
        <f>"0,6467"</f>
        <v>0,6467</v>
      </c>
      <c r="E62" s="12" t="s">
        <v>18</v>
      </c>
      <c r="F62" s="12" t="s">
        <v>68</v>
      </c>
      <c r="G62" s="13" t="s">
        <v>93</v>
      </c>
      <c r="H62" s="13" t="s">
        <v>37</v>
      </c>
      <c r="I62" s="13" t="s">
        <v>48</v>
      </c>
      <c r="J62" s="13" t="s">
        <v>72</v>
      </c>
      <c r="K62" s="12" t="str">
        <f>"162,5"</f>
        <v>162,5</v>
      </c>
      <c r="L62" s="13" t="str">
        <f>"122,4284"</f>
        <v>122,4284</v>
      </c>
      <c r="M62" s="12" t="s">
        <v>38</v>
      </c>
    </row>
    <row r="63" spans="1:13" x14ac:dyDescent="0.2">
      <c r="A63" s="12" t="s">
        <v>909</v>
      </c>
      <c r="B63" s="12" t="s">
        <v>910</v>
      </c>
      <c r="C63" s="12" t="s">
        <v>911</v>
      </c>
      <c r="D63" s="12" t="str">
        <f>"0,6459"</f>
        <v>0,6459</v>
      </c>
      <c r="E63" s="12" t="s">
        <v>18</v>
      </c>
      <c r="F63" s="12" t="s">
        <v>219</v>
      </c>
      <c r="G63" s="13" t="s">
        <v>84</v>
      </c>
      <c r="H63" s="13" t="s">
        <v>36</v>
      </c>
      <c r="I63" s="13" t="s">
        <v>93</v>
      </c>
      <c r="J63" s="14"/>
      <c r="K63" s="12" t="str">
        <f>"155,0"</f>
        <v>155,0</v>
      </c>
      <c r="L63" s="13" t="str">
        <f>"116,6334"</f>
        <v>116,6334</v>
      </c>
      <c r="M63" s="12" t="s">
        <v>177</v>
      </c>
    </row>
    <row r="64" spans="1:13" x14ac:dyDescent="0.2">
      <c r="A64" s="12" t="s">
        <v>913</v>
      </c>
      <c r="B64" s="12" t="s">
        <v>914</v>
      </c>
      <c r="C64" s="12" t="s">
        <v>915</v>
      </c>
      <c r="D64" s="12" t="str">
        <f>"0,6424"</f>
        <v>0,6424</v>
      </c>
      <c r="E64" s="12" t="s">
        <v>18</v>
      </c>
      <c r="F64" s="12" t="s">
        <v>19</v>
      </c>
      <c r="G64" s="13" t="s">
        <v>239</v>
      </c>
      <c r="H64" s="13" t="s">
        <v>36</v>
      </c>
      <c r="I64" s="13" t="s">
        <v>93</v>
      </c>
      <c r="J64" s="14"/>
      <c r="K64" s="12" t="str">
        <f>"155,0"</f>
        <v>155,0</v>
      </c>
      <c r="L64" s="13" t="str">
        <f>"133,4265"</f>
        <v>133,4265</v>
      </c>
      <c r="M64" s="12" t="s">
        <v>38</v>
      </c>
    </row>
    <row r="65" spans="1:13" x14ac:dyDescent="0.2">
      <c r="A65" s="15" t="s">
        <v>917</v>
      </c>
      <c r="B65" s="15" t="s">
        <v>918</v>
      </c>
      <c r="C65" s="15" t="s">
        <v>181</v>
      </c>
      <c r="D65" s="15" t="str">
        <f>"0,6398"</f>
        <v>0,6398</v>
      </c>
      <c r="E65" s="15" t="s">
        <v>18</v>
      </c>
      <c r="F65" s="15" t="s">
        <v>68</v>
      </c>
      <c r="G65" s="16" t="s">
        <v>191</v>
      </c>
      <c r="H65" s="17" t="s">
        <v>281</v>
      </c>
      <c r="I65" s="17" t="s">
        <v>281</v>
      </c>
      <c r="J65" s="17"/>
      <c r="K65" s="15" t="str">
        <f>"117,5"</f>
        <v>117,5</v>
      </c>
      <c r="L65" s="16" t="str">
        <f>"104,7209"</f>
        <v>104,7209</v>
      </c>
      <c r="M65" s="15" t="s">
        <v>919</v>
      </c>
    </row>
    <row r="67" spans="1:13" ht="15" x14ac:dyDescent="0.2">
      <c r="A67" s="46" t="s">
        <v>75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3" x14ac:dyDescent="0.2">
      <c r="A68" s="9" t="s">
        <v>921</v>
      </c>
      <c r="B68" s="9" t="s">
        <v>922</v>
      </c>
      <c r="C68" s="9" t="s">
        <v>923</v>
      </c>
      <c r="D68" s="9" t="str">
        <f>"0,6152"</f>
        <v>0,6152</v>
      </c>
      <c r="E68" s="9" t="s">
        <v>18</v>
      </c>
      <c r="F68" s="9" t="s">
        <v>58</v>
      </c>
      <c r="G68" s="10" t="s">
        <v>110</v>
      </c>
      <c r="H68" s="10" t="s">
        <v>61</v>
      </c>
      <c r="I68" s="11" t="s">
        <v>239</v>
      </c>
      <c r="J68" s="11"/>
      <c r="K68" s="9" t="str">
        <f>"130,0"</f>
        <v>130,0</v>
      </c>
      <c r="L68" s="10" t="str">
        <f>"79,9760"</f>
        <v>79,9760</v>
      </c>
      <c r="M68" s="9" t="s">
        <v>924</v>
      </c>
    </row>
    <row r="69" spans="1:13" x14ac:dyDescent="0.2">
      <c r="A69" s="12" t="s">
        <v>926</v>
      </c>
      <c r="B69" s="12" t="s">
        <v>927</v>
      </c>
      <c r="C69" s="12" t="s">
        <v>730</v>
      </c>
      <c r="D69" s="12" t="str">
        <f>"0,6163"</f>
        <v>0,6163</v>
      </c>
      <c r="E69" s="12" t="s">
        <v>18</v>
      </c>
      <c r="F69" s="12" t="s">
        <v>928</v>
      </c>
      <c r="G69" s="13" t="s">
        <v>188</v>
      </c>
      <c r="H69" s="13" t="s">
        <v>437</v>
      </c>
      <c r="I69" s="14" t="s">
        <v>70</v>
      </c>
      <c r="J69" s="14"/>
      <c r="K69" s="12" t="str">
        <f>"187,5"</f>
        <v>187,5</v>
      </c>
      <c r="L69" s="13" t="str">
        <f>"115,5562"</f>
        <v>115,5562</v>
      </c>
      <c r="M69" s="12" t="s">
        <v>38</v>
      </c>
    </row>
    <row r="70" spans="1:13" x14ac:dyDescent="0.2">
      <c r="A70" s="12" t="s">
        <v>929</v>
      </c>
      <c r="B70" s="12" t="s">
        <v>476</v>
      </c>
      <c r="C70" s="12" t="s">
        <v>477</v>
      </c>
      <c r="D70" s="12" t="str">
        <f>"0,6144"</f>
        <v>0,6144</v>
      </c>
      <c r="E70" s="12" t="s">
        <v>18</v>
      </c>
      <c r="F70" s="12" t="s">
        <v>68</v>
      </c>
      <c r="G70" s="13" t="s">
        <v>69</v>
      </c>
      <c r="H70" s="13" t="s">
        <v>188</v>
      </c>
      <c r="I70" s="14" t="s">
        <v>70</v>
      </c>
      <c r="J70" s="14"/>
      <c r="K70" s="12" t="str">
        <f>"180,0"</f>
        <v>180,0</v>
      </c>
      <c r="L70" s="13" t="str">
        <f>"110,5920"</f>
        <v>110,5920</v>
      </c>
      <c r="M70" s="12" t="s">
        <v>478</v>
      </c>
    </row>
    <row r="71" spans="1:13" x14ac:dyDescent="0.2">
      <c r="A71" s="12" t="s">
        <v>931</v>
      </c>
      <c r="B71" s="12" t="s">
        <v>932</v>
      </c>
      <c r="C71" s="12" t="s">
        <v>604</v>
      </c>
      <c r="D71" s="12" t="str">
        <f>"0,6136"</f>
        <v>0,6136</v>
      </c>
      <c r="E71" s="12" t="s">
        <v>18</v>
      </c>
      <c r="F71" s="12" t="s">
        <v>68</v>
      </c>
      <c r="G71" s="13" t="s">
        <v>34</v>
      </c>
      <c r="H71" s="13" t="s">
        <v>84</v>
      </c>
      <c r="I71" s="14" t="s">
        <v>36</v>
      </c>
      <c r="J71" s="14"/>
      <c r="K71" s="12" t="str">
        <f>"145,0"</f>
        <v>145,0</v>
      </c>
      <c r="L71" s="13" t="str">
        <f>"88,9720"</f>
        <v>88,9720</v>
      </c>
      <c r="M71" s="12" t="s">
        <v>933</v>
      </c>
    </row>
    <row r="72" spans="1:13" x14ac:dyDescent="0.2">
      <c r="A72" s="12" t="s">
        <v>935</v>
      </c>
      <c r="B72" s="12" t="s">
        <v>936</v>
      </c>
      <c r="C72" s="12" t="s">
        <v>937</v>
      </c>
      <c r="D72" s="12" t="str">
        <f>"0,6150"</f>
        <v>0,6150</v>
      </c>
      <c r="E72" s="12" t="s">
        <v>18</v>
      </c>
      <c r="F72" s="12" t="s">
        <v>382</v>
      </c>
      <c r="G72" s="13" t="s">
        <v>36</v>
      </c>
      <c r="H72" s="13" t="s">
        <v>47</v>
      </c>
      <c r="I72" s="13" t="s">
        <v>48</v>
      </c>
      <c r="J72" s="14"/>
      <c r="K72" s="12" t="str">
        <f>"162,5"</f>
        <v>162,5</v>
      </c>
      <c r="L72" s="13" t="str">
        <f>"103,0356"</f>
        <v>103,0356</v>
      </c>
      <c r="M72" s="12" t="s">
        <v>74</v>
      </c>
    </row>
    <row r="73" spans="1:13" x14ac:dyDescent="0.2">
      <c r="A73" s="12" t="s">
        <v>939</v>
      </c>
      <c r="B73" s="12" t="s">
        <v>940</v>
      </c>
      <c r="C73" s="12" t="s">
        <v>941</v>
      </c>
      <c r="D73" s="12" t="str">
        <f>"0,6093"</f>
        <v>0,6093</v>
      </c>
      <c r="E73" s="12" t="s">
        <v>18</v>
      </c>
      <c r="F73" s="12" t="s">
        <v>68</v>
      </c>
      <c r="G73" s="14" t="s">
        <v>36</v>
      </c>
      <c r="H73" s="13" t="s">
        <v>47</v>
      </c>
      <c r="I73" s="13" t="s">
        <v>37</v>
      </c>
      <c r="J73" s="14"/>
      <c r="K73" s="12" t="str">
        <f>"160,0"</f>
        <v>160,0</v>
      </c>
      <c r="L73" s="13" t="str">
        <f>"100,5101"</f>
        <v>100,5101</v>
      </c>
      <c r="M73" s="12" t="s">
        <v>38</v>
      </c>
    </row>
    <row r="74" spans="1:13" x14ac:dyDescent="0.2">
      <c r="A74" s="12" t="s">
        <v>943</v>
      </c>
      <c r="B74" s="12" t="s">
        <v>944</v>
      </c>
      <c r="C74" s="12" t="s">
        <v>628</v>
      </c>
      <c r="D74" s="12" t="str">
        <f>"0,6126"</f>
        <v>0,6126</v>
      </c>
      <c r="E74" s="12" t="s">
        <v>945</v>
      </c>
      <c r="F74" s="12" t="s">
        <v>946</v>
      </c>
      <c r="G74" s="13" t="s">
        <v>190</v>
      </c>
      <c r="H74" s="13" t="s">
        <v>110</v>
      </c>
      <c r="I74" s="13" t="s">
        <v>267</v>
      </c>
      <c r="J74" s="14"/>
      <c r="K74" s="12" t="str">
        <f>"122,5"</f>
        <v>122,5</v>
      </c>
      <c r="L74" s="13" t="str">
        <f>"78,2704"</f>
        <v>78,2704</v>
      </c>
      <c r="M74" s="12" t="s">
        <v>947</v>
      </c>
    </row>
    <row r="75" spans="1:13" x14ac:dyDescent="0.2">
      <c r="A75" s="15" t="s">
        <v>949</v>
      </c>
      <c r="B75" s="15" t="s">
        <v>950</v>
      </c>
      <c r="C75" s="15" t="s">
        <v>923</v>
      </c>
      <c r="D75" s="15" t="str">
        <f>"0,6152"</f>
        <v>0,6152</v>
      </c>
      <c r="E75" s="15" t="s">
        <v>18</v>
      </c>
      <c r="F75" s="15" t="s">
        <v>382</v>
      </c>
      <c r="G75" s="16" t="s">
        <v>34</v>
      </c>
      <c r="H75" s="16" t="s">
        <v>84</v>
      </c>
      <c r="I75" s="16" t="s">
        <v>36</v>
      </c>
      <c r="J75" s="17"/>
      <c r="K75" s="15" t="str">
        <f>"150,0"</f>
        <v>150,0</v>
      </c>
      <c r="L75" s="16" t="str">
        <f>"98,5550"</f>
        <v>98,5550</v>
      </c>
      <c r="M75" s="15" t="s">
        <v>951</v>
      </c>
    </row>
    <row r="77" spans="1:13" ht="15" x14ac:dyDescent="0.2">
      <c r="A77" s="46" t="s">
        <v>112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3" x14ac:dyDescent="0.2">
      <c r="A78" s="9" t="s">
        <v>953</v>
      </c>
      <c r="B78" s="9" t="s">
        <v>954</v>
      </c>
      <c r="C78" s="9" t="s">
        <v>955</v>
      </c>
      <c r="D78" s="9" t="str">
        <f>"0,5919"</f>
        <v>0,5919</v>
      </c>
      <c r="E78" s="9" t="s">
        <v>18</v>
      </c>
      <c r="F78" s="9" t="s">
        <v>68</v>
      </c>
      <c r="G78" s="10" t="s">
        <v>251</v>
      </c>
      <c r="H78" s="10" t="s">
        <v>363</v>
      </c>
      <c r="I78" s="10" t="s">
        <v>429</v>
      </c>
      <c r="J78" s="11"/>
      <c r="K78" s="9" t="str">
        <f>"112,5"</f>
        <v>112,5</v>
      </c>
      <c r="L78" s="10" t="str">
        <f>"66,5887"</f>
        <v>66,5887</v>
      </c>
      <c r="M78" s="9" t="s">
        <v>810</v>
      </c>
    </row>
    <row r="79" spans="1:13" x14ac:dyDescent="0.2">
      <c r="A79" s="12" t="s">
        <v>957</v>
      </c>
      <c r="B79" s="12" t="s">
        <v>958</v>
      </c>
      <c r="C79" s="12" t="s">
        <v>959</v>
      </c>
      <c r="D79" s="12" t="str">
        <f>"0,6030"</f>
        <v>0,6030</v>
      </c>
      <c r="E79" s="12" t="s">
        <v>18</v>
      </c>
      <c r="F79" s="12" t="s">
        <v>68</v>
      </c>
      <c r="G79" s="13" t="s">
        <v>69</v>
      </c>
      <c r="H79" s="14" t="s">
        <v>109</v>
      </c>
      <c r="I79" s="13" t="s">
        <v>109</v>
      </c>
      <c r="J79" s="14"/>
      <c r="K79" s="12" t="str">
        <f>"175,0"</f>
        <v>175,0</v>
      </c>
      <c r="L79" s="13" t="str">
        <f>"105,5250"</f>
        <v>105,5250</v>
      </c>
      <c r="M79" s="12" t="s">
        <v>960</v>
      </c>
    </row>
    <row r="80" spans="1:13" x14ac:dyDescent="0.2">
      <c r="A80" s="12" t="s">
        <v>962</v>
      </c>
      <c r="B80" s="12" t="s">
        <v>963</v>
      </c>
      <c r="C80" s="12" t="s">
        <v>964</v>
      </c>
      <c r="D80" s="12" t="str">
        <f>"0,5954"</f>
        <v>0,5954</v>
      </c>
      <c r="E80" s="12" t="s">
        <v>18</v>
      </c>
      <c r="F80" s="12" t="s">
        <v>68</v>
      </c>
      <c r="G80" s="14" t="s">
        <v>110</v>
      </c>
      <c r="H80" s="13" t="s">
        <v>110</v>
      </c>
      <c r="I80" s="14" t="s">
        <v>281</v>
      </c>
      <c r="J80" s="14"/>
      <c r="K80" s="12" t="str">
        <f>"120,0"</f>
        <v>120,0</v>
      </c>
      <c r="L80" s="13" t="str">
        <f>"71,4480"</f>
        <v>71,4480</v>
      </c>
      <c r="M80" s="12" t="s">
        <v>965</v>
      </c>
    </row>
    <row r="81" spans="1:13" x14ac:dyDescent="0.2">
      <c r="A81" s="12" t="s">
        <v>967</v>
      </c>
      <c r="B81" s="12" t="s">
        <v>968</v>
      </c>
      <c r="C81" s="12" t="s">
        <v>969</v>
      </c>
      <c r="D81" s="12" t="str">
        <f>"0,6000"</f>
        <v>0,6000</v>
      </c>
      <c r="E81" s="12" t="s">
        <v>18</v>
      </c>
      <c r="F81" s="12" t="s">
        <v>970</v>
      </c>
      <c r="G81" s="13" t="s">
        <v>69</v>
      </c>
      <c r="H81" s="13" t="s">
        <v>109</v>
      </c>
      <c r="I81" s="14" t="s">
        <v>188</v>
      </c>
      <c r="J81" s="14"/>
      <c r="K81" s="12" t="str">
        <f>"175,0"</f>
        <v>175,0</v>
      </c>
      <c r="L81" s="13" t="str">
        <f>"109,5150"</f>
        <v>109,5150</v>
      </c>
      <c r="M81" s="12" t="s">
        <v>971</v>
      </c>
    </row>
    <row r="82" spans="1:13" x14ac:dyDescent="0.2">
      <c r="A82" s="12" t="s">
        <v>973</v>
      </c>
      <c r="B82" s="12" t="s">
        <v>974</v>
      </c>
      <c r="C82" s="12" t="s">
        <v>975</v>
      </c>
      <c r="D82" s="12" t="str">
        <f>"0,5921"</f>
        <v>0,5921</v>
      </c>
      <c r="E82" s="12" t="s">
        <v>18</v>
      </c>
      <c r="F82" s="12" t="s">
        <v>68</v>
      </c>
      <c r="G82" s="13" t="s">
        <v>976</v>
      </c>
      <c r="H82" s="13" t="s">
        <v>47</v>
      </c>
      <c r="I82" s="13" t="s">
        <v>48</v>
      </c>
      <c r="J82" s="14"/>
      <c r="K82" s="12" t="str">
        <f>"162,5"</f>
        <v>162,5</v>
      </c>
      <c r="L82" s="13" t="str">
        <f>"100,3536"</f>
        <v>100,3536</v>
      </c>
      <c r="M82" s="12" t="s">
        <v>977</v>
      </c>
    </row>
    <row r="83" spans="1:13" x14ac:dyDescent="0.2">
      <c r="A83" s="12" t="s">
        <v>979</v>
      </c>
      <c r="B83" s="12" t="s">
        <v>672</v>
      </c>
      <c r="C83" s="12" t="s">
        <v>980</v>
      </c>
      <c r="D83" s="12" t="str">
        <f>"0,5923"</f>
        <v>0,5923</v>
      </c>
      <c r="E83" s="12" t="s">
        <v>18</v>
      </c>
      <c r="F83" s="12" t="s">
        <v>68</v>
      </c>
      <c r="G83" s="13" t="s">
        <v>36</v>
      </c>
      <c r="H83" s="13" t="s">
        <v>93</v>
      </c>
      <c r="I83" s="14" t="s">
        <v>47</v>
      </c>
      <c r="J83" s="14"/>
      <c r="K83" s="12" t="str">
        <f>"155,0"</f>
        <v>155,0</v>
      </c>
      <c r="L83" s="13" t="str">
        <f>"96,8559"</f>
        <v>96,8559</v>
      </c>
      <c r="M83" s="12" t="s">
        <v>981</v>
      </c>
    </row>
    <row r="84" spans="1:13" x14ac:dyDescent="0.2">
      <c r="A84" s="12" t="s">
        <v>982</v>
      </c>
      <c r="B84" s="12" t="s">
        <v>983</v>
      </c>
      <c r="C84" s="12" t="s">
        <v>984</v>
      </c>
      <c r="D84" s="12" t="str">
        <f>"0,5902"</f>
        <v>0,5902</v>
      </c>
      <c r="E84" s="12" t="s">
        <v>18</v>
      </c>
      <c r="F84" s="12" t="s">
        <v>985</v>
      </c>
      <c r="G84" s="14"/>
      <c r="H84" s="14"/>
      <c r="I84" s="14"/>
      <c r="J84" s="14"/>
      <c r="K84" s="12" t="str">
        <f>"0.00"</f>
        <v>0.00</v>
      </c>
      <c r="L84" s="13" t="str">
        <f>"0,0000"</f>
        <v>0,0000</v>
      </c>
      <c r="M84" s="12" t="s">
        <v>986</v>
      </c>
    </row>
    <row r="85" spans="1:13" x14ac:dyDescent="0.2">
      <c r="A85" s="12" t="s">
        <v>988</v>
      </c>
      <c r="B85" s="12" t="s">
        <v>989</v>
      </c>
      <c r="C85" s="12" t="s">
        <v>984</v>
      </c>
      <c r="D85" s="12" t="str">
        <f>"0,5902"</f>
        <v>0,5902</v>
      </c>
      <c r="E85" s="12" t="s">
        <v>18</v>
      </c>
      <c r="F85" s="12" t="s">
        <v>219</v>
      </c>
      <c r="G85" s="14" t="s">
        <v>69</v>
      </c>
      <c r="H85" s="13" t="s">
        <v>69</v>
      </c>
      <c r="I85" s="14" t="s">
        <v>182</v>
      </c>
      <c r="J85" s="14"/>
      <c r="K85" s="12" t="str">
        <f>"170,0"</f>
        <v>170,0</v>
      </c>
      <c r="L85" s="13" t="str">
        <f>"113,3774"</f>
        <v>113,3774</v>
      </c>
      <c r="M85" s="12" t="s">
        <v>786</v>
      </c>
    </row>
    <row r="86" spans="1:13" x14ac:dyDescent="0.2">
      <c r="A86" s="12" t="s">
        <v>991</v>
      </c>
      <c r="B86" s="12" t="s">
        <v>992</v>
      </c>
      <c r="C86" s="12" t="s">
        <v>993</v>
      </c>
      <c r="D86" s="12" t="str">
        <f>"0,5903"</f>
        <v>0,5903</v>
      </c>
      <c r="E86" s="12" t="s">
        <v>18</v>
      </c>
      <c r="F86" s="12" t="s">
        <v>68</v>
      </c>
      <c r="G86" s="13" t="s">
        <v>37</v>
      </c>
      <c r="H86" s="13" t="s">
        <v>72</v>
      </c>
      <c r="I86" s="14" t="s">
        <v>69</v>
      </c>
      <c r="J86" s="14"/>
      <c r="K86" s="12" t="str">
        <f>"165,0"</f>
        <v>165,0</v>
      </c>
      <c r="L86" s="13" t="str">
        <f>"110,0614"</f>
        <v>110,0614</v>
      </c>
      <c r="M86" s="12" t="s">
        <v>38</v>
      </c>
    </row>
    <row r="87" spans="1:13" x14ac:dyDescent="0.2">
      <c r="A87" s="12" t="s">
        <v>995</v>
      </c>
      <c r="B87" s="12" t="s">
        <v>996</v>
      </c>
      <c r="C87" s="12" t="s">
        <v>997</v>
      </c>
      <c r="D87" s="12" t="str">
        <f>"0,5972"</f>
        <v>0,5972</v>
      </c>
      <c r="E87" s="12" t="s">
        <v>18</v>
      </c>
      <c r="F87" s="12" t="s">
        <v>442</v>
      </c>
      <c r="G87" s="13" t="s">
        <v>61</v>
      </c>
      <c r="H87" s="13" t="s">
        <v>33</v>
      </c>
      <c r="I87" s="13" t="s">
        <v>34</v>
      </c>
      <c r="J87" s="14"/>
      <c r="K87" s="12" t="str">
        <f>"140,0"</f>
        <v>140,0</v>
      </c>
      <c r="L87" s="13" t="str">
        <f>"104,1756"</f>
        <v>104,1756</v>
      </c>
      <c r="M87" s="12" t="s">
        <v>74</v>
      </c>
    </row>
    <row r="88" spans="1:13" x14ac:dyDescent="0.2">
      <c r="A88" s="15" t="s">
        <v>999</v>
      </c>
      <c r="B88" s="15" t="s">
        <v>1000</v>
      </c>
      <c r="C88" s="15" t="s">
        <v>1001</v>
      </c>
      <c r="D88" s="15" t="str">
        <f>"0,5932"</f>
        <v>0,5932</v>
      </c>
      <c r="E88" s="15" t="s">
        <v>18</v>
      </c>
      <c r="F88" s="15" t="s">
        <v>1002</v>
      </c>
      <c r="G88" s="16" t="s">
        <v>61</v>
      </c>
      <c r="H88" s="16" t="s">
        <v>829</v>
      </c>
      <c r="I88" s="16" t="s">
        <v>239</v>
      </c>
      <c r="J88" s="17"/>
      <c r="K88" s="15" t="str">
        <f>"142,5"</f>
        <v>142,5</v>
      </c>
      <c r="L88" s="16" t="str">
        <f>"113,2715"</f>
        <v>113,2715</v>
      </c>
      <c r="M88" s="15" t="s">
        <v>1003</v>
      </c>
    </row>
    <row r="90" spans="1:13" ht="15" x14ac:dyDescent="0.2">
      <c r="A90" s="46" t="s">
        <v>214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3" x14ac:dyDescent="0.2">
      <c r="A91" s="9" t="s">
        <v>1005</v>
      </c>
      <c r="B91" s="9" t="s">
        <v>1006</v>
      </c>
      <c r="C91" s="9" t="s">
        <v>1007</v>
      </c>
      <c r="D91" s="9" t="str">
        <f>"0,5715"</f>
        <v>0,5715</v>
      </c>
      <c r="E91" s="9" t="s">
        <v>18</v>
      </c>
      <c r="F91" s="9" t="s">
        <v>1008</v>
      </c>
      <c r="G91" s="11" t="s">
        <v>34</v>
      </c>
      <c r="H91" s="11" t="s">
        <v>62</v>
      </c>
      <c r="I91" s="10" t="s">
        <v>62</v>
      </c>
      <c r="J91" s="11"/>
      <c r="K91" s="9" t="str">
        <f>"147,5"</f>
        <v>147,5</v>
      </c>
      <c r="L91" s="10" t="str">
        <f>"84,2963"</f>
        <v>84,2963</v>
      </c>
      <c r="M91" s="9" t="s">
        <v>1009</v>
      </c>
    </row>
    <row r="92" spans="1:13" x14ac:dyDescent="0.2">
      <c r="A92" s="15" t="s">
        <v>1011</v>
      </c>
      <c r="B92" s="15" t="s">
        <v>1012</v>
      </c>
      <c r="C92" s="15" t="s">
        <v>1013</v>
      </c>
      <c r="D92" s="15" t="str">
        <f>"0,5719"</f>
        <v>0,5719</v>
      </c>
      <c r="E92" s="15" t="s">
        <v>18</v>
      </c>
      <c r="F92" s="15" t="s">
        <v>68</v>
      </c>
      <c r="G92" s="16" t="s">
        <v>182</v>
      </c>
      <c r="H92" s="16" t="s">
        <v>452</v>
      </c>
      <c r="I92" s="16" t="s">
        <v>188</v>
      </c>
      <c r="J92" s="17"/>
      <c r="K92" s="15" t="str">
        <f>"180,0"</f>
        <v>180,0</v>
      </c>
      <c r="L92" s="16" t="str">
        <f>"126,1040"</f>
        <v>126,1040</v>
      </c>
      <c r="M92" s="15" t="s">
        <v>38</v>
      </c>
    </row>
    <row r="94" spans="1:13" ht="15" x14ac:dyDescent="0.2">
      <c r="A94" s="46" t="s">
        <v>319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3" x14ac:dyDescent="0.2">
      <c r="A95" s="6" t="s">
        <v>1015</v>
      </c>
      <c r="B95" s="6" t="s">
        <v>1016</v>
      </c>
      <c r="C95" s="6" t="s">
        <v>1017</v>
      </c>
      <c r="D95" s="6" t="str">
        <f>"0,5669"</f>
        <v>0,5669</v>
      </c>
      <c r="E95" s="6" t="s">
        <v>18</v>
      </c>
      <c r="F95" s="6" t="s">
        <v>68</v>
      </c>
      <c r="G95" s="7" t="s">
        <v>596</v>
      </c>
      <c r="H95" s="7" t="s">
        <v>70</v>
      </c>
      <c r="I95" s="8" t="s">
        <v>45</v>
      </c>
      <c r="J95" s="8"/>
      <c r="K95" s="6" t="str">
        <f>"190,0"</f>
        <v>190,0</v>
      </c>
      <c r="L95" s="7" t="str">
        <f>"109,8652"</f>
        <v>109,8652</v>
      </c>
      <c r="M95" s="6" t="s">
        <v>1018</v>
      </c>
    </row>
    <row r="97" spans="1:5" ht="15" x14ac:dyDescent="0.2">
      <c r="E97" s="18" t="s">
        <v>119</v>
      </c>
    </row>
    <row r="98" spans="1:5" ht="15" x14ac:dyDescent="0.2">
      <c r="E98" s="18" t="s">
        <v>120</v>
      </c>
    </row>
    <row r="99" spans="1:5" ht="15" x14ac:dyDescent="0.2">
      <c r="E99" s="18" t="s">
        <v>121</v>
      </c>
    </row>
    <row r="100" spans="1:5" ht="15" x14ac:dyDescent="0.2">
      <c r="E100" s="18" t="s">
        <v>122</v>
      </c>
    </row>
    <row r="101" spans="1:5" ht="15" x14ac:dyDescent="0.2">
      <c r="E101" s="18" t="s">
        <v>122</v>
      </c>
    </row>
    <row r="102" spans="1:5" ht="15" x14ac:dyDescent="0.2">
      <c r="E102" s="18" t="s">
        <v>123</v>
      </c>
    </row>
    <row r="103" spans="1:5" ht="15" x14ac:dyDescent="0.2">
      <c r="E103" s="18"/>
    </row>
    <row r="105" spans="1:5" ht="18" x14ac:dyDescent="0.25">
      <c r="A105" s="19" t="s">
        <v>124</v>
      </c>
      <c r="B105" s="19"/>
    </row>
    <row r="106" spans="1:5" ht="15" x14ac:dyDescent="0.2">
      <c r="A106" s="20" t="s">
        <v>125</v>
      </c>
      <c r="B106" s="20"/>
    </row>
    <row r="107" spans="1:5" ht="14.25" x14ac:dyDescent="0.2">
      <c r="A107" s="22"/>
      <c r="B107" s="23" t="s">
        <v>498</v>
      </c>
    </row>
    <row r="108" spans="1:5" ht="15" x14ac:dyDescent="0.2">
      <c r="A108" s="24" t="s">
        <v>127</v>
      </c>
      <c r="B108" s="24" t="s">
        <v>128</v>
      </c>
      <c r="C108" s="24" t="s">
        <v>129</v>
      </c>
      <c r="D108" s="24" t="s">
        <v>130</v>
      </c>
      <c r="E108" s="24" t="s">
        <v>131</v>
      </c>
    </row>
    <row r="109" spans="1:5" x14ac:dyDescent="0.2">
      <c r="A109" s="21" t="s">
        <v>791</v>
      </c>
      <c r="B109" s="4" t="s">
        <v>499</v>
      </c>
      <c r="C109" s="4" t="s">
        <v>336</v>
      </c>
      <c r="D109" s="4" t="s">
        <v>253</v>
      </c>
      <c r="E109" s="25" t="s">
        <v>1019</v>
      </c>
    </row>
    <row r="110" spans="1:5" x14ac:dyDescent="0.2">
      <c r="A110" s="21" t="s">
        <v>735</v>
      </c>
      <c r="B110" s="4" t="s">
        <v>499</v>
      </c>
      <c r="C110" s="4" t="s">
        <v>501</v>
      </c>
      <c r="D110" s="4" t="s">
        <v>741</v>
      </c>
      <c r="E110" s="25" t="s">
        <v>1020</v>
      </c>
    </row>
    <row r="112" spans="1:5" ht="14.25" x14ac:dyDescent="0.2">
      <c r="A112" s="22"/>
      <c r="B112" s="23" t="s">
        <v>126</v>
      </c>
    </row>
    <row r="113" spans="1:5" ht="15" x14ac:dyDescent="0.2">
      <c r="A113" s="24" t="s">
        <v>127</v>
      </c>
      <c r="B113" s="24" t="s">
        <v>128</v>
      </c>
      <c r="C113" s="24" t="s">
        <v>129</v>
      </c>
      <c r="D113" s="24" t="s">
        <v>130</v>
      </c>
      <c r="E113" s="24" t="s">
        <v>131</v>
      </c>
    </row>
    <row r="114" spans="1:5" x14ac:dyDescent="0.2">
      <c r="A114" s="21" t="s">
        <v>757</v>
      </c>
      <c r="B114" s="4" t="s">
        <v>132</v>
      </c>
      <c r="C114" s="4" t="s">
        <v>331</v>
      </c>
      <c r="D114" s="4" t="s">
        <v>253</v>
      </c>
      <c r="E114" s="25" t="s">
        <v>1021</v>
      </c>
    </row>
    <row r="115" spans="1:5" x14ac:dyDescent="0.2">
      <c r="A115" s="21" t="s">
        <v>763</v>
      </c>
      <c r="B115" s="4" t="s">
        <v>132</v>
      </c>
      <c r="C115" s="4" t="s">
        <v>331</v>
      </c>
      <c r="D115" s="4" t="s">
        <v>561</v>
      </c>
      <c r="E115" s="25" t="s">
        <v>1022</v>
      </c>
    </row>
    <row r="117" spans="1:5" ht="14.25" x14ac:dyDescent="0.2">
      <c r="A117" s="22"/>
      <c r="B117" s="23" t="s">
        <v>144</v>
      </c>
    </row>
    <row r="118" spans="1:5" ht="15" x14ac:dyDescent="0.2">
      <c r="A118" s="24" t="s">
        <v>127</v>
      </c>
      <c r="B118" s="24" t="s">
        <v>128</v>
      </c>
      <c r="C118" s="24" t="s">
        <v>129</v>
      </c>
      <c r="D118" s="24" t="s">
        <v>130</v>
      </c>
      <c r="E118" s="24" t="s">
        <v>131</v>
      </c>
    </row>
    <row r="119" spans="1:5" x14ac:dyDescent="0.2">
      <c r="A119" s="21" t="s">
        <v>767</v>
      </c>
      <c r="B119" s="4" t="s">
        <v>144</v>
      </c>
      <c r="C119" s="4" t="s">
        <v>331</v>
      </c>
      <c r="D119" s="4" t="s">
        <v>242</v>
      </c>
      <c r="E119" s="25" t="s">
        <v>1023</v>
      </c>
    </row>
    <row r="120" spans="1:5" x14ac:dyDescent="0.2">
      <c r="A120" s="21" t="s">
        <v>742</v>
      </c>
      <c r="B120" s="4" t="s">
        <v>144</v>
      </c>
      <c r="C120" s="4" t="s">
        <v>501</v>
      </c>
      <c r="D120" s="4" t="s">
        <v>253</v>
      </c>
      <c r="E120" s="25" t="s">
        <v>1024</v>
      </c>
    </row>
    <row r="121" spans="1:5" x14ac:dyDescent="0.2">
      <c r="A121" s="21" t="s">
        <v>782</v>
      </c>
      <c r="B121" s="4" t="s">
        <v>144</v>
      </c>
      <c r="C121" s="4" t="s">
        <v>503</v>
      </c>
      <c r="D121" s="4" t="s">
        <v>268</v>
      </c>
      <c r="E121" s="25" t="s">
        <v>1025</v>
      </c>
    </row>
    <row r="122" spans="1:5" x14ac:dyDescent="0.2">
      <c r="A122" s="21" t="s">
        <v>797</v>
      </c>
      <c r="B122" s="4" t="s">
        <v>144</v>
      </c>
      <c r="C122" s="4" t="s">
        <v>336</v>
      </c>
      <c r="D122" s="4" t="s">
        <v>268</v>
      </c>
      <c r="E122" s="25" t="s">
        <v>1026</v>
      </c>
    </row>
    <row r="123" spans="1:5" x14ac:dyDescent="0.2">
      <c r="A123" s="21" t="s">
        <v>752</v>
      </c>
      <c r="B123" s="4" t="s">
        <v>144</v>
      </c>
      <c r="C123" s="4" t="s">
        <v>133</v>
      </c>
      <c r="D123" s="4" t="s">
        <v>392</v>
      </c>
      <c r="E123" s="25" t="s">
        <v>1027</v>
      </c>
    </row>
    <row r="124" spans="1:5" x14ac:dyDescent="0.2">
      <c r="A124" s="21" t="s">
        <v>747</v>
      </c>
      <c r="B124" s="4" t="s">
        <v>144</v>
      </c>
      <c r="C124" s="4" t="s">
        <v>501</v>
      </c>
      <c r="D124" s="4" t="s">
        <v>360</v>
      </c>
      <c r="E124" s="25" t="s">
        <v>1028</v>
      </c>
    </row>
    <row r="125" spans="1:5" x14ac:dyDescent="0.2">
      <c r="A125" s="21" t="s">
        <v>787</v>
      </c>
      <c r="B125" s="4" t="s">
        <v>144</v>
      </c>
      <c r="C125" s="4" t="s">
        <v>327</v>
      </c>
      <c r="D125" s="4" t="s">
        <v>392</v>
      </c>
      <c r="E125" s="25" t="s">
        <v>1029</v>
      </c>
    </row>
    <row r="126" spans="1:5" x14ac:dyDescent="0.2">
      <c r="A126" s="21" t="s">
        <v>771</v>
      </c>
      <c r="B126" s="4" t="s">
        <v>144</v>
      </c>
      <c r="C126" s="4" t="s">
        <v>331</v>
      </c>
      <c r="D126" s="4" t="s">
        <v>561</v>
      </c>
      <c r="E126" s="25" t="s">
        <v>1030</v>
      </c>
    </row>
    <row r="128" spans="1:5" ht="14.25" x14ac:dyDescent="0.2">
      <c r="A128" s="22"/>
      <c r="B128" s="23" t="s">
        <v>159</v>
      </c>
    </row>
    <row r="129" spans="1:5" ht="15" x14ac:dyDescent="0.2">
      <c r="A129" s="24" t="s">
        <v>127</v>
      </c>
      <c r="B129" s="24" t="s">
        <v>128</v>
      </c>
      <c r="C129" s="24" t="s">
        <v>129</v>
      </c>
      <c r="D129" s="24" t="s">
        <v>130</v>
      </c>
      <c r="E129" s="24" t="s">
        <v>131</v>
      </c>
    </row>
    <row r="130" spans="1:5" x14ac:dyDescent="0.2">
      <c r="A130" s="21" t="s">
        <v>771</v>
      </c>
      <c r="B130" s="4" t="s">
        <v>160</v>
      </c>
      <c r="C130" s="4" t="s">
        <v>331</v>
      </c>
      <c r="D130" s="4" t="s">
        <v>561</v>
      </c>
      <c r="E130" s="25" t="s">
        <v>1030</v>
      </c>
    </row>
    <row r="133" spans="1:5" ht="15" x14ac:dyDescent="0.2">
      <c r="A133" s="20" t="s">
        <v>136</v>
      </c>
      <c r="B133" s="20"/>
    </row>
    <row r="134" spans="1:5" ht="14.25" x14ac:dyDescent="0.2">
      <c r="A134" s="22"/>
      <c r="B134" s="23" t="s">
        <v>512</v>
      </c>
    </row>
    <row r="135" spans="1:5" ht="15" x14ac:dyDescent="0.2">
      <c r="A135" s="24" t="s">
        <v>127</v>
      </c>
      <c r="B135" s="24" t="s">
        <v>128</v>
      </c>
      <c r="C135" s="24" t="s">
        <v>129</v>
      </c>
      <c r="D135" s="24" t="s">
        <v>130</v>
      </c>
      <c r="E135" s="24" t="s">
        <v>131</v>
      </c>
    </row>
    <row r="136" spans="1:5" x14ac:dyDescent="0.2">
      <c r="A136" s="21" t="s">
        <v>806</v>
      </c>
      <c r="B136" s="4" t="s">
        <v>499</v>
      </c>
      <c r="C136" s="4" t="s">
        <v>336</v>
      </c>
      <c r="D136" s="4" t="s">
        <v>429</v>
      </c>
      <c r="E136" s="25" t="s">
        <v>1031</v>
      </c>
    </row>
    <row r="137" spans="1:5" x14ac:dyDescent="0.2">
      <c r="A137" s="21" t="s">
        <v>811</v>
      </c>
      <c r="B137" s="4" t="s">
        <v>499</v>
      </c>
      <c r="C137" s="4" t="s">
        <v>336</v>
      </c>
      <c r="D137" s="4" t="s">
        <v>363</v>
      </c>
      <c r="E137" s="25" t="s">
        <v>1032</v>
      </c>
    </row>
    <row r="138" spans="1:5" x14ac:dyDescent="0.2">
      <c r="A138" s="21" t="s">
        <v>952</v>
      </c>
      <c r="B138" s="4" t="s">
        <v>499</v>
      </c>
      <c r="C138" s="4" t="s">
        <v>151</v>
      </c>
      <c r="D138" s="4" t="s">
        <v>429</v>
      </c>
      <c r="E138" s="25" t="s">
        <v>1033</v>
      </c>
    </row>
    <row r="139" spans="1:5" x14ac:dyDescent="0.2">
      <c r="A139" s="21" t="s">
        <v>816</v>
      </c>
      <c r="B139" s="4" t="s">
        <v>499</v>
      </c>
      <c r="C139" s="4" t="s">
        <v>336</v>
      </c>
      <c r="D139" s="4" t="s">
        <v>20</v>
      </c>
      <c r="E139" s="25" t="s">
        <v>1034</v>
      </c>
    </row>
    <row r="141" spans="1:5" ht="14.25" x14ac:dyDescent="0.2">
      <c r="A141" s="22"/>
      <c r="B141" s="23" t="s">
        <v>137</v>
      </c>
    </row>
    <row r="142" spans="1:5" ht="15" x14ac:dyDescent="0.2">
      <c r="A142" s="24" t="s">
        <v>127</v>
      </c>
      <c r="B142" s="24" t="s">
        <v>128</v>
      </c>
      <c r="C142" s="24" t="s">
        <v>129</v>
      </c>
      <c r="D142" s="24" t="s">
        <v>130</v>
      </c>
      <c r="E142" s="24" t="s">
        <v>131</v>
      </c>
    </row>
    <row r="143" spans="1:5" x14ac:dyDescent="0.2">
      <c r="A143" s="21" t="s">
        <v>872</v>
      </c>
      <c r="B143" s="4" t="s">
        <v>132</v>
      </c>
      <c r="C143" s="4" t="s">
        <v>141</v>
      </c>
      <c r="D143" s="4" t="s">
        <v>36</v>
      </c>
      <c r="E143" s="25" t="s">
        <v>1035</v>
      </c>
    </row>
    <row r="144" spans="1:5" x14ac:dyDescent="0.2">
      <c r="A144" s="21" t="s">
        <v>820</v>
      </c>
      <c r="B144" s="4" t="s">
        <v>132</v>
      </c>
      <c r="C144" s="4" t="s">
        <v>336</v>
      </c>
      <c r="D144" s="4" t="s">
        <v>267</v>
      </c>
      <c r="E144" s="25" t="s">
        <v>1036</v>
      </c>
    </row>
    <row r="145" spans="1:5" x14ac:dyDescent="0.2">
      <c r="A145" s="21" t="s">
        <v>920</v>
      </c>
      <c r="B145" s="4" t="s">
        <v>132</v>
      </c>
      <c r="C145" s="4" t="s">
        <v>138</v>
      </c>
      <c r="D145" s="4" t="s">
        <v>61</v>
      </c>
      <c r="E145" s="25" t="s">
        <v>1037</v>
      </c>
    </row>
    <row r="146" spans="1:5" x14ac:dyDescent="0.2">
      <c r="A146" s="21" t="s">
        <v>840</v>
      </c>
      <c r="B146" s="4" t="s">
        <v>132</v>
      </c>
      <c r="C146" s="4" t="s">
        <v>156</v>
      </c>
      <c r="D146" s="4" t="s">
        <v>190</v>
      </c>
      <c r="E146" s="25" t="s">
        <v>1038</v>
      </c>
    </row>
    <row r="148" spans="1:5" ht="14.25" x14ac:dyDescent="0.2">
      <c r="A148" s="22"/>
      <c r="B148" s="23" t="s">
        <v>144</v>
      </c>
    </row>
    <row r="149" spans="1:5" ht="15" x14ac:dyDescent="0.2">
      <c r="A149" s="24" t="s">
        <v>127</v>
      </c>
      <c r="B149" s="24" t="s">
        <v>128</v>
      </c>
      <c r="C149" s="24" t="s">
        <v>129</v>
      </c>
      <c r="D149" s="24" t="s">
        <v>130</v>
      </c>
      <c r="E149" s="24" t="s">
        <v>131</v>
      </c>
    </row>
    <row r="150" spans="1:5" x14ac:dyDescent="0.2">
      <c r="A150" s="21" t="s">
        <v>432</v>
      </c>
      <c r="B150" s="4" t="s">
        <v>144</v>
      </c>
      <c r="C150" s="4" t="s">
        <v>156</v>
      </c>
      <c r="D150" s="4" t="s">
        <v>188</v>
      </c>
      <c r="E150" s="25" t="s">
        <v>1039</v>
      </c>
    </row>
    <row r="151" spans="1:5" x14ac:dyDescent="0.2">
      <c r="A151" s="21" t="s">
        <v>845</v>
      </c>
      <c r="B151" s="4" t="s">
        <v>144</v>
      </c>
      <c r="C151" s="4" t="s">
        <v>156</v>
      </c>
      <c r="D151" s="4" t="s">
        <v>182</v>
      </c>
      <c r="E151" s="25" t="s">
        <v>1040</v>
      </c>
    </row>
    <row r="152" spans="1:5" x14ac:dyDescent="0.2">
      <c r="A152" s="21" t="s">
        <v>925</v>
      </c>
      <c r="B152" s="4" t="s">
        <v>144</v>
      </c>
      <c r="C152" s="4" t="s">
        <v>138</v>
      </c>
      <c r="D152" s="4" t="s">
        <v>437</v>
      </c>
      <c r="E152" s="25" t="s">
        <v>1041</v>
      </c>
    </row>
    <row r="153" spans="1:5" x14ac:dyDescent="0.2">
      <c r="A153" s="21" t="s">
        <v>881</v>
      </c>
      <c r="B153" s="4" t="s">
        <v>144</v>
      </c>
      <c r="C153" s="4" t="s">
        <v>141</v>
      </c>
      <c r="D153" s="4" t="s">
        <v>452</v>
      </c>
      <c r="E153" s="25" t="s">
        <v>1042</v>
      </c>
    </row>
    <row r="154" spans="1:5" x14ac:dyDescent="0.2">
      <c r="A154" s="21" t="s">
        <v>474</v>
      </c>
      <c r="B154" s="4" t="s">
        <v>144</v>
      </c>
      <c r="C154" s="4" t="s">
        <v>138</v>
      </c>
      <c r="D154" s="4" t="s">
        <v>188</v>
      </c>
      <c r="E154" s="25" t="s">
        <v>1043</v>
      </c>
    </row>
    <row r="155" spans="1:5" x14ac:dyDescent="0.2">
      <c r="A155" s="21" t="s">
        <v>956</v>
      </c>
      <c r="B155" s="4" t="s">
        <v>144</v>
      </c>
      <c r="C155" s="4" t="s">
        <v>151</v>
      </c>
      <c r="D155" s="4" t="s">
        <v>109</v>
      </c>
      <c r="E155" s="25" t="s">
        <v>1044</v>
      </c>
    </row>
    <row r="156" spans="1:5" x14ac:dyDescent="0.2">
      <c r="A156" s="21" t="s">
        <v>885</v>
      </c>
      <c r="B156" s="4" t="s">
        <v>144</v>
      </c>
      <c r="C156" s="4" t="s">
        <v>141</v>
      </c>
      <c r="D156" s="4" t="s">
        <v>93</v>
      </c>
      <c r="E156" s="25" t="s">
        <v>1045</v>
      </c>
    </row>
    <row r="157" spans="1:5" x14ac:dyDescent="0.2">
      <c r="A157" s="21" t="s">
        <v>891</v>
      </c>
      <c r="B157" s="4" t="s">
        <v>144</v>
      </c>
      <c r="C157" s="4" t="s">
        <v>141</v>
      </c>
      <c r="D157" s="4" t="s">
        <v>93</v>
      </c>
      <c r="E157" s="25" t="s">
        <v>1046</v>
      </c>
    </row>
    <row r="158" spans="1:5" x14ac:dyDescent="0.2">
      <c r="A158" s="21" t="s">
        <v>896</v>
      </c>
      <c r="B158" s="4" t="s">
        <v>144</v>
      </c>
      <c r="C158" s="4" t="s">
        <v>141</v>
      </c>
      <c r="D158" s="4" t="s">
        <v>84</v>
      </c>
      <c r="E158" s="25" t="s">
        <v>1047</v>
      </c>
    </row>
    <row r="159" spans="1:5" x14ac:dyDescent="0.2">
      <c r="A159" s="21" t="s">
        <v>825</v>
      </c>
      <c r="B159" s="4" t="s">
        <v>144</v>
      </c>
      <c r="C159" s="4" t="s">
        <v>336</v>
      </c>
      <c r="D159" s="4" t="s">
        <v>61</v>
      </c>
      <c r="E159" s="25" t="s">
        <v>1048</v>
      </c>
    </row>
    <row r="160" spans="1:5" x14ac:dyDescent="0.2">
      <c r="A160" s="21" t="s">
        <v>930</v>
      </c>
      <c r="B160" s="4" t="s">
        <v>144</v>
      </c>
      <c r="C160" s="4" t="s">
        <v>138</v>
      </c>
      <c r="D160" s="4" t="s">
        <v>84</v>
      </c>
      <c r="E160" s="25" t="s">
        <v>1049</v>
      </c>
    </row>
    <row r="161" spans="1:5" x14ac:dyDescent="0.2">
      <c r="A161" s="21" t="s">
        <v>849</v>
      </c>
      <c r="B161" s="4" t="s">
        <v>144</v>
      </c>
      <c r="C161" s="4" t="s">
        <v>156</v>
      </c>
      <c r="D161" s="4" t="s">
        <v>61</v>
      </c>
      <c r="E161" s="25" t="s">
        <v>1050</v>
      </c>
    </row>
    <row r="162" spans="1:5" x14ac:dyDescent="0.2">
      <c r="A162" s="21" t="s">
        <v>417</v>
      </c>
      <c r="B162" s="4" t="s">
        <v>144</v>
      </c>
      <c r="C162" s="4" t="s">
        <v>327</v>
      </c>
      <c r="D162" s="4" t="s">
        <v>189</v>
      </c>
      <c r="E162" s="25" t="s">
        <v>1051</v>
      </c>
    </row>
    <row r="163" spans="1:5" x14ac:dyDescent="0.2">
      <c r="A163" s="21" t="s">
        <v>1004</v>
      </c>
      <c r="B163" s="4" t="s">
        <v>144</v>
      </c>
      <c r="C163" s="4" t="s">
        <v>232</v>
      </c>
      <c r="D163" s="4" t="s">
        <v>62</v>
      </c>
      <c r="E163" s="25" t="s">
        <v>1052</v>
      </c>
    </row>
    <row r="164" spans="1:5" x14ac:dyDescent="0.2">
      <c r="A164" s="21" t="s">
        <v>854</v>
      </c>
      <c r="B164" s="4" t="s">
        <v>144</v>
      </c>
      <c r="C164" s="4" t="s">
        <v>156</v>
      </c>
      <c r="D164" s="4" t="s">
        <v>190</v>
      </c>
      <c r="E164" s="25" t="s">
        <v>1053</v>
      </c>
    </row>
    <row r="165" spans="1:5" x14ac:dyDescent="0.2">
      <c r="A165" s="21" t="s">
        <v>802</v>
      </c>
      <c r="B165" s="4" t="s">
        <v>144</v>
      </c>
      <c r="C165" s="4" t="s">
        <v>327</v>
      </c>
      <c r="D165" s="4" t="s">
        <v>25</v>
      </c>
      <c r="E165" s="25" t="s">
        <v>1054</v>
      </c>
    </row>
    <row r="166" spans="1:5" x14ac:dyDescent="0.2">
      <c r="A166" s="21" t="s">
        <v>858</v>
      </c>
      <c r="B166" s="4" t="s">
        <v>144</v>
      </c>
      <c r="C166" s="4" t="s">
        <v>156</v>
      </c>
      <c r="D166" s="4" t="s">
        <v>189</v>
      </c>
      <c r="E166" s="25" t="s">
        <v>1055</v>
      </c>
    </row>
    <row r="167" spans="1:5" x14ac:dyDescent="0.2">
      <c r="A167" s="21" t="s">
        <v>961</v>
      </c>
      <c r="B167" s="4" t="s">
        <v>144</v>
      </c>
      <c r="C167" s="4" t="s">
        <v>151</v>
      </c>
      <c r="D167" s="4" t="s">
        <v>110</v>
      </c>
      <c r="E167" s="25" t="s">
        <v>1056</v>
      </c>
    </row>
    <row r="169" spans="1:5" ht="14.25" x14ac:dyDescent="0.2">
      <c r="A169" s="22"/>
      <c r="B169" s="23" t="s">
        <v>159</v>
      </c>
    </row>
    <row r="170" spans="1:5" ht="15" x14ac:dyDescent="0.2">
      <c r="A170" s="24" t="s">
        <v>127</v>
      </c>
      <c r="B170" s="24" t="s">
        <v>128</v>
      </c>
      <c r="C170" s="24" t="s">
        <v>129</v>
      </c>
      <c r="D170" s="24" t="s">
        <v>130</v>
      </c>
      <c r="E170" s="24" t="s">
        <v>131</v>
      </c>
    </row>
    <row r="171" spans="1:5" x14ac:dyDescent="0.2">
      <c r="A171" s="21" t="s">
        <v>912</v>
      </c>
      <c r="B171" s="4" t="s">
        <v>540</v>
      </c>
      <c r="C171" s="4" t="s">
        <v>141</v>
      </c>
      <c r="D171" s="4" t="s">
        <v>93</v>
      </c>
      <c r="E171" s="25" t="s">
        <v>1057</v>
      </c>
    </row>
    <row r="172" spans="1:5" x14ac:dyDescent="0.2">
      <c r="A172" s="21" t="s">
        <v>1010</v>
      </c>
      <c r="B172" s="4" t="s">
        <v>705</v>
      </c>
      <c r="C172" s="4" t="s">
        <v>232</v>
      </c>
      <c r="D172" s="4" t="s">
        <v>188</v>
      </c>
      <c r="E172" s="25" t="s">
        <v>1058</v>
      </c>
    </row>
    <row r="173" spans="1:5" x14ac:dyDescent="0.2">
      <c r="A173" s="21" t="s">
        <v>905</v>
      </c>
      <c r="B173" s="4" t="s">
        <v>708</v>
      </c>
      <c r="C173" s="4" t="s">
        <v>141</v>
      </c>
      <c r="D173" s="4" t="s">
        <v>48</v>
      </c>
      <c r="E173" s="25" t="s">
        <v>1059</v>
      </c>
    </row>
    <row r="174" spans="1:5" x14ac:dyDescent="0.2">
      <c r="A174" s="21" t="s">
        <v>908</v>
      </c>
      <c r="B174" s="4" t="s">
        <v>708</v>
      </c>
      <c r="C174" s="4" t="s">
        <v>141</v>
      </c>
      <c r="D174" s="4" t="s">
        <v>93</v>
      </c>
      <c r="E174" s="25" t="s">
        <v>1060</v>
      </c>
    </row>
    <row r="175" spans="1:5" x14ac:dyDescent="0.2">
      <c r="A175" s="21" t="s">
        <v>987</v>
      </c>
      <c r="B175" s="4" t="s">
        <v>708</v>
      </c>
      <c r="C175" s="4" t="s">
        <v>151</v>
      </c>
      <c r="D175" s="4" t="s">
        <v>69</v>
      </c>
      <c r="E175" s="25" t="s">
        <v>1061</v>
      </c>
    </row>
    <row r="176" spans="1:5" x14ac:dyDescent="0.2">
      <c r="A176" s="21" t="s">
        <v>998</v>
      </c>
      <c r="B176" s="4" t="s">
        <v>540</v>
      </c>
      <c r="C176" s="4" t="s">
        <v>151</v>
      </c>
      <c r="D176" s="4" t="s">
        <v>239</v>
      </c>
      <c r="E176" s="25" t="s">
        <v>1062</v>
      </c>
    </row>
    <row r="177" spans="1:5" x14ac:dyDescent="0.2">
      <c r="A177" s="21" t="s">
        <v>990</v>
      </c>
      <c r="B177" s="4" t="s">
        <v>708</v>
      </c>
      <c r="C177" s="4" t="s">
        <v>151</v>
      </c>
      <c r="D177" s="4" t="s">
        <v>72</v>
      </c>
      <c r="E177" s="25" t="s">
        <v>1063</v>
      </c>
    </row>
    <row r="178" spans="1:5" x14ac:dyDescent="0.2">
      <c r="A178" s="21" t="s">
        <v>1014</v>
      </c>
      <c r="B178" s="4" t="s">
        <v>160</v>
      </c>
      <c r="C178" s="4" t="s">
        <v>341</v>
      </c>
      <c r="D178" s="4" t="s">
        <v>70</v>
      </c>
      <c r="E178" s="25" t="s">
        <v>1064</v>
      </c>
    </row>
    <row r="179" spans="1:5" x14ac:dyDescent="0.2">
      <c r="A179" s="21" t="s">
        <v>966</v>
      </c>
      <c r="B179" s="4" t="s">
        <v>160</v>
      </c>
      <c r="C179" s="4" t="s">
        <v>151</v>
      </c>
      <c r="D179" s="4" t="s">
        <v>109</v>
      </c>
      <c r="E179" s="25" t="s">
        <v>1065</v>
      </c>
    </row>
    <row r="180" spans="1:5" x14ac:dyDescent="0.2">
      <c r="A180" s="21" t="s">
        <v>831</v>
      </c>
      <c r="B180" s="4" t="s">
        <v>1066</v>
      </c>
      <c r="C180" s="4" t="s">
        <v>336</v>
      </c>
      <c r="D180" s="4" t="s">
        <v>383</v>
      </c>
      <c r="E180" s="25" t="s">
        <v>1067</v>
      </c>
    </row>
    <row r="181" spans="1:5" x14ac:dyDescent="0.2">
      <c r="A181" s="21" t="s">
        <v>916</v>
      </c>
      <c r="B181" s="4" t="s">
        <v>540</v>
      </c>
      <c r="C181" s="4" t="s">
        <v>141</v>
      </c>
      <c r="D181" s="4" t="s">
        <v>191</v>
      </c>
      <c r="E181" s="25" t="s">
        <v>1068</v>
      </c>
    </row>
    <row r="182" spans="1:5" x14ac:dyDescent="0.2">
      <c r="A182" s="21" t="s">
        <v>868</v>
      </c>
      <c r="B182" s="4" t="s">
        <v>705</v>
      </c>
      <c r="C182" s="4" t="s">
        <v>156</v>
      </c>
      <c r="D182" s="4" t="s">
        <v>281</v>
      </c>
      <c r="E182" s="25" t="s">
        <v>1069</v>
      </c>
    </row>
    <row r="183" spans="1:5" x14ac:dyDescent="0.2">
      <c r="A183" s="21" t="s">
        <v>994</v>
      </c>
      <c r="B183" s="4" t="s">
        <v>705</v>
      </c>
      <c r="C183" s="4" t="s">
        <v>151</v>
      </c>
      <c r="D183" s="4" t="s">
        <v>34</v>
      </c>
      <c r="E183" s="25" t="s">
        <v>1070</v>
      </c>
    </row>
    <row r="184" spans="1:5" x14ac:dyDescent="0.2">
      <c r="A184" s="21" t="s">
        <v>934</v>
      </c>
      <c r="B184" s="4" t="s">
        <v>160</v>
      </c>
      <c r="C184" s="4" t="s">
        <v>138</v>
      </c>
      <c r="D184" s="4" t="s">
        <v>48</v>
      </c>
      <c r="E184" s="25" t="s">
        <v>1071</v>
      </c>
    </row>
    <row r="185" spans="1:5" x14ac:dyDescent="0.2">
      <c r="A185" s="21" t="s">
        <v>938</v>
      </c>
      <c r="B185" s="4" t="s">
        <v>160</v>
      </c>
      <c r="C185" s="4" t="s">
        <v>138</v>
      </c>
      <c r="D185" s="4" t="s">
        <v>37</v>
      </c>
      <c r="E185" s="25" t="s">
        <v>1072</v>
      </c>
    </row>
    <row r="186" spans="1:5" x14ac:dyDescent="0.2">
      <c r="A186" s="21" t="s">
        <v>972</v>
      </c>
      <c r="B186" s="4" t="s">
        <v>160</v>
      </c>
      <c r="C186" s="4" t="s">
        <v>151</v>
      </c>
      <c r="D186" s="4" t="s">
        <v>48</v>
      </c>
      <c r="E186" s="25" t="s">
        <v>1073</v>
      </c>
    </row>
    <row r="187" spans="1:5" x14ac:dyDescent="0.2">
      <c r="A187" s="21" t="s">
        <v>948</v>
      </c>
      <c r="B187" s="4" t="s">
        <v>231</v>
      </c>
      <c r="C187" s="4" t="s">
        <v>138</v>
      </c>
      <c r="D187" s="4" t="s">
        <v>36</v>
      </c>
      <c r="E187" s="25" t="s">
        <v>1074</v>
      </c>
    </row>
    <row r="188" spans="1:5" x14ac:dyDescent="0.2">
      <c r="A188" s="21" t="s">
        <v>978</v>
      </c>
      <c r="B188" s="4" t="s">
        <v>231</v>
      </c>
      <c r="C188" s="4" t="s">
        <v>151</v>
      </c>
      <c r="D188" s="4" t="s">
        <v>93</v>
      </c>
      <c r="E188" s="25" t="s">
        <v>1075</v>
      </c>
    </row>
    <row r="189" spans="1:5" x14ac:dyDescent="0.2">
      <c r="A189" s="21" t="s">
        <v>942</v>
      </c>
      <c r="B189" s="4" t="s">
        <v>160</v>
      </c>
      <c r="C189" s="4" t="s">
        <v>138</v>
      </c>
      <c r="D189" s="4" t="s">
        <v>267</v>
      </c>
      <c r="E189" s="25" t="s">
        <v>1076</v>
      </c>
    </row>
    <row r="190" spans="1:5" x14ac:dyDescent="0.2">
      <c r="A190" s="21" t="s">
        <v>901</v>
      </c>
      <c r="B190" s="4" t="s">
        <v>160</v>
      </c>
      <c r="C190" s="4" t="s">
        <v>141</v>
      </c>
      <c r="D190" s="4" t="s">
        <v>191</v>
      </c>
      <c r="E190" s="25" t="s">
        <v>1077</v>
      </c>
    </row>
    <row r="191" spans="1:5" x14ac:dyDescent="0.2">
      <c r="A191" s="21" t="s">
        <v>863</v>
      </c>
      <c r="B191" s="4" t="s">
        <v>160</v>
      </c>
      <c r="C191" s="4" t="s">
        <v>156</v>
      </c>
      <c r="D191" s="4" t="s">
        <v>25</v>
      </c>
      <c r="E191" s="25" t="s">
        <v>1078</v>
      </c>
    </row>
  </sheetData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43:L43"/>
    <mergeCell ref="K3:K4"/>
    <mergeCell ref="L3:L4"/>
    <mergeCell ref="M3:M4"/>
    <mergeCell ref="A5:L5"/>
    <mergeCell ref="A10:L10"/>
    <mergeCell ref="A13:L13"/>
    <mergeCell ref="A21:L21"/>
    <mergeCell ref="A24:L24"/>
    <mergeCell ref="A27:L27"/>
    <mergeCell ref="A31:L31"/>
    <mergeCell ref="A35:L35"/>
    <mergeCell ref="A54:L54"/>
    <mergeCell ref="A67:L67"/>
    <mergeCell ref="A77:L77"/>
    <mergeCell ref="A90:L90"/>
    <mergeCell ref="A94:L9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5703125" style="4" bestFit="1" customWidth="1"/>
    <col min="3" max="3" width="16.5703125" style="4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9" width="5.57031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10.85546875" style="4" bestFit="1" customWidth="1"/>
    <col min="14" max="16384" width="9.140625" style="3"/>
  </cols>
  <sheetData>
    <row r="1" spans="1:13" s="2" customFormat="1" ht="29.1" customHeight="1" x14ac:dyDescent="0.2">
      <c r="A1" s="37" t="s">
        <v>1334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12</v>
      </c>
      <c r="H3" s="32"/>
      <c r="I3" s="32"/>
      <c r="J3" s="32"/>
      <c r="K3" s="32" t="s">
        <v>718</v>
      </c>
      <c r="L3" s="32" t="s">
        <v>3</v>
      </c>
      <c r="M3" s="34" t="s">
        <v>2</v>
      </c>
    </row>
    <row r="4" spans="1:13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3" ht="15" x14ac:dyDescent="0.2">
      <c r="A5" s="36" t="s">
        <v>75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1330</v>
      </c>
      <c r="B6" s="6" t="s">
        <v>1331</v>
      </c>
      <c r="C6" s="6" t="s">
        <v>468</v>
      </c>
      <c r="D6" s="6" t="str">
        <f>"0,6335"</f>
        <v>0,6335</v>
      </c>
      <c r="E6" s="6" t="s">
        <v>18</v>
      </c>
      <c r="F6" s="6" t="s">
        <v>1097</v>
      </c>
      <c r="G6" s="7" t="s">
        <v>71</v>
      </c>
      <c r="H6" s="8" t="s">
        <v>668</v>
      </c>
      <c r="I6" s="8" t="s">
        <v>668</v>
      </c>
      <c r="J6" s="8"/>
      <c r="K6" s="6" t="str">
        <f>"200,0"</f>
        <v>200,0</v>
      </c>
      <c r="L6" s="7" t="str">
        <f>"126,7000"</f>
        <v>126,7000</v>
      </c>
      <c r="M6" s="6" t="s">
        <v>1332</v>
      </c>
    </row>
    <row r="8" spans="1:13" ht="15" x14ac:dyDescent="0.2">
      <c r="E8" s="18" t="s">
        <v>119</v>
      </c>
    </row>
    <row r="9" spans="1:13" ht="15" x14ac:dyDescent="0.2">
      <c r="E9" s="18" t="s">
        <v>120</v>
      </c>
    </row>
    <row r="10" spans="1:13" ht="15" x14ac:dyDescent="0.2">
      <c r="E10" s="18" t="s">
        <v>121</v>
      </c>
    </row>
    <row r="11" spans="1:13" ht="15" x14ac:dyDescent="0.2">
      <c r="E11" s="18" t="s">
        <v>122</v>
      </c>
    </row>
    <row r="12" spans="1:13" ht="15" x14ac:dyDescent="0.2">
      <c r="E12" s="18" t="s">
        <v>122</v>
      </c>
    </row>
    <row r="13" spans="1:13" ht="15" x14ac:dyDescent="0.2">
      <c r="E13" s="18" t="s">
        <v>123</v>
      </c>
    </row>
    <row r="14" spans="1:13" ht="15" x14ac:dyDescent="0.2">
      <c r="E14" s="18"/>
    </row>
    <row r="16" spans="1:13" ht="18" x14ac:dyDescent="0.25">
      <c r="A16" s="19" t="s">
        <v>124</v>
      </c>
      <c r="B16" s="19"/>
    </row>
    <row r="17" spans="1:5" ht="15" x14ac:dyDescent="0.2">
      <c r="A17" s="20" t="s">
        <v>136</v>
      </c>
      <c r="B17" s="20"/>
    </row>
    <row r="18" spans="1:5" ht="14.25" x14ac:dyDescent="0.2">
      <c r="A18" s="22"/>
      <c r="B18" s="23" t="s">
        <v>512</v>
      </c>
    </row>
    <row r="19" spans="1:5" ht="15" x14ac:dyDescent="0.2">
      <c r="A19" s="24" t="s">
        <v>127</v>
      </c>
      <c r="B19" s="24" t="s">
        <v>128</v>
      </c>
      <c r="C19" s="24" t="s">
        <v>129</v>
      </c>
      <c r="D19" s="24" t="s">
        <v>130</v>
      </c>
      <c r="E19" s="24" t="s">
        <v>131</v>
      </c>
    </row>
    <row r="20" spans="1:5" x14ac:dyDescent="0.2">
      <c r="A20" s="21" t="s">
        <v>1329</v>
      </c>
      <c r="B20" s="4" t="s">
        <v>499</v>
      </c>
      <c r="C20" s="4" t="s">
        <v>138</v>
      </c>
      <c r="D20" s="4" t="s">
        <v>71</v>
      </c>
      <c r="E20" s="25" t="s">
        <v>1333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7109375" style="4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10" width="5.5703125" style="3" bestFit="1" customWidth="1"/>
    <col min="11" max="11" width="11.28515625" style="4" bestFit="1" customWidth="1"/>
    <col min="12" max="12" width="8.5703125" style="3" bestFit="1" customWidth="1"/>
    <col min="13" max="13" width="32" style="4" bestFit="1" customWidth="1"/>
    <col min="14" max="16384" width="9.140625" style="3"/>
  </cols>
  <sheetData>
    <row r="1" spans="1:13" s="2" customFormat="1" ht="29.1" customHeight="1" x14ac:dyDescent="0.2">
      <c r="A1" s="37" t="s">
        <v>1486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12</v>
      </c>
      <c r="H3" s="32"/>
      <c r="I3" s="32"/>
      <c r="J3" s="32"/>
      <c r="K3" s="32" t="s">
        <v>718</v>
      </c>
      <c r="L3" s="32" t="s">
        <v>3</v>
      </c>
      <c r="M3" s="34" t="s">
        <v>2</v>
      </c>
    </row>
    <row r="4" spans="1:13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3" ht="15" x14ac:dyDescent="0.2">
      <c r="A5" s="36" t="s">
        <v>353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9" t="s">
        <v>1151</v>
      </c>
      <c r="B6" s="9" t="s">
        <v>1152</v>
      </c>
      <c r="C6" s="9" t="s">
        <v>1153</v>
      </c>
      <c r="D6" s="9" t="str">
        <f>"1,3244"</f>
        <v>1,3244</v>
      </c>
      <c r="E6" s="9" t="s">
        <v>18</v>
      </c>
      <c r="F6" s="9" t="s">
        <v>68</v>
      </c>
      <c r="G6" s="10" t="s">
        <v>110</v>
      </c>
      <c r="H6" s="11" t="s">
        <v>261</v>
      </c>
      <c r="I6" s="11" t="s">
        <v>261</v>
      </c>
      <c r="J6" s="11"/>
      <c r="K6" s="9" t="str">
        <f>"120,0"</f>
        <v>120,0</v>
      </c>
      <c r="L6" s="10" t="str">
        <f>"158,9280"</f>
        <v>158,9280</v>
      </c>
      <c r="M6" s="9" t="s">
        <v>1154</v>
      </c>
    </row>
    <row r="7" spans="1:13" x14ac:dyDescent="0.2">
      <c r="A7" s="15" t="s">
        <v>1155</v>
      </c>
      <c r="B7" s="15" t="s">
        <v>744</v>
      </c>
      <c r="C7" s="15" t="s">
        <v>745</v>
      </c>
      <c r="D7" s="15" t="str">
        <f>"1,3367"</f>
        <v>1,3367</v>
      </c>
      <c r="E7" s="15" t="s">
        <v>18</v>
      </c>
      <c r="F7" s="15" t="s">
        <v>68</v>
      </c>
      <c r="G7" s="16" t="s">
        <v>20</v>
      </c>
      <c r="H7" s="16" t="s">
        <v>21</v>
      </c>
      <c r="I7" s="16" t="s">
        <v>25</v>
      </c>
      <c r="J7" s="17"/>
      <c r="K7" s="15" t="str">
        <f>"100,0"</f>
        <v>100,0</v>
      </c>
      <c r="L7" s="16" t="str">
        <f>"133,6700"</f>
        <v>133,6700</v>
      </c>
      <c r="M7" s="15" t="s">
        <v>746</v>
      </c>
    </row>
    <row r="9" spans="1:13" ht="15" x14ac:dyDescent="0.2">
      <c r="A9" s="46" t="s">
        <v>13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3" x14ac:dyDescent="0.2">
      <c r="A10" s="9" t="s">
        <v>1157</v>
      </c>
      <c r="B10" s="9" t="s">
        <v>1158</v>
      </c>
      <c r="C10" s="9" t="s">
        <v>1159</v>
      </c>
      <c r="D10" s="9" t="str">
        <f>"1,2673"</f>
        <v>1,2673</v>
      </c>
      <c r="E10" s="9" t="s">
        <v>18</v>
      </c>
      <c r="F10" s="9" t="s">
        <v>68</v>
      </c>
      <c r="G10" s="10" t="s">
        <v>191</v>
      </c>
      <c r="H10" s="10" t="s">
        <v>281</v>
      </c>
      <c r="I10" s="11" t="s">
        <v>33</v>
      </c>
      <c r="J10" s="11"/>
      <c r="K10" s="9" t="str">
        <f>"125,0"</f>
        <v>125,0</v>
      </c>
      <c r="L10" s="10" t="str">
        <f>"158,4125"</f>
        <v>158,4125</v>
      </c>
      <c r="M10" s="9" t="s">
        <v>1160</v>
      </c>
    </row>
    <row r="11" spans="1:13" x14ac:dyDescent="0.2">
      <c r="A11" s="12" t="s">
        <v>1161</v>
      </c>
      <c r="B11" s="12" t="s">
        <v>1162</v>
      </c>
      <c r="C11" s="12" t="s">
        <v>1163</v>
      </c>
      <c r="D11" s="12" t="str">
        <f>"1,2541"</f>
        <v>1,2541</v>
      </c>
      <c r="E11" s="12" t="s">
        <v>18</v>
      </c>
      <c r="F11" s="12" t="s">
        <v>68</v>
      </c>
      <c r="G11" s="14" t="s">
        <v>190</v>
      </c>
      <c r="H11" s="14" t="s">
        <v>190</v>
      </c>
      <c r="I11" s="14" t="s">
        <v>190</v>
      </c>
      <c r="J11" s="14"/>
      <c r="K11" s="12" t="str">
        <f>"0.00"</f>
        <v>0.00</v>
      </c>
      <c r="L11" s="13" t="str">
        <f>"0,0000"</f>
        <v>0,0000</v>
      </c>
      <c r="M11" s="12" t="s">
        <v>1164</v>
      </c>
    </row>
    <row r="12" spans="1:13" x14ac:dyDescent="0.2">
      <c r="A12" s="15" t="s">
        <v>1165</v>
      </c>
      <c r="B12" s="15" t="s">
        <v>777</v>
      </c>
      <c r="C12" s="15" t="s">
        <v>1166</v>
      </c>
      <c r="D12" s="15" t="str">
        <f>"1,2654"</f>
        <v>1,2654</v>
      </c>
      <c r="E12" s="15" t="s">
        <v>18</v>
      </c>
      <c r="F12" s="15" t="s">
        <v>68</v>
      </c>
      <c r="G12" s="17"/>
      <c r="H12" s="17"/>
      <c r="I12" s="17"/>
      <c r="J12" s="17"/>
      <c r="K12" s="15" t="str">
        <f>"0.00"</f>
        <v>0.00</v>
      </c>
      <c r="L12" s="16" t="str">
        <f>"0,0000"</f>
        <v>0,0000</v>
      </c>
      <c r="M12" s="15" t="s">
        <v>1167</v>
      </c>
    </row>
    <row r="14" spans="1:13" ht="15" x14ac:dyDescent="0.2">
      <c r="A14" s="46" t="s">
        <v>244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3" x14ac:dyDescent="0.2">
      <c r="A15" s="9" t="s">
        <v>1169</v>
      </c>
      <c r="B15" s="9" t="s">
        <v>1170</v>
      </c>
      <c r="C15" s="9" t="s">
        <v>1171</v>
      </c>
      <c r="D15" s="9" t="str">
        <f>"1,1849"</f>
        <v>1,1849</v>
      </c>
      <c r="E15" s="9" t="s">
        <v>18</v>
      </c>
      <c r="F15" s="9" t="s">
        <v>68</v>
      </c>
      <c r="G15" s="10" t="s">
        <v>20</v>
      </c>
      <c r="H15" s="11" t="s">
        <v>362</v>
      </c>
      <c r="I15" s="10" t="s">
        <v>362</v>
      </c>
      <c r="J15" s="11"/>
      <c r="K15" s="9" t="str">
        <f>"97,5"</f>
        <v>97,5</v>
      </c>
      <c r="L15" s="10" t="str">
        <f>"115,5278"</f>
        <v>115,5278</v>
      </c>
      <c r="M15" s="9" t="s">
        <v>1172</v>
      </c>
    </row>
    <row r="16" spans="1:13" x14ac:dyDescent="0.2">
      <c r="A16" s="12" t="s">
        <v>776</v>
      </c>
      <c r="B16" s="12" t="s">
        <v>773</v>
      </c>
      <c r="C16" s="12" t="s">
        <v>774</v>
      </c>
      <c r="D16" s="12" t="str">
        <f>"1,2159"</f>
        <v>1,2159</v>
      </c>
      <c r="E16" s="12" t="s">
        <v>18</v>
      </c>
      <c r="F16" s="12" t="s">
        <v>68</v>
      </c>
      <c r="G16" s="13" t="s">
        <v>242</v>
      </c>
      <c r="H16" s="13" t="s">
        <v>368</v>
      </c>
      <c r="I16" s="13" t="s">
        <v>20</v>
      </c>
      <c r="J16" s="14"/>
      <c r="K16" s="12" t="str">
        <f>"90,0"</f>
        <v>90,0</v>
      </c>
      <c r="L16" s="13" t="str">
        <f>"109,4310"</f>
        <v>109,4310</v>
      </c>
      <c r="M16" s="12" t="s">
        <v>775</v>
      </c>
    </row>
    <row r="17" spans="1:13" x14ac:dyDescent="0.2">
      <c r="A17" s="15" t="s">
        <v>776</v>
      </c>
      <c r="B17" s="15" t="s">
        <v>777</v>
      </c>
      <c r="C17" s="15" t="s">
        <v>774</v>
      </c>
      <c r="D17" s="15" t="str">
        <f>"1,2159"</f>
        <v>1,2159</v>
      </c>
      <c r="E17" s="15" t="s">
        <v>18</v>
      </c>
      <c r="F17" s="15" t="s">
        <v>68</v>
      </c>
      <c r="G17" s="16" t="s">
        <v>242</v>
      </c>
      <c r="H17" s="16" t="s">
        <v>368</v>
      </c>
      <c r="I17" s="16" t="s">
        <v>20</v>
      </c>
      <c r="J17" s="17"/>
      <c r="K17" s="15" t="str">
        <f>"90,0"</f>
        <v>90,0</v>
      </c>
      <c r="L17" s="16" t="str">
        <f>"109,4310"</f>
        <v>109,4310</v>
      </c>
      <c r="M17" s="15" t="s">
        <v>775</v>
      </c>
    </row>
    <row r="19" spans="1:13" ht="15" x14ac:dyDescent="0.2">
      <c r="A19" s="46" t="s">
        <v>386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3" x14ac:dyDescent="0.2">
      <c r="A20" s="9" t="s">
        <v>1174</v>
      </c>
      <c r="B20" s="9" t="s">
        <v>1175</v>
      </c>
      <c r="C20" s="9" t="s">
        <v>1176</v>
      </c>
      <c r="D20" s="9" t="str">
        <f>"1,1386"</f>
        <v>1,1386</v>
      </c>
      <c r="E20" s="9" t="s">
        <v>18</v>
      </c>
      <c r="F20" s="9" t="s">
        <v>68</v>
      </c>
      <c r="G20" s="10" t="s">
        <v>363</v>
      </c>
      <c r="H20" s="10" t="s">
        <v>429</v>
      </c>
      <c r="I20" s="10" t="s">
        <v>190</v>
      </c>
      <c r="J20" s="11"/>
      <c r="K20" s="9" t="str">
        <f>"115,0"</f>
        <v>115,0</v>
      </c>
      <c r="L20" s="10" t="str">
        <f>"130,9390"</f>
        <v>130,9390</v>
      </c>
      <c r="M20" s="9" t="s">
        <v>895</v>
      </c>
    </row>
    <row r="21" spans="1:13" x14ac:dyDescent="0.2">
      <c r="A21" s="12" t="s">
        <v>1178</v>
      </c>
      <c r="B21" s="12" t="s">
        <v>1179</v>
      </c>
      <c r="C21" s="12" t="s">
        <v>1180</v>
      </c>
      <c r="D21" s="12" t="str">
        <f>"1,1295"</f>
        <v>1,1295</v>
      </c>
      <c r="E21" s="12" t="s">
        <v>18</v>
      </c>
      <c r="F21" s="12" t="s">
        <v>1181</v>
      </c>
      <c r="G21" s="13" t="s">
        <v>25</v>
      </c>
      <c r="H21" s="13" t="s">
        <v>429</v>
      </c>
      <c r="I21" s="14"/>
      <c r="J21" s="14"/>
      <c r="K21" s="12" t="str">
        <f>"112,5"</f>
        <v>112,5</v>
      </c>
      <c r="L21" s="13" t="str">
        <f>"127,0688"</f>
        <v>127,0688</v>
      </c>
      <c r="M21" s="12" t="s">
        <v>1182</v>
      </c>
    </row>
    <row r="22" spans="1:13" x14ac:dyDescent="0.2">
      <c r="A22" s="15" t="s">
        <v>1184</v>
      </c>
      <c r="B22" s="15" t="s">
        <v>1185</v>
      </c>
      <c r="C22" s="15" t="s">
        <v>1186</v>
      </c>
      <c r="D22" s="15" t="str">
        <f>"1,1178"</f>
        <v>1,1178</v>
      </c>
      <c r="E22" s="15" t="s">
        <v>18</v>
      </c>
      <c r="F22" s="15" t="s">
        <v>68</v>
      </c>
      <c r="G22" s="16" t="s">
        <v>242</v>
      </c>
      <c r="H22" s="16" t="s">
        <v>368</v>
      </c>
      <c r="I22" s="16" t="s">
        <v>35</v>
      </c>
      <c r="J22" s="17"/>
      <c r="K22" s="15" t="str">
        <f>"85,0"</f>
        <v>85,0</v>
      </c>
      <c r="L22" s="16" t="str">
        <f>"95,0130"</f>
        <v>95,0130</v>
      </c>
      <c r="M22" s="15" t="s">
        <v>1187</v>
      </c>
    </row>
    <row r="24" spans="1:13" ht="15" x14ac:dyDescent="0.2">
      <c r="A24" s="46" t="s">
        <v>164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3" x14ac:dyDescent="0.2">
      <c r="A25" s="6" t="s">
        <v>1188</v>
      </c>
      <c r="B25" s="6" t="s">
        <v>407</v>
      </c>
      <c r="C25" s="6" t="s">
        <v>408</v>
      </c>
      <c r="D25" s="6" t="str">
        <f>"1,0206"</f>
        <v>1,0206</v>
      </c>
      <c r="E25" s="6" t="s">
        <v>18</v>
      </c>
      <c r="F25" s="6" t="s">
        <v>68</v>
      </c>
      <c r="G25" s="7" t="s">
        <v>189</v>
      </c>
      <c r="H25" s="7" t="s">
        <v>191</v>
      </c>
      <c r="I25" s="7" t="s">
        <v>267</v>
      </c>
      <c r="J25" s="8"/>
      <c r="K25" s="6" t="str">
        <f>"122,5"</f>
        <v>122,5</v>
      </c>
      <c r="L25" s="7" t="str">
        <f>"125,0235"</f>
        <v>125,0235</v>
      </c>
      <c r="M25" s="6" t="s">
        <v>38</v>
      </c>
    </row>
    <row r="27" spans="1:13" ht="15" x14ac:dyDescent="0.2">
      <c r="A27" s="46" t="s">
        <v>275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3" x14ac:dyDescent="0.2">
      <c r="A28" s="6" t="s">
        <v>1190</v>
      </c>
      <c r="B28" s="6" t="s">
        <v>1191</v>
      </c>
      <c r="C28" s="6" t="s">
        <v>1192</v>
      </c>
      <c r="D28" s="6" t="str">
        <f>"0,9958"</f>
        <v>0,9958</v>
      </c>
      <c r="E28" s="6" t="s">
        <v>18</v>
      </c>
      <c r="F28" s="6" t="s">
        <v>19</v>
      </c>
      <c r="G28" s="7" t="s">
        <v>110</v>
      </c>
      <c r="H28" s="7" t="s">
        <v>61</v>
      </c>
      <c r="I28" s="7" t="s">
        <v>33</v>
      </c>
      <c r="J28" s="8"/>
      <c r="K28" s="6" t="str">
        <f>"135,0"</f>
        <v>135,0</v>
      </c>
      <c r="L28" s="7" t="str">
        <f>"156,6144"</f>
        <v>156,6144</v>
      </c>
      <c r="M28" s="6" t="s">
        <v>74</v>
      </c>
    </row>
    <row r="30" spans="1:13" ht="15" x14ac:dyDescent="0.2">
      <c r="A30" s="46" t="s">
        <v>28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3" x14ac:dyDescent="0.2">
      <c r="A31" s="6" t="s">
        <v>1194</v>
      </c>
      <c r="B31" s="6" t="s">
        <v>1195</v>
      </c>
      <c r="C31" s="6" t="s">
        <v>861</v>
      </c>
      <c r="D31" s="6" t="str">
        <f>"0,9088"</f>
        <v>0,9088</v>
      </c>
      <c r="E31" s="6" t="s">
        <v>18</v>
      </c>
      <c r="F31" s="6" t="s">
        <v>68</v>
      </c>
      <c r="G31" s="7" t="s">
        <v>110</v>
      </c>
      <c r="H31" s="7" t="s">
        <v>1196</v>
      </c>
      <c r="I31" s="7" t="s">
        <v>34</v>
      </c>
      <c r="J31" s="8"/>
      <c r="K31" s="6" t="str">
        <f>"140,0"</f>
        <v>140,0</v>
      </c>
      <c r="L31" s="7" t="str">
        <f>"127,2320"</f>
        <v>127,2320</v>
      </c>
      <c r="M31" s="6" t="s">
        <v>1197</v>
      </c>
    </row>
    <row r="33" spans="1:13" ht="15" x14ac:dyDescent="0.2">
      <c r="A33" s="46" t="s">
        <v>269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3" x14ac:dyDescent="0.2">
      <c r="A34" s="6" t="s">
        <v>1199</v>
      </c>
      <c r="B34" s="6" t="s">
        <v>1200</v>
      </c>
      <c r="C34" s="6" t="s">
        <v>1201</v>
      </c>
      <c r="D34" s="6" t="str">
        <f>"0,8225"</f>
        <v>0,8225</v>
      </c>
      <c r="E34" s="6" t="s">
        <v>18</v>
      </c>
      <c r="F34" s="6" t="s">
        <v>68</v>
      </c>
      <c r="G34" s="7" t="s">
        <v>110</v>
      </c>
      <c r="H34" s="7" t="s">
        <v>829</v>
      </c>
      <c r="I34" s="7" t="s">
        <v>239</v>
      </c>
      <c r="J34" s="8"/>
      <c r="K34" s="6" t="str">
        <f>"142,5"</f>
        <v>142,5</v>
      </c>
      <c r="L34" s="7" t="str">
        <f>"117,2062"</f>
        <v>117,2062</v>
      </c>
      <c r="M34" s="6" t="s">
        <v>1202</v>
      </c>
    </row>
    <row r="36" spans="1:13" ht="15" x14ac:dyDescent="0.2">
      <c r="A36" s="46" t="s">
        <v>386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3" x14ac:dyDescent="0.2">
      <c r="A37" s="6" t="s">
        <v>1204</v>
      </c>
      <c r="B37" s="6" t="s">
        <v>1205</v>
      </c>
      <c r="C37" s="6" t="s">
        <v>1206</v>
      </c>
      <c r="D37" s="6" t="str">
        <f>"0,8675"</f>
        <v>0,8675</v>
      </c>
      <c r="E37" s="6" t="s">
        <v>18</v>
      </c>
      <c r="F37" s="6" t="s">
        <v>1207</v>
      </c>
      <c r="G37" s="7" t="s">
        <v>281</v>
      </c>
      <c r="H37" s="7" t="s">
        <v>84</v>
      </c>
      <c r="I37" s="8" t="s">
        <v>976</v>
      </c>
      <c r="J37" s="8"/>
      <c r="K37" s="6" t="str">
        <f>"145,0"</f>
        <v>145,0</v>
      </c>
      <c r="L37" s="7" t="str">
        <f>"125,7875"</f>
        <v>125,7875</v>
      </c>
      <c r="M37" s="6" t="s">
        <v>1208</v>
      </c>
    </row>
    <row r="39" spans="1:13" ht="15" x14ac:dyDescent="0.2">
      <c r="A39" s="46" t="s">
        <v>164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3" x14ac:dyDescent="0.2">
      <c r="A40" s="6" t="s">
        <v>1210</v>
      </c>
      <c r="B40" s="6" t="s">
        <v>1211</v>
      </c>
      <c r="C40" s="6" t="s">
        <v>1212</v>
      </c>
      <c r="D40" s="6" t="str">
        <f>"0,8111"</f>
        <v>0,8111</v>
      </c>
      <c r="E40" s="6" t="s">
        <v>18</v>
      </c>
      <c r="F40" s="6" t="s">
        <v>249</v>
      </c>
      <c r="G40" s="7" t="s">
        <v>25</v>
      </c>
      <c r="H40" s="7" t="s">
        <v>189</v>
      </c>
      <c r="I40" s="8" t="s">
        <v>190</v>
      </c>
      <c r="J40" s="8"/>
      <c r="K40" s="6" t="str">
        <f>"110,0"</f>
        <v>110,0</v>
      </c>
      <c r="L40" s="7" t="str">
        <f>"89,2210"</f>
        <v>89,2210</v>
      </c>
      <c r="M40" s="6" t="s">
        <v>1213</v>
      </c>
    </row>
    <row r="42" spans="1:13" ht="15" x14ac:dyDescent="0.2">
      <c r="A42" s="46" t="s">
        <v>275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3" x14ac:dyDescent="0.2">
      <c r="A43" s="9" t="s">
        <v>1215</v>
      </c>
      <c r="B43" s="9" t="s">
        <v>1216</v>
      </c>
      <c r="C43" s="9" t="s">
        <v>1217</v>
      </c>
      <c r="D43" s="9" t="str">
        <f>"0,7249"</f>
        <v>0,7249</v>
      </c>
      <c r="E43" s="9" t="s">
        <v>18</v>
      </c>
      <c r="F43" s="9" t="s">
        <v>68</v>
      </c>
      <c r="G43" s="10" t="s">
        <v>93</v>
      </c>
      <c r="H43" s="11" t="s">
        <v>72</v>
      </c>
      <c r="I43" s="11" t="s">
        <v>72</v>
      </c>
      <c r="J43" s="11"/>
      <c r="K43" s="9" t="str">
        <f>"155,0"</f>
        <v>155,0</v>
      </c>
      <c r="L43" s="10" t="str">
        <f>"112,3595"</f>
        <v>112,3595</v>
      </c>
      <c r="M43" s="9" t="s">
        <v>1218</v>
      </c>
    </row>
    <row r="44" spans="1:13" x14ac:dyDescent="0.2">
      <c r="A44" s="12" t="s">
        <v>832</v>
      </c>
      <c r="B44" s="12" t="s">
        <v>833</v>
      </c>
      <c r="C44" s="12" t="s">
        <v>834</v>
      </c>
      <c r="D44" s="12" t="str">
        <f>"0,7166"</f>
        <v>0,7166</v>
      </c>
      <c r="E44" s="12" t="s">
        <v>18</v>
      </c>
      <c r="F44" s="12" t="s">
        <v>92</v>
      </c>
      <c r="G44" s="13" t="s">
        <v>84</v>
      </c>
      <c r="H44" s="13" t="s">
        <v>36</v>
      </c>
      <c r="I44" s="13" t="s">
        <v>93</v>
      </c>
      <c r="J44" s="14"/>
      <c r="K44" s="12" t="str">
        <f>"155,0"</f>
        <v>155,0</v>
      </c>
      <c r="L44" s="13" t="str">
        <f>"199,3760"</f>
        <v>199,3760</v>
      </c>
      <c r="M44" s="12" t="s">
        <v>835</v>
      </c>
    </row>
    <row r="45" spans="1:13" x14ac:dyDescent="0.2">
      <c r="A45" s="15" t="s">
        <v>1220</v>
      </c>
      <c r="B45" s="15" t="s">
        <v>1221</v>
      </c>
      <c r="C45" s="15" t="s">
        <v>1222</v>
      </c>
      <c r="D45" s="15" t="str">
        <f>"0,7126"</f>
        <v>0,7126</v>
      </c>
      <c r="E45" s="15" t="s">
        <v>18</v>
      </c>
      <c r="F45" s="15" t="s">
        <v>1223</v>
      </c>
      <c r="G45" s="16" t="s">
        <v>33</v>
      </c>
      <c r="H45" s="16" t="s">
        <v>84</v>
      </c>
      <c r="I45" s="17"/>
      <c r="J45" s="17"/>
      <c r="K45" s="15" t="str">
        <f>"145,0"</f>
        <v>145,0</v>
      </c>
      <c r="L45" s="16" t="str">
        <f>"216,5734"</f>
        <v>216,5734</v>
      </c>
      <c r="M45" s="15" t="s">
        <v>177</v>
      </c>
    </row>
    <row r="47" spans="1:13" ht="15" x14ac:dyDescent="0.2">
      <c r="A47" s="46" t="s">
        <v>28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3" x14ac:dyDescent="0.2">
      <c r="A48" s="9" t="s">
        <v>1225</v>
      </c>
      <c r="B48" s="9" t="s">
        <v>1226</v>
      </c>
      <c r="C48" s="9" t="s">
        <v>861</v>
      </c>
      <c r="D48" s="9" t="str">
        <f>"0,6774"</f>
        <v>0,6774</v>
      </c>
      <c r="E48" s="9" t="s">
        <v>18</v>
      </c>
      <c r="F48" s="9" t="s">
        <v>249</v>
      </c>
      <c r="G48" s="10" t="s">
        <v>190</v>
      </c>
      <c r="H48" s="10" t="s">
        <v>281</v>
      </c>
      <c r="I48" s="10" t="s">
        <v>34</v>
      </c>
      <c r="J48" s="11"/>
      <c r="K48" s="9" t="str">
        <f>"140,0"</f>
        <v>140,0</v>
      </c>
      <c r="L48" s="10" t="str">
        <f>"94,8360"</f>
        <v>94,8360</v>
      </c>
      <c r="M48" s="9" t="s">
        <v>255</v>
      </c>
    </row>
    <row r="49" spans="1:13" x14ac:dyDescent="0.2">
      <c r="A49" s="15" t="s">
        <v>1228</v>
      </c>
      <c r="B49" s="15" t="s">
        <v>1229</v>
      </c>
      <c r="C49" s="15" t="s">
        <v>32</v>
      </c>
      <c r="D49" s="15" t="str">
        <f>"0,6764"</f>
        <v>0,6764</v>
      </c>
      <c r="E49" s="15" t="s">
        <v>18</v>
      </c>
      <c r="F49" s="15" t="s">
        <v>1230</v>
      </c>
      <c r="G49" s="16" t="s">
        <v>69</v>
      </c>
      <c r="H49" s="17" t="s">
        <v>188</v>
      </c>
      <c r="I49" s="17" t="s">
        <v>188</v>
      </c>
      <c r="J49" s="17"/>
      <c r="K49" s="15" t="str">
        <f>"170,0"</f>
        <v>170,0</v>
      </c>
      <c r="L49" s="16" t="str">
        <f>"114,9880"</f>
        <v>114,9880</v>
      </c>
      <c r="M49" s="15" t="s">
        <v>74</v>
      </c>
    </row>
    <row r="51" spans="1:13" ht="15" x14ac:dyDescent="0.2">
      <c r="A51" s="46" t="s">
        <v>39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3" x14ac:dyDescent="0.2">
      <c r="A52" s="9" t="s">
        <v>455</v>
      </c>
      <c r="B52" s="9" t="s">
        <v>456</v>
      </c>
      <c r="C52" s="9" t="s">
        <v>187</v>
      </c>
      <c r="D52" s="9" t="str">
        <f>"0,6491"</f>
        <v>0,6491</v>
      </c>
      <c r="E52" s="9" t="s">
        <v>18</v>
      </c>
      <c r="F52" s="9" t="s">
        <v>58</v>
      </c>
      <c r="G52" s="10" t="s">
        <v>46</v>
      </c>
      <c r="H52" s="10" t="s">
        <v>49</v>
      </c>
      <c r="I52" s="11" t="s">
        <v>59</v>
      </c>
      <c r="J52" s="11"/>
      <c r="K52" s="9" t="str">
        <f>"230,0"</f>
        <v>230,0</v>
      </c>
      <c r="L52" s="10" t="str">
        <f>"149,2930"</f>
        <v>149,2930</v>
      </c>
      <c r="M52" s="9" t="s">
        <v>74</v>
      </c>
    </row>
    <row r="53" spans="1:13" x14ac:dyDescent="0.2">
      <c r="A53" s="15" t="s">
        <v>1232</v>
      </c>
      <c r="B53" s="15" t="s">
        <v>1233</v>
      </c>
      <c r="C53" s="15" t="s">
        <v>1234</v>
      </c>
      <c r="D53" s="15" t="str">
        <f>"0,6463"</f>
        <v>0,6463</v>
      </c>
      <c r="E53" s="15" t="s">
        <v>18</v>
      </c>
      <c r="F53" s="15" t="s">
        <v>928</v>
      </c>
      <c r="G53" s="16" t="s">
        <v>70</v>
      </c>
      <c r="H53" s="16" t="s">
        <v>71</v>
      </c>
      <c r="I53" s="16" t="s">
        <v>45</v>
      </c>
      <c r="J53" s="17"/>
      <c r="K53" s="15" t="str">
        <f>"205,0"</f>
        <v>205,0</v>
      </c>
      <c r="L53" s="16" t="str">
        <f>"132,4915"</f>
        <v>132,4915</v>
      </c>
      <c r="M53" s="15" t="s">
        <v>1235</v>
      </c>
    </row>
    <row r="55" spans="1:13" ht="15" x14ac:dyDescent="0.2">
      <c r="A55" s="46" t="s">
        <v>75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3" x14ac:dyDescent="0.2">
      <c r="A56" s="9" t="s">
        <v>1237</v>
      </c>
      <c r="B56" s="9" t="s">
        <v>1238</v>
      </c>
      <c r="C56" s="9" t="s">
        <v>937</v>
      </c>
      <c r="D56" s="9" t="str">
        <f>"0,6150"</f>
        <v>0,6150</v>
      </c>
      <c r="E56" s="9" t="s">
        <v>18</v>
      </c>
      <c r="F56" s="9" t="s">
        <v>19</v>
      </c>
      <c r="G56" s="10" t="s">
        <v>192</v>
      </c>
      <c r="H56" s="10" t="s">
        <v>197</v>
      </c>
      <c r="I56" s="10" t="s">
        <v>198</v>
      </c>
      <c r="J56" s="11"/>
      <c r="K56" s="9" t="str">
        <f>"237,5"</f>
        <v>237,5</v>
      </c>
      <c r="L56" s="10" t="str">
        <f>"146,0625"</f>
        <v>146,0625</v>
      </c>
      <c r="M56" s="9" t="s">
        <v>1239</v>
      </c>
    </row>
    <row r="57" spans="1:13" x14ac:dyDescent="0.2">
      <c r="A57" s="12" t="s">
        <v>1241</v>
      </c>
      <c r="B57" s="12" t="s">
        <v>1242</v>
      </c>
      <c r="C57" s="12" t="s">
        <v>1243</v>
      </c>
      <c r="D57" s="12" t="str">
        <f>"0,6121"</f>
        <v>0,6121</v>
      </c>
      <c r="E57" s="12" t="s">
        <v>18</v>
      </c>
      <c r="F57" s="12" t="s">
        <v>68</v>
      </c>
      <c r="G57" s="13" t="s">
        <v>197</v>
      </c>
      <c r="H57" s="13" t="s">
        <v>174</v>
      </c>
      <c r="I57" s="14" t="s">
        <v>59</v>
      </c>
      <c r="J57" s="14"/>
      <c r="K57" s="12" t="str">
        <f>"235,0"</f>
        <v>235,0</v>
      </c>
      <c r="L57" s="13" t="str">
        <f>"143,8435"</f>
        <v>143,8435</v>
      </c>
      <c r="M57" s="12" t="s">
        <v>1244</v>
      </c>
    </row>
    <row r="58" spans="1:13" x14ac:dyDescent="0.2">
      <c r="A58" s="12" t="s">
        <v>1246</v>
      </c>
      <c r="B58" s="12" t="s">
        <v>1247</v>
      </c>
      <c r="C58" s="12" t="s">
        <v>1248</v>
      </c>
      <c r="D58" s="12" t="str">
        <f>"0,6191"</f>
        <v>0,6191</v>
      </c>
      <c r="E58" s="12" t="s">
        <v>18</v>
      </c>
      <c r="F58" s="12" t="s">
        <v>761</v>
      </c>
      <c r="G58" s="13" t="s">
        <v>71</v>
      </c>
      <c r="H58" s="13" t="s">
        <v>73</v>
      </c>
      <c r="I58" s="13" t="s">
        <v>668</v>
      </c>
      <c r="J58" s="14"/>
      <c r="K58" s="12" t="str">
        <f>"217,5"</f>
        <v>217,5</v>
      </c>
      <c r="L58" s="13" t="str">
        <f>"134,6542"</f>
        <v>134,6542</v>
      </c>
      <c r="M58" s="12" t="s">
        <v>762</v>
      </c>
    </row>
    <row r="59" spans="1:13" x14ac:dyDescent="0.2">
      <c r="A59" s="12" t="s">
        <v>1250</v>
      </c>
      <c r="B59" s="12" t="s">
        <v>1251</v>
      </c>
      <c r="C59" s="12" t="s">
        <v>1252</v>
      </c>
      <c r="D59" s="12" t="str">
        <f>"0,6118"</f>
        <v>0,6118</v>
      </c>
      <c r="E59" s="12" t="s">
        <v>18</v>
      </c>
      <c r="F59" s="12" t="s">
        <v>1097</v>
      </c>
      <c r="G59" s="13" t="s">
        <v>70</v>
      </c>
      <c r="H59" s="13" t="s">
        <v>667</v>
      </c>
      <c r="I59" s="14" t="s">
        <v>111</v>
      </c>
      <c r="J59" s="14"/>
      <c r="K59" s="12" t="str">
        <f>"207,5"</f>
        <v>207,5</v>
      </c>
      <c r="L59" s="13" t="str">
        <f>"126,9485"</f>
        <v>126,9485</v>
      </c>
      <c r="M59" s="12" t="s">
        <v>1253</v>
      </c>
    </row>
    <row r="60" spans="1:13" x14ac:dyDescent="0.2">
      <c r="A60" s="12" t="s">
        <v>1241</v>
      </c>
      <c r="B60" s="12" t="s">
        <v>1254</v>
      </c>
      <c r="C60" s="12" t="s">
        <v>1243</v>
      </c>
      <c r="D60" s="12" t="str">
        <f>"0,6121"</f>
        <v>0,6121</v>
      </c>
      <c r="E60" s="12" t="s">
        <v>18</v>
      </c>
      <c r="F60" s="12" t="s">
        <v>68</v>
      </c>
      <c r="G60" s="13" t="s">
        <v>197</v>
      </c>
      <c r="H60" s="13" t="s">
        <v>174</v>
      </c>
      <c r="I60" s="14" t="s">
        <v>59</v>
      </c>
      <c r="J60" s="14"/>
      <c r="K60" s="12" t="str">
        <f>"235,0"</f>
        <v>235,0</v>
      </c>
      <c r="L60" s="13" t="str">
        <f>"145,2819"</f>
        <v>145,2819</v>
      </c>
      <c r="M60" s="12" t="s">
        <v>1244</v>
      </c>
    </row>
    <row r="61" spans="1:13" x14ac:dyDescent="0.2">
      <c r="A61" s="12" t="s">
        <v>1255</v>
      </c>
      <c r="B61" s="12" t="s">
        <v>936</v>
      </c>
      <c r="C61" s="12" t="s">
        <v>937</v>
      </c>
      <c r="D61" s="12" t="str">
        <f>"0,6150"</f>
        <v>0,6150</v>
      </c>
      <c r="E61" s="12" t="s">
        <v>18</v>
      </c>
      <c r="F61" s="12" t="s">
        <v>382</v>
      </c>
      <c r="G61" s="13" t="s">
        <v>73</v>
      </c>
      <c r="H61" s="13" t="s">
        <v>46</v>
      </c>
      <c r="I61" s="13" t="s">
        <v>453</v>
      </c>
      <c r="J61" s="14"/>
      <c r="K61" s="12" t="str">
        <f>"227,5"</f>
        <v>227,5</v>
      </c>
      <c r="L61" s="13" t="str">
        <f>"144,2498"</f>
        <v>144,2498</v>
      </c>
      <c r="M61" s="12" t="s">
        <v>74</v>
      </c>
    </row>
    <row r="62" spans="1:13" x14ac:dyDescent="0.2">
      <c r="A62" s="15" t="s">
        <v>1256</v>
      </c>
      <c r="B62" s="15" t="s">
        <v>1257</v>
      </c>
      <c r="C62" s="15" t="s">
        <v>1258</v>
      </c>
      <c r="D62" s="15" t="str">
        <f>"0,6111"</f>
        <v>0,6111</v>
      </c>
      <c r="E62" s="15" t="s">
        <v>18</v>
      </c>
      <c r="F62" s="15" t="s">
        <v>68</v>
      </c>
      <c r="G62" s="17"/>
      <c r="H62" s="17"/>
      <c r="I62" s="17"/>
      <c r="J62" s="17"/>
      <c r="K62" s="15" t="str">
        <f>"0.00"</f>
        <v>0.00</v>
      </c>
      <c r="L62" s="16" t="str">
        <f>"0,0000"</f>
        <v>0,0000</v>
      </c>
      <c r="M62" s="15" t="s">
        <v>38</v>
      </c>
    </row>
    <row r="64" spans="1:13" ht="15" x14ac:dyDescent="0.2">
      <c r="A64" s="46" t="s">
        <v>112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3" x14ac:dyDescent="0.2">
      <c r="A65" s="9" t="s">
        <v>1260</v>
      </c>
      <c r="B65" s="9" t="s">
        <v>1261</v>
      </c>
      <c r="C65" s="9" t="s">
        <v>1262</v>
      </c>
      <c r="D65" s="9" t="str">
        <f>"0,5907"</f>
        <v>0,5907</v>
      </c>
      <c r="E65" s="9" t="s">
        <v>18</v>
      </c>
      <c r="F65" s="9" t="s">
        <v>1263</v>
      </c>
      <c r="G65" s="10" t="s">
        <v>86</v>
      </c>
      <c r="H65" s="11" t="s">
        <v>52</v>
      </c>
      <c r="I65" s="11" t="s">
        <v>52</v>
      </c>
      <c r="J65" s="11"/>
      <c r="K65" s="9" t="str">
        <f>"265,0"</f>
        <v>265,0</v>
      </c>
      <c r="L65" s="10" t="str">
        <f>"156,5355"</f>
        <v>156,5355</v>
      </c>
      <c r="M65" s="9" t="s">
        <v>38</v>
      </c>
    </row>
    <row r="66" spans="1:13" x14ac:dyDescent="0.2">
      <c r="A66" s="12" t="s">
        <v>1265</v>
      </c>
      <c r="B66" s="12" t="s">
        <v>1266</v>
      </c>
      <c r="C66" s="12" t="s">
        <v>1267</v>
      </c>
      <c r="D66" s="12" t="str">
        <f>"0,5914"</f>
        <v>0,5914</v>
      </c>
      <c r="E66" s="12" t="s">
        <v>18</v>
      </c>
      <c r="F66" s="12" t="s">
        <v>68</v>
      </c>
      <c r="G66" s="13" t="s">
        <v>59</v>
      </c>
      <c r="H66" s="13" t="s">
        <v>50</v>
      </c>
      <c r="I66" s="14" t="s">
        <v>96</v>
      </c>
      <c r="J66" s="14"/>
      <c r="K66" s="12" t="str">
        <f>"250,0"</f>
        <v>250,0</v>
      </c>
      <c r="L66" s="13" t="str">
        <f>"147,8500"</f>
        <v>147,8500</v>
      </c>
      <c r="M66" s="12" t="s">
        <v>1268</v>
      </c>
    </row>
    <row r="67" spans="1:13" x14ac:dyDescent="0.2">
      <c r="A67" s="15" t="s">
        <v>1270</v>
      </c>
      <c r="B67" s="15" t="s">
        <v>1271</v>
      </c>
      <c r="C67" s="15" t="s">
        <v>212</v>
      </c>
      <c r="D67" s="15" t="str">
        <f>"0,5928"</f>
        <v>0,5928</v>
      </c>
      <c r="E67" s="15" t="s">
        <v>18</v>
      </c>
      <c r="F67" s="15" t="s">
        <v>68</v>
      </c>
      <c r="G67" s="17" t="s">
        <v>302</v>
      </c>
      <c r="H67" s="16" t="s">
        <v>303</v>
      </c>
      <c r="I67" s="16" t="s">
        <v>45</v>
      </c>
      <c r="J67" s="17"/>
      <c r="K67" s="15" t="str">
        <f>"205,0"</f>
        <v>205,0</v>
      </c>
      <c r="L67" s="16" t="str">
        <f>"135,2562"</f>
        <v>135,2562</v>
      </c>
      <c r="M67" s="15" t="s">
        <v>1272</v>
      </c>
    </row>
    <row r="69" spans="1:13" ht="15" x14ac:dyDescent="0.2">
      <c r="A69" s="46" t="s">
        <v>214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3" x14ac:dyDescent="0.2">
      <c r="A70" s="9" t="s">
        <v>1274</v>
      </c>
      <c r="B70" s="9" t="s">
        <v>1275</v>
      </c>
      <c r="C70" s="9" t="s">
        <v>1276</v>
      </c>
      <c r="D70" s="9" t="str">
        <f>"0,5727"</f>
        <v>0,5727</v>
      </c>
      <c r="E70" s="9" t="s">
        <v>18</v>
      </c>
      <c r="F70" s="9" t="s">
        <v>795</v>
      </c>
      <c r="G70" s="10" t="s">
        <v>25</v>
      </c>
      <c r="H70" s="10" t="s">
        <v>93</v>
      </c>
      <c r="I70" s="10" t="s">
        <v>182</v>
      </c>
      <c r="J70" s="10" t="s">
        <v>302</v>
      </c>
      <c r="K70" s="9" t="str">
        <f>"172,5"</f>
        <v>172,5</v>
      </c>
      <c r="L70" s="10" t="str">
        <f>"98,7908"</f>
        <v>98,7908</v>
      </c>
      <c r="M70" s="9" t="s">
        <v>1277</v>
      </c>
    </row>
    <row r="71" spans="1:13" x14ac:dyDescent="0.2">
      <c r="A71" s="12" t="s">
        <v>1279</v>
      </c>
      <c r="B71" s="12" t="s">
        <v>1280</v>
      </c>
      <c r="C71" s="12" t="s">
        <v>1281</v>
      </c>
      <c r="D71" s="12" t="str">
        <f>"0,5781"</f>
        <v>0,5781</v>
      </c>
      <c r="E71" s="12" t="s">
        <v>18</v>
      </c>
      <c r="F71" s="12" t="s">
        <v>68</v>
      </c>
      <c r="G71" s="13" t="s">
        <v>96</v>
      </c>
      <c r="H71" s="13" t="s">
        <v>81</v>
      </c>
      <c r="I71" s="14" t="s">
        <v>82</v>
      </c>
      <c r="J71" s="14"/>
      <c r="K71" s="12" t="str">
        <f>"270,0"</f>
        <v>270,0</v>
      </c>
      <c r="L71" s="13" t="str">
        <f>"156,0870"</f>
        <v>156,0870</v>
      </c>
      <c r="M71" s="12" t="s">
        <v>38</v>
      </c>
    </row>
    <row r="72" spans="1:13" x14ac:dyDescent="0.2">
      <c r="A72" s="12" t="s">
        <v>312</v>
      </c>
      <c r="B72" s="12" t="s">
        <v>313</v>
      </c>
      <c r="C72" s="12" t="s">
        <v>314</v>
      </c>
      <c r="D72" s="12" t="str">
        <f>"0,5749"</f>
        <v>0,5749</v>
      </c>
      <c r="E72" s="12" t="s">
        <v>18</v>
      </c>
      <c r="F72" s="12" t="s">
        <v>301</v>
      </c>
      <c r="G72" s="13" t="s">
        <v>85</v>
      </c>
      <c r="H72" s="13" t="s">
        <v>117</v>
      </c>
      <c r="I72" s="13" t="s">
        <v>86</v>
      </c>
      <c r="J72" s="14"/>
      <c r="K72" s="12" t="str">
        <f>"265,0"</f>
        <v>265,0</v>
      </c>
      <c r="L72" s="13" t="str">
        <f>"152,3485"</f>
        <v>152,3485</v>
      </c>
      <c r="M72" s="12" t="s">
        <v>316</v>
      </c>
    </row>
    <row r="73" spans="1:13" x14ac:dyDescent="0.2">
      <c r="A73" s="12" t="s">
        <v>317</v>
      </c>
      <c r="B73" s="12" t="s">
        <v>318</v>
      </c>
      <c r="C73" s="12" t="s">
        <v>314</v>
      </c>
      <c r="D73" s="12" t="str">
        <f>"0,5749"</f>
        <v>0,5749</v>
      </c>
      <c r="E73" s="12" t="s">
        <v>18</v>
      </c>
      <c r="F73" s="12" t="s">
        <v>301</v>
      </c>
      <c r="G73" s="13" t="s">
        <v>85</v>
      </c>
      <c r="H73" s="13" t="s">
        <v>117</v>
      </c>
      <c r="I73" s="13" t="s">
        <v>86</v>
      </c>
      <c r="J73" s="14"/>
      <c r="K73" s="12" t="str">
        <f>"265,0"</f>
        <v>265,0</v>
      </c>
      <c r="L73" s="13" t="str">
        <f>"160,7277"</f>
        <v>160,7277</v>
      </c>
      <c r="M73" s="12" t="s">
        <v>316</v>
      </c>
    </row>
    <row r="74" spans="1:13" x14ac:dyDescent="0.2">
      <c r="A74" s="15" t="s">
        <v>1283</v>
      </c>
      <c r="B74" s="15" t="s">
        <v>1284</v>
      </c>
      <c r="C74" s="15" t="s">
        <v>1285</v>
      </c>
      <c r="D74" s="15" t="str">
        <f>"0,5708"</f>
        <v>0,5708</v>
      </c>
      <c r="E74" s="15" t="s">
        <v>18</v>
      </c>
      <c r="F74" s="15" t="s">
        <v>68</v>
      </c>
      <c r="G74" s="16" t="s">
        <v>85</v>
      </c>
      <c r="H74" s="16" t="s">
        <v>1286</v>
      </c>
      <c r="I74" s="17" t="s">
        <v>51</v>
      </c>
      <c r="J74" s="17"/>
      <c r="K74" s="15" t="str">
        <f>"257,5"</f>
        <v>257,5</v>
      </c>
      <c r="L74" s="16" t="str">
        <f>"159,0334"</f>
        <v>159,0334</v>
      </c>
      <c r="M74" s="15" t="s">
        <v>1287</v>
      </c>
    </row>
    <row r="76" spans="1:13" ht="15" x14ac:dyDescent="0.2">
      <c r="A76" s="46" t="s">
        <v>319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3" x14ac:dyDescent="0.2">
      <c r="A77" s="6" t="s">
        <v>1289</v>
      </c>
      <c r="B77" s="6" t="s">
        <v>1290</v>
      </c>
      <c r="C77" s="6" t="s">
        <v>1291</v>
      </c>
      <c r="D77" s="6" t="str">
        <f>"0,5607"</f>
        <v>0,5607</v>
      </c>
      <c r="E77" s="6" t="s">
        <v>18</v>
      </c>
      <c r="F77" s="6" t="s">
        <v>1097</v>
      </c>
      <c r="G77" s="7" t="s">
        <v>73</v>
      </c>
      <c r="H77" s="7" t="s">
        <v>453</v>
      </c>
      <c r="I77" s="7" t="s">
        <v>96</v>
      </c>
      <c r="J77" s="8"/>
      <c r="K77" s="6" t="str">
        <f>"260,0"</f>
        <v>260,0</v>
      </c>
      <c r="L77" s="7" t="str">
        <f>"145,7820"</f>
        <v>145,7820</v>
      </c>
      <c r="M77" s="6" t="s">
        <v>1253</v>
      </c>
    </row>
    <row r="79" spans="1:13" ht="15" x14ac:dyDescent="0.2">
      <c r="E79" s="18" t="s">
        <v>119</v>
      </c>
    </row>
    <row r="80" spans="1:13" ht="15" x14ac:dyDescent="0.2">
      <c r="E80" s="18" t="s">
        <v>120</v>
      </c>
    </row>
    <row r="81" spans="1:5" ht="15" x14ac:dyDescent="0.2">
      <c r="E81" s="18" t="s">
        <v>121</v>
      </c>
    </row>
    <row r="82" spans="1:5" ht="15" x14ac:dyDescent="0.2">
      <c r="E82" s="18" t="s">
        <v>122</v>
      </c>
    </row>
    <row r="83" spans="1:5" ht="15" x14ac:dyDescent="0.2">
      <c r="E83" s="18" t="s">
        <v>122</v>
      </c>
    </row>
    <row r="84" spans="1:5" ht="15" x14ac:dyDescent="0.2">
      <c r="E84" s="18" t="s">
        <v>123</v>
      </c>
    </row>
    <row r="85" spans="1:5" ht="15" x14ac:dyDescent="0.2">
      <c r="E85" s="18"/>
    </row>
    <row r="87" spans="1:5" ht="18" x14ac:dyDescent="0.25">
      <c r="A87" s="19" t="s">
        <v>124</v>
      </c>
      <c r="B87" s="19"/>
    </row>
    <row r="88" spans="1:5" ht="15" x14ac:dyDescent="0.2">
      <c r="A88" s="20" t="s">
        <v>125</v>
      </c>
      <c r="B88" s="20"/>
    </row>
    <row r="89" spans="1:5" ht="14.25" x14ac:dyDescent="0.2">
      <c r="A89" s="22"/>
      <c r="B89" s="23" t="s">
        <v>498</v>
      </c>
    </row>
    <row r="90" spans="1:5" ht="15" x14ac:dyDescent="0.2">
      <c r="A90" s="24" t="s">
        <v>127</v>
      </c>
      <c r="B90" s="24" t="s">
        <v>128</v>
      </c>
      <c r="C90" s="24" t="s">
        <v>129</v>
      </c>
      <c r="D90" s="24" t="s">
        <v>130</v>
      </c>
      <c r="E90" s="24" t="s">
        <v>131</v>
      </c>
    </row>
    <row r="91" spans="1:5" x14ac:dyDescent="0.2">
      <c r="A91" s="21" t="s">
        <v>1168</v>
      </c>
      <c r="B91" s="4" t="s">
        <v>499</v>
      </c>
      <c r="C91" s="4" t="s">
        <v>331</v>
      </c>
      <c r="D91" s="4" t="s">
        <v>362</v>
      </c>
      <c r="E91" s="25" t="s">
        <v>1292</v>
      </c>
    </row>
    <row r="93" spans="1:5" ht="14.25" x14ac:dyDescent="0.2">
      <c r="A93" s="22"/>
      <c r="B93" s="23" t="s">
        <v>144</v>
      </c>
    </row>
    <row r="94" spans="1:5" ht="15" x14ac:dyDescent="0.2">
      <c r="A94" s="24" t="s">
        <v>127</v>
      </c>
      <c r="B94" s="24" t="s">
        <v>128</v>
      </c>
      <c r="C94" s="24" t="s">
        <v>129</v>
      </c>
      <c r="D94" s="24" t="s">
        <v>130</v>
      </c>
      <c r="E94" s="24" t="s">
        <v>131</v>
      </c>
    </row>
    <row r="95" spans="1:5" x14ac:dyDescent="0.2">
      <c r="A95" s="21" t="s">
        <v>1150</v>
      </c>
      <c r="B95" s="4" t="s">
        <v>144</v>
      </c>
      <c r="C95" s="4" t="s">
        <v>501</v>
      </c>
      <c r="D95" s="4" t="s">
        <v>110</v>
      </c>
      <c r="E95" s="25" t="s">
        <v>1293</v>
      </c>
    </row>
    <row r="96" spans="1:5" x14ac:dyDescent="0.2">
      <c r="A96" s="21" t="s">
        <v>1156</v>
      </c>
      <c r="B96" s="4" t="s">
        <v>144</v>
      </c>
      <c r="C96" s="4" t="s">
        <v>133</v>
      </c>
      <c r="D96" s="4" t="s">
        <v>281</v>
      </c>
      <c r="E96" s="25" t="s">
        <v>1294</v>
      </c>
    </row>
    <row r="97" spans="1:5" x14ac:dyDescent="0.2">
      <c r="A97" s="21" t="s">
        <v>742</v>
      </c>
      <c r="B97" s="4" t="s">
        <v>144</v>
      </c>
      <c r="C97" s="4" t="s">
        <v>501</v>
      </c>
      <c r="D97" s="4" t="s">
        <v>25</v>
      </c>
      <c r="E97" s="25" t="s">
        <v>1295</v>
      </c>
    </row>
    <row r="98" spans="1:5" x14ac:dyDescent="0.2">
      <c r="A98" s="21" t="s">
        <v>1173</v>
      </c>
      <c r="B98" s="4" t="s">
        <v>144</v>
      </c>
      <c r="C98" s="4" t="s">
        <v>503</v>
      </c>
      <c r="D98" s="4" t="s">
        <v>190</v>
      </c>
      <c r="E98" s="25" t="s">
        <v>1296</v>
      </c>
    </row>
    <row r="99" spans="1:5" x14ac:dyDescent="0.2">
      <c r="A99" s="21" t="s">
        <v>1193</v>
      </c>
      <c r="B99" s="4" t="s">
        <v>144</v>
      </c>
      <c r="C99" s="4" t="s">
        <v>156</v>
      </c>
      <c r="D99" s="4" t="s">
        <v>34</v>
      </c>
      <c r="E99" s="25" t="s">
        <v>1297</v>
      </c>
    </row>
    <row r="100" spans="1:5" x14ac:dyDescent="0.2">
      <c r="A100" s="21" t="s">
        <v>1177</v>
      </c>
      <c r="B100" s="4" t="s">
        <v>144</v>
      </c>
      <c r="C100" s="4" t="s">
        <v>503</v>
      </c>
      <c r="D100" s="4" t="s">
        <v>429</v>
      </c>
      <c r="E100" s="25" t="s">
        <v>1298</v>
      </c>
    </row>
    <row r="101" spans="1:5" x14ac:dyDescent="0.2">
      <c r="A101" s="21" t="s">
        <v>405</v>
      </c>
      <c r="B101" s="4" t="s">
        <v>144</v>
      </c>
      <c r="C101" s="4" t="s">
        <v>327</v>
      </c>
      <c r="D101" s="4" t="s">
        <v>267</v>
      </c>
      <c r="E101" s="25" t="s">
        <v>1299</v>
      </c>
    </row>
    <row r="102" spans="1:5" x14ac:dyDescent="0.2">
      <c r="A102" s="21" t="s">
        <v>1198</v>
      </c>
      <c r="B102" s="4" t="s">
        <v>144</v>
      </c>
      <c r="C102" s="4" t="s">
        <v>325</v>
      </c>
      <c r="D102" s="4" t="s">
        <v>239</v>
      </c>
      <c r="E102" s="25" t="s">
        <v>1300</v>
      </c>
    </row>
    <row r="103" spans="1:5" x14ac:dyDescent="0.2">
      <c r="A103" s="21" t="s">
        <v>771</v>
      </c>
      <c r="B103" s="4" t="s">
        <v>144</v>
      </c>
      <c r="C103" s="4" t="s">
        <v>331</v>
      </c>
      <c r="D103" s="4" t="s">
        <v>20</v>
      </c>
      <c r="E103" s="25" t="s">
        <v>1301</v>
      </c>
    </row>
    <row r="104" spans="1:5" x14ac:dyDescent="0.2">
      <c r="A104" s="21" t="s">
        <v>1183</v>
      </c>
      <c r="B104" s="4" t="s">
        <v>144</v>
      </c>
      <c r="C104" s="4" t="s">
        <v>503</v>
      </c>
      <c r="D104" s="4" t="s">
        <v>35</v>
      </c>
      <c r="E104" s="25" t="s">
        <v>1302</v>
      </c>
    </row>
    <row r="106" spans="1:5" ht="14.25" x14ac:dyDescent="0.2">
      <c r="A106" s="22"/>
      <c r="B106" s="23" t="s">
        <v>159</v>
      </c>
    </row>
    <row r="107" spans="1:5" ht="15" x14ac:dyDescent="0.2">
      <c r="A107" s="24" t="s">
        <v>127</v>
      </c>
      <c r="B107" s="24" t="s">
        <v>128</v>
      </c>
      <c r="C107" s="24" t="s">
        <v>129</v>
      </c>
      <c r="D107" s="24" t="s">
        <v>130</v>
      </c>
      <c r="E107" s="24" t="s">
        <v>131</v>
      </c>
    </row>
    <row r="108" spans="1:5" x14ac:dyDescent="0.2">
      <c r="A108" s="21" t="s">
        <v>1189</v>
      </c>
      <c r="B108" s="4" t="s">
        <v>708</v>
      </c>
      <c r="C108" s="4" t="s">
        <v>336</v>
      </c>
      <c r="D108" s="4" t="s">
        <v>33</v>
      </c>
      <c r="E108" s="25" t="s">
        <v>1303</v>
      </c>
    </row>
    <row r="109" spans="1:5" x14ac:dyDescent="0.2">
      <c r="A109" s="21" t="s">
        <v>771</v>
      </c>
      <c r="B109" s="4" t="s">
        <v>160</v>
      </c>
      <c r="C109" s="4" t="s">
        <v>331</v>
      </c>
      <c r="D109" s="4" t="s">
        <v>20</v>
      </c>
      <c r="E109" s="25" t="s">
        <v>1301</v>
      </c>
    </row>
    <row r="112" spans="1:5" ht="15" x14ac:dyDescent="0.2">
      <c r="A112" s="20" t="s">
        <v>136</v>
      </c>
      <c r="B112" s="20"/>
    </row>
    <row r="113" spans="1:5" ht="14.25" x14ac:dyDescent="0.2">
      <c r="A113" s="22"/>
      <c r="B113" s="23" t="s">
        <v>512</v>
      </c>
    </row>
    <row r="114" spans="1:5" ht="15" x14ac:dyDescent="0.2">
      <c r="A114" s="24" t="s">
        <v>127</v>
      </c>
      <c r="B114" s="24" t="s">
        <v>128</v>
      </c>
      <c r="C114" s="24" t="s">
        <v>129</v>
      </c>
      <c r="D114" s="24" t="s">
        <v>130</v>
      </c>
      <c r="E114" s="24" t="s">
        <v>131</v>
      </c>
    </row>
    <row r="115" spans="1:5" x14ac:dyDescent="0.2">
      <c r="A115" s="21" t="s">
        <v>1203</v>
      </c>
      <c r="B115" s="4" t="s">
        <v>499</v>
      </c>
      <c r="C115" s="4" t="s">
        <v>503</v>
      </c>
      <c r="D115" s="4" t="s">
        <v>84</v>
      </c>
      <c r="E115" s="25" t="s">
        <v>1304</v>
      </c>
    </row>
    <row r="116" spans="1:5" x14ac:dyDescent="0.2">
      <c r="A116" s="21" t="s">
        <v>1273</v>
      </c>
      <c r="B116" s="4" t="s">
        <v>499</v>
      </c>
      <c r="C116" s="4" t="s">
        <v>232</v>
      </c>
      <c r="D116" s="4" t="s">
        <v>182</v>
      </c>
      <c r="E116" s="25" t="s">
        <v>1305</v>
      </c>
    </row>
    <row r="117" spans="1:5" x14ac:dyDescent="0.2">
      <c r="A117" s="21" t="s">
        <v>1224</v>
      </c>
      <c r="B117" s="4" t="s">
        <v>499</v>
      </c>
      <c r="C117" s="4" t="s">
        <v>156</v>
      </c>
      <c r="D117" s="4" t="s">
        <v>34</v>
      </c>
      <c r="E117" s="25" t="s">
        <v>1306</v>
      </c>
    </row>
    <row r="118" spans="1:5" x14ac:dyDescent="0.2">
      <c r="A118" s="21" t="s">
        <v>1209</v>
      </c>
      <c r="B118" s="4" t="s">
        <v>499</v>
      </c>
      <c r="C118" s="4" t="s">
        <v>327</v>
      </c>
      <c r="D118" s="4" t="s">
        <v>189</v>
      </c>
      <c r="E118" s="25" t="s">
        <v>1307</v>
      </c>
    </row>
    <row r="120" spans="1:5" ht="14.25" x14ac:dyDescent="0.2">
      <c r="A120" s="22"/>
      <c r="B120" s="23" t="s">
        <v>137</v>
      </c>
    </row>
    <row r="121" spans="1:5" ht="15" x14ac:dyDescent="0.2">
      <c r="A121" s="24" t="s">
        <v>127</v>
      </c>
      <c r="B121" s="24" t="s">
        <v>128</v>
      </c>
      <c r="C121" s="24" t="s">
        <v>129</v>
      </c>
      <c r="D121" s="24" t="s">
        <v>130</v>
      </c>
      <c r="E121" s="24" t="s">
        <v>131</v>
      </c>
    </row>
    <row r="122" spans="1:5" x14ac:dyDescent="0.2">
      <c r="A122" s="21" t="s">
        <v>1236</v>
      </c>
      <c r="B122" s="4" t="s">
        <v>132</v>
      </c>
      <c r="C122" s="4" t="s">
        <v>138</v>
      </c>
      <c r="D122" s="4" t="s">
        <v>198</v>
      </c>
      <c r="E122" s="25" t="s">
        <v>1308</v>
      </c>
    </row>
    <row r="124" spans="1:5" ht="14.25" x14ac:dyDescent="0.2">
      <c r="A124" s="22"/>
      <c r="B124" s="23" t="s">
        <v>144</v>
      </c>
    </row>
    <row r="125" spans="1:5" ht="15" x14ac:dyDescent="0.2">
      <c r="A125" s="24" t="s">
        <v>127</v>
      </c>
      <c r="B125" s="24" t="s">
        <v>128</v>
      </c>
      <c r="C125" s="24" t="s">
        <v>129</v>
      </c>
      <c r="D125" s="24" t="s">
        <v>130</v>
      </c>
      <c r="E125" s="24" t="s">
        <v>131</v>
      </c>
    </row>
    <row r="126" spans="1:5" x14ac:dyDescent="0.2">
      <c r="A126" s="21" t="s">
        <v>1259</v>
      </c>
      <c r="B126" s="4" t="s">
        <v>144</v>
      </c>
      <c r="C126" s="4" t="s">
        <v>151</v>
      </c>
      <c r="D126" s="4" t="s">
        <v>86</v>
      </c>
      <c r="E126" s="25" t="s">
        <v>1309</v>
      </c>
    </row>
    <row r="127" spans="1:5" x14ac:dyDescent="0.2">
      <c r="A127" s="21" t="s">
        <v>1278</v>
      </c>
      <c r="B127" s="4" t="s">
        <v>144</v>
      </c>
      <c r="C127" s="4" t="s">
        <v>232</v>
      </c>
      <c r="D127" s="4" t="s">
        <v>81</v>
      </c>
      <c r="E127" s="25" t="s">
        <v>1310</v>
      </c>
    </row>
    <row r="128" spans="1:5" x14ac:dyDescent="0.2">
      <c r="A128" s="21" t="s">
        <v>311</v>
      </c>
      <c r="B128" s="4" t="s">
        <v>144</v>
      </c>
      <c r="C128" s="4" t="s">
        <v>232</v>
      </c>
      <c r="D128" s="4" t="s">
        <v>86</v>
      </c>
      <c r="E128" s="25" t="s">
        <v>1311</v>
      </c>
    </row>
    <row r="129" spans="1:5" x14ac:dyDescent="0.2">
      <c r="A129" s="21" t="s">
        <v>454</v>
      </c>
      <c r="B129" s="4" t="s">
        <v>144</v>
      </c>
      <c r="C129" s="4" t="s">
        <v>141</v>
      </c>
      <c r="D129" s="4" t="s">
        <v>49</v>
      </c>
      <c r="E129" s="25" t="s">
        <v>1312</v>
      </c>
    </row>
    <row r="130" spans="1:5" x14ac:dyDescent="0.2">
      <c r="A130" s="21" t="s">
        <v>1264</v>
      </c>
      <c r="B130" s="4" t="s">
        <v>144</v>
      </c>
      <c r="C130" s="4" t="s">
        <v>151</v>
      </c>
      <c r="D130" s="4" t="s">
        <v>50</v>
      </c>
      <c r="E130" s="25" t="s">
        <v>1313</v>
      </c>
    </row>
    <row r="131" spans="1:5" x14ac:dyDescent="0.2">
      <c r="A131" s="21" t="s">
        <v>1288</v>
      </c>
      <c r="B131" s="4" t="s">
        <v>144</v>
      </c>
      <c r="C131" s="4" t="s">
        <v>341</v>
      </c>
      <c r="D131" s="4" t="s">
        <v>96</v>
      </c>
      <c r="E131" s="25" t="s">
        <v>1314</v>
      </c>
    </row>
    <row r="132" spans="1:5" x14ac:dyDescent="0.2">
      <c r="A132" s="21" t="s">
        <v>1240</v>
      </c>
      <c r="B132" s="4" t="s">
        <v>144</v>
      </c>
      <c r="C132" s="4" t="s">
        <v>138</v>
      </c>
      <c r="D132" s="4" t="s">
        <v>174</v>
      </c>
      <c r="E132" s="25" t="s">
        <v>1315</v>
      </c>
    </row>
    <row r="133" spans="1:5" x14ac:dyDescent="0.2">
      <c r="A133" s="21" t="s">
        <v>1245</v>
      </c>
      <c r="B133" s="4" t="s">
        <v>144</v>
      </c>
      <c r="C133" s="4" t="s">
        <v>138</v>
      </c>
      <c r="D133" s="4" t="s">
        <v>668</v>
      </c>
      <c r="E133" s="25" t="s">
        <v>1316</v>
      </c>
    </row>
    <row r="134" spans="1:5" x14ac:dyDescent="0.2">
      <c r="A134" s="21" t="s">
        <v>1231</v>
      </c>
      <c r="B134" s="4" t="s">
        <v>144</v>
      </c>
      <c r="C134" s="4" t="s">
        <v>141</v>
      </c>
      <c r="D134" s="4" t="s">
        <v>45</v>
      </c>
      <c r="E134" s="25" t="s">
        <v>1317</v>
      </c>
    </row>
    <row r="135" spans="1:5" x14ac:dyDescent="0.2">
      <c r="A135" s="21" t="s">
        <v>1249</v>
      </c>
      <c r="B135" s="4" t="s">
        <v>144</v>
      </c>
      <c r="C135" s="4" t="s">
        <v>138</v>
      </c>
      <c r="D135" s="4" t="s">
        <v>667</v>
      </c>
      <c r="E135" s="25" t="s">
        <v>1318</v>
      </c>
    </row>
    <row r="136" spans="1:5" x14ac:dyDescent="0.2">
      <c r="A136" s="21" t="s">
        <v>1227</v>
      </c>
      <c r="B136" s="4" t="s">
        <v>144</v>
      </c>
      <c r="C136" s="4" t="s">
        <v>156</v>
      </c>
      <c r="D136" s="4" t="s">
        <v>69</v>
      </c>
      <c r="E136" s="25" t="s">
        <v>1319</v>
      </c>
    </row>
    <row r="137" spans="1:5" x14ac:dyDescent="0.2">
      <c r="A137" s="21" t="s">
        <v>1214</v>
      </c>
      <c r="B137" s="4" t="s">
        <v>144</v>
      </c>
      <c r="C137" s="4" t="s">
        <v>336</v>
      </c>
      <c r="D137" s="4" t="s">
        <v>93</v>
      </c>
      <c r="E137" s="25" t="s">
        <v>1320</v>
      </c>
    </row>
    <row r="139" spans="1:5" ht="14.25" x14ac:dyDescent="0.2">
      <c r="A139" s="22"/>
      <c r="B139" s="23" t="s">
        <v>159</v>
      </c>
    </row>
    <row r="140" spans="1:5" ht="15" x14ac:dyDescent="0.2">
      <c r="A140" s="24" t="s">
        <v>127</v>
      </c>
      <c r="B140" s="24" t="s">
        <v>128</v>
      </c>
      <c r="C140" s="24" t="s">
        <v>129</v>
      </c>
      <c r="D140" s="24" t="s">
        <v>130</v>
      </c>
      <c r="E140" s="24" t="s">
        <v>131</v>
      </c>
    </row>
    <row r="141" spans="1:5" x14ac:dyDescent="0.2">
      <c r="A141" s="21" t="s">
        <v>1219</v>
      </c>
      <c r="B141" s="4" t="s">
        <v>1321</v>
      </c>
      <c r="C141" s="4" t="s">
        <v>336</v>
      </c>
      <c r="D141" s="4" t="s">
        <v>84</v>
      </c>
      <c r="E141" s="25" t="s">
        <v>1322</v>
      </c>
    </row>
    <row r="142" spans="1:5" x14ac:dyDescent="0.2">
      <c r="A142" s="21" t="s">
        <v>831</v>
      </c>
      <c r="B142" s="4" t="s">
        <v>1066</v>
      </c>
      <c r="C142" s="4" t="s">
        <v>336</v>
      </c>
      <c r="D142" s="4" t="s">
        <v>93</v>
      </c>
      <c r="E142" s="25" t="s">
        <v>1323</v>
      </c>
    </row>
    <row r="143" spans="1:5" x14ac:dyDescent="0.2">
      <c r="A143" s="21" t="s">
        <v>311</v>
      </c>
      <c r="B143" s="4" t="s">
        <v>231</v>
      </c>
      <c r="C143" s="4" t="s">
        <v>232</v>
      </c>
      <c r="D143" s="4" t="s">
        <v>86</v>
      </c>
      <c r="E143" s="25" t="s">
        <v>1324</v>
      </c>
    </row>
    <row r="144" spans="1:5" x14ac:dyDescent="0.2">
      <c r="A144" s="21" t="s">
        <v>1282</v>
      </c>
      <c r="B144" s="4" t="s">
        <v>231</v>
      </c>
      <c r="C144" s="4" t="s">
        <v>232</v>
      </c>
      <c r="D144" s="4" t="s">
        <v>1286</v>
      </c>
      <c r="E144" s="25" t="s">
        <v>1325</v>
      </c>
    </row>
    <row r="145" spans="1:5" x14ac:dyDescent="0.2">
      <c r="A145" s="21" t="s">
        <v>1240</v>
      </c>
      <c r="B145" s="4" t="s">
        <v>160</v>
      </c>
      <c r="C145" s="4" t="s">
        <v>138</v>
      </c>
      <c r="D145" s="4" t="s">
        <v>174</v>
      </c>
      <c r="E145" s="25" t="s">
        <v>1326</v>
      </c>
    </row>
    <row r="146" spans="1:5" x14ac:dyDescent="0.2">
      <c r="A146" s="21" t="s">
        <v>934</v>
      </c>
      <c r="B146" s="4" t="s">
        <v>160</v>
      </c>
      <c r="C146" s="4" t="s">
        <v>138</v>
      </c>
      <c r="D146" s="4" t="s">
        <v>453</v>
      </c>
      <c r="E146" s="25" t="s">
        <v>1327</v>
      </c>
    </row>
    <row r="147" spans="1:5" x14ac:dyDescent="0.2">
      <c r="A147" s="21" t="s">
        <v>1269</v>
      </c>
      <c r="B147" s="4" t="s">
        <v>231</v>
      </c>
      <c r="C147" s="4" t="s">
        <v>151</v>
      </c>
      <c r="D147" s="4" t="s">
        <v>45</v>
      </c>
      <c r="E147" s="25" t="s">
        <v>1328</v>
      </c>
    </row>
  </sheetData>
  <mergeCells count="28">
    <mergeCell ref="A1:M2"/>
    <mergeCell ref="A3:A4"/>
    <mergeCell ref="B3:B4"/>
    <mergeCell ref="C3:C4"/>
    <mergeCell ref="D3:D4"/>
    <mergeCell ref="E3:E4"/>
    <mergeCell ref="F3:F4"/>
    <mergeCell ref="G3:J3"/>
    <mergeCell ref="A36:L36"/>
    <mergeCell ref="K3:K4"/>
    <mergeCell ref="L3:L4"/>
    <mergeCell ref="M3:M4"/>
    <mergeCell ref="A5:L5"/>
    <mergeCell ref="A9:L9"/>
    <mergeCell ref="A14:L14"/>
    <mergeCell ref="A19:L19"/>
    <mergeCell ref="A24:L24"/>
    <mergeCell ref="A27:L27"/>
    <mergeCell ref="A30:L30"/>
    <mergeCell ref="A33:L33"/>
    <mergeCell ref="A69:L69"/>
    <mergeCell ref="A76:L76"/>
    <mergeCell ref="A39:L39"/>
    <mergeCell ref="A42:L42"/>
    <mergeCell ref="A47:L47"/>
    <mergeCell ref="A51:L51"/>
    <mergeCell ref="A55:L55"/>
    <mergeCell ref="A64:L6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F30" sqref="F3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140625" style="4" customWidth="1"/>
    <col min="4" max="4" width="8.42578125" style="4" bestFit="1" customWidth="1"/>
    <col min="5" max="5" width="22.7109375" style="4" bestFit="1" customWidth="1"/>
    <col min="6" max="6" width="31.140625" style="4" bestFit="1" customWidth="1"/>
    <col min="7" max="7" width="10" style="3" customWidth="1"/>
    <col min="8" max="8" width="14.7109375" style="26" customWidth="1"/>
    <col min="9" max="9" width="7.85546875" style="4" bestFit="1" customWidth="1"/>
    <col min="10" max="10" width="9.5703125" style="3" bestFit="1" customWidth="1"/>
    <col min="11" max="11" width="24.5703125" style="4" bestFit="1" customWidth="1"/>
    <col min="12" max="16384" width="9.140625" style="3"/>
  </cols>
  <sheetData>
    <row r="1" spans="1:11" s="2" customFormat="1" ht="29.1" customHeight="1" x14ac:dyDescent="0.2">
      <c r="A1" s="37" t="s">
        <v>1490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1439</v>
      </c>
      <c r="E3" s="32" t="s">
        <v>4</v>
      </c>
      <c r="F3" s="32" t="s">
        <v>8</v>
      </c>
      <c r="G3" s="32" t="s">
        <v>1488</v>
      </c>
      <c r="H3" s="32"/>
      <c r="I3" s="32" t="s">
        <v>1438</v>
      </c>
      <c r="J3" s="32" t="s">
        <v>3</v>
      </c>
      <c r="K3" s="34" t="s">
        <v>2</v>
      </c>
    </row>
    <row r="4" spans="1:11" s="1" customFormat="1" ht="21" customHeight="1" thickBot="1" x14ac:dyDescent="0.25">
      <c r="A4" s="44"/>
      <c r="B4" s="33"/>
      <c r="C4" s="33"/>
      <c r="D4" s="33"/>
      <c r="E4" s="33"/>
      <c r="F4" s="33"/>
      <c r="G4" s="5" t="s">
        <v>1437</v>
      </c>
      <c r="H4" s="31" t="s">
        <v>1436</v>
      </c>
      <c r="I4" s="33"/>
      <c r="J4" s="33"/>
      <c r="K4" s="35"/>
    </row>
    <row r="5" spans="1:11" ht="15" x14ac:dyDescent="0.2">
      <c r="A5" s="36" t="s">
        <v>164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">
      <c r="A6" s="9" t="s">
        <v>1434</v>
      </c>
      <c r="B6" s="9" t="s">
        <v>1435</v>
      </c>
      <c r="C6" s="9" t="s">
        <v>1432</v>
      </c>
      <c r="D6" s="9" t="str">
        <f>"0,7541"</f>
        <v>0,7541</v>
      </c>
      <c r="E6" s="9" t="s">
        <v>18</v>
      </c>
      <c r="F6" s="9" t="s">
        <v>92</v>
      </c>
      <c r="G6" s="10" t="s">
        <v>241</v>
      </c>
      <c r="H6" s="29" t="s">
        <v>1431</v>
      </c>
      <c r="I6" s="9" t="str">
        <f>"7560,0"</f>
        <v>7560,0</v>
      </c>
      <c r="J6" s="10" t="str">
        <f>"5701,3738"</f>
        <v>5701,3738</v>
      </c>
      <c r="K6" s="9" t="s">
        <v>1430</v>
      </c>
    </row>
    <row r="7" spans="1:11" x14ac:dyDescent="0.2">
      <c r="A7" s="15" t="s">
        <v>1434</v>
      </c>
      <c r="B7" s="15" t="s">
        <v>1433</v>
      </c>
      <c r="C7" s="15" t="s">
        <v>1432</v>
      </c>
      <c r="D7" s="15" t="str">
        <f>"0,7541"</f>
        <v>0,7541</v>
      </c>
      <c r="E7" s="15" t="s">
        <v>18</v>
      </c>
      <c r="F7" s="15" t="s">
        <v>92</v>
      </c>
      <c r="G7" s="16" t="s">
        <v>241</v>
      </c>
      <c r="H7" s="27" t="s">
        <v>1431</v>
      </c>
      <c r="I7" s="15" t="str">
        <f>"7560,0"</f>
        <v>7560,0</v>
      </c>
      <c r="J7" s="16" t="str">
        <f>"5701,3738"</f>
        <v>5701,3738</v>
      </c>
      <c r="K7" s="15" t="s">
        <v>1430</v>
      </c>
    </row>
    <row r="9" spans="1:11" ht="15" x14ac:dyDescent="0.2">
      <c r="A9" s="46" t="s">
        <v>275</v>
      </c>
      <c r="B9" s="46"/>
      <c r="C9" s="46"/>
      <c r="D9" s="46"/>
      <c r="E9" s="46"/>
      <c r="F9" s="46"/>
      <c r="G9" s="46"/>
      <c r="H9" s="46"/>
      <c r="I9" s="46"/>
      <c r="J9" s="46"/>
    </row>
    <row r="10" spans="1:11" x14ac:dyDescent="0.2">
      <c r="A10" s="9" t="s">
        <v>1429</v>
      </c>
      <c r="B10" s="9" t="s">
        <v>1428</v>
      </c>
      <c r="C10" s="9" t="s">
        <v>1427</v>
      </c>
      <c r="D10" s="9" t="str">
        <f>"0,7314"</f>
        <v>0,7314</v>
      </c>
      <c r="E10" s="9" t="s">
        <v>18</v>
      </c>
      <c r="F10" s="9" t="s">
        <v>92</v>
      </c>
      <c r="G10" s="10" t="s">
        <v>242</v>
      </c>
      <c r="H10" s="29" t="s">
        <v>1426</v>
      </c>
      <c r="I10" s="9" t="str">
        <f>"1610,0"</f>
        <v>1610,0</v>
      </c>
      <c r="J10" s="10" t="str">
        <f>"1177,4735"</f>
        <v>1177,4735</v>
      </c>
      <c r="K10" s="9" t="s">
        <v>38</v>
      </c>
    </row>
    <row r="11" spans="1:11" x14ac:dyDescent="0.2">
      <c r="A11" s="15" t="s">
        <v>1425</v>
      </c>
      <c r="B11" s="15" t="s">
        <v>1424</v>
      </c>
      <c r="C11" s="15" t="s">
        <v>1423</v>
      </c>
      <c r="D11" s="15" t="str">
        <f>"0,6913"</f>
        <v>0,6913</v>
      </c>
      <c r="E11" s="15" t="s">
        <v>18</v>
      </c>
      <c r="F11" s="15" t="s">
        <v>68</v>
      </c>
      <c r="G11" s="16" t="s">
        <v>576</v>
      </c>
      <c r="H11" s="27" t="s">
        <v>359</v>
      </c>
      <c r="I11" s="15" t="str">
        <f>"2625,0"</f>
        <v>2625,0</v>
      </c>
      <c r="J11" s="16" t="str">
        <f>"1892,5562"</f>
        <v>1892,5562</v>
      </c>
      <c r="K11" s="15" t="s">
        <v>1422</v>
      </c>
    </row>
    <row r="13" spans="1:11" ht="15" x14ac:dyDescent="0.2">
      <c r="A13" s="46" t="s">
        <v>28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1" x14ac:dyDescent="0.2">
      <c r="A14" s="6" t="s">
        <v>1421</v>
      </c>
      <c r="B14" s="6" t="s">
        <v>1420</v>
      </c>
      <c r="C14" s="6" t="s">
        <v>1419</v>
      </c>
      <c r="D14" s="6" t="str">
        <f>"0,6755"</f>
        <v>0,6755</v>
      </c>
      <c r="E14" s="6" t="s">
        <v>18</v>
      </c>
      <c r="F14" s="6" t="s">
        <v>1418</v>
      </c>
      <c r="G14" s="7" t="s">
        <v>358</v>
      </c>
      <c r="H14" s="30" t="s">
        <v>1417</v>
      </c>
      <c r="I14" s="6" t="str">
        <f>"2557,5"</f>
        <v>2557,5</v>
      </c>
      <c r="J14" s="7" t="str">
        <f>"1727,5912"</f>
        <v>1727,5912</v>
      </c>
      <c r="K14" s="6" t="s">
        <v>1416</v>
      </c>
    </row>
    <row r="16" spans="1:11" ht="15" x14ac:dyDescent="0.2">
      <c r="A16" s="46" t="s">
        <v>39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1" x14ac:dyDescent="0.2">
      <c r="A17" s="9" t="s">
        <v>1415</v>
      </c>
      <c r="B17" s="9" t="s">
        <v>1414</v>
      </c>
      <c r="C17" s="9" t="s">
        <v>460</v>
      </c>
      <c r="D17" s="9" t="str">
        <f>"0,6145"</f>
        <v>0,6145</v>
      </c>
      <c r="E17" s="9" t="s">
        <v>18</v>
      </c>
      <c r="F17" s="9" t="s">
        <v>92</v>
      </c>
      <c r="G17" s="10" t="s">
        <v>20</v>
      </c>
      <c r="H17" s="29" t="s">
        <v>1413</v>
      </c>
      <c r="I17" s="9" t="str">
        <f>"4770,0"</f>
        <v>4770,0</v>
      </c>
      <c r="J17" s="10" t="str">
        <f>"2931,4035"</f>
        <v>2931,4035</v>
      </c>
      <c r="K17" s="9" t="s">
        <v>1412</v>
      </c>
    </row>
    <row r="18" spans="1:11" x14ac:dyDescent="0.2">
      <c r="A18" s="12" t="s">
        <v>1411</v>
      </c>
      <c r="B18" s="12" t="s">
        <v>883</v>
      </c>
      <c r="C18" s="12" t="s">
        <v>464</v>
      </c>
      <c r="D18" s="12" t="str">
        <f>"0,6130"</f>
        <v>0,6130</v>
      </c>
      <c r="E18" s="12" t="s">
        <v>18</v>
      </c>
      <c r="F18" s="12" t="s">
        <v>68</v>
      </c>
      <c r="G18" s="13" t="s">
        <v>20</v>
      </c>
      <c r="H18" s="28" t="s">
        <v>1410</v>
      </c>
      <c r="I18" s="12" t="str">
        <f>"2430,0"</f>
        <v>2430,0</v>
      </c>
      <c r="J18" s="13" t="str">
        <f>"1489,5899"</f>
        <v>1489,5899</v>
      </c>
      <c r="K18" s="12" t="s">
        <v>884</v>
      </c>
    </row>
    <row r="19" spans="1:11" x14ac:dyDescent="0.2">
      <c r="A19" s="12" t="s">
        <v>1409</v>
      </c>
      <c r="B19" s="12" t="s">
        <v>1408</v>
      </c>
      <c r="C19" s="12" t="s">
        <v>1407</v>
      </c>
      <c r="D19" s="12" t="str">
        <f>"0,6335"</f>
        <v>0,6335</v>
      </c>
      <c r="E19" s="12" t="s">
        <v>18</v>
      </c>
      <c r="F19" s="12" t="s">
        <v>946</v>
      </c>
      <c r="G19" s="13" t="s">
        <v>35</v>
      </c>
      <c r="H19" s="28" t="s">
        <v>739</v>
      </c>
      <c r="I19" s="12" t="str">
        <f>"2125,0"</f>
        <v>2125,0</v>
      </c>
      <c r="J19" s="13" t="str">
        <f>"1346,1875"</f>
        <v>1346,1875</v>
      </c>
      <c r="K19" s="12" t="s">
        <v>38</v>
      </c>
    </row>
    <row r="20" spans="1:11" x14ac:dyDescent="0.2">
      <c r="A20" s="15" t="s">
        <v>1406</v>
      </c>
      <c r="B20" s="15" t="s">
        <v>1405</v>
      </c>
      <c r="C20" s="15" t="s">
        <v>181</v>
      </c>
      <c r="D20" s="15" t="str">
        <f>"0,6133"</f>
        <v>0,6133</v>
      </c>
      <c r="E20" s="15" t="s">
        <v>18</v>
      </c>
      <c r="F20" s="15" t="s">
        <v>68</v>
      </c>
      <c r="G20" s="16" t="s">
        <v>20</v>
      </c>
      <c r="H20" s="27" t="s">
        <v>1404</v>
      </c>
      <c r="I20" s="15" t="str">
        <f>"1080,0"</f>
        <v>1080,0</v>
      </c>
      <c r="J20" s="16" t="str">
        <f>"922,7482"</f>
        <v>922,7482</v>
      </c>
      <c r="K20" s="15" t="s">
        <v>919</v>
      </c>
    </row>
    <row r="22" spans="1:11" ht="15" x14ac:dyDescent="0.2">
      <c r="E22" s="18" t="s">
        <v>119</v>
      </c>
    </row>
    <row r="23" spans="1:11" ht="15" x14ac:dyDescent="0.2">
      <c r="E23" s="18" t="s">
        <v>120</v>
      </c>
    </row>
    <row r="24" spans="1:11" ht="15" x14ac:dyDescent="0.2">
      <c r="E24" s="18" t="s">
        <v>121</v>
      </c>
    </row>
    <row r="25" spans="1:11" ht="15" x14ac:dyDescent="0.2">
      <c r="E25" s="18" t="s">
        <v>122</v>
      </c>
    </row>
    <row r="26" spans="1:11" ht="15" x14ac:dyDescent="0.2">
      <c r="E26" s="18" t="s">
        <v>122</v>
      </c>
    </row>
    <row r="27" spans="1:11" ht="15" x14ac:dyDescent="0.2">
      <c r="E27" s="18" t="s">
        <v>123</v>
      </c>
    </row>
    <row r="28" spans="1:11" ht="15" x14ac:dyDescent="0.2">
      <c r="E28" s="18"/>
    </row>
    <row r="30" spans="1:11" ht="18" x14ac:dyDescent="0.25">
      <c r="A30" s="19" t="s">
        <v>124</v>
      </c>
      <c r="B30" s="19"/>
    </row>
    <row r="31" spans="1:11" ht="15" x14ac:dyDescent="0.2">
      <c r="A31" s="20" t="s">
        <v>136</v>
      </c>
      <c r="B31" s="20"/>
    </row>
    <row r="32" spans="1:11" ht="14.25" x14ac:dyDescent="0.2">
      <c r="A32" s="22"/>
      <c r="B32" s="23" t="s">
        <v>144</v>
      </c>
    </row>
    <row r="33" spans="1:5" ht="15" x14ac:dyDescent="0.2">
      <c r="A33" s="24" t="s">
        <v>127</v>
      </c>
      <c r="B33" s="24" t="s">
        <v>128</v>
      </c>
      <c r="C33" s="24" t="s">
        <v>129</v>
      </c>
      <c r="D33" s="24" t="s">
        <v>130</v>
      </c>
      <c r="E33" s="24" t="s">
        <v>1388</v>
      </c>
    </row>
    <row r="34" spans="1:5" x14ac:dyDescent="0.2">
      <c r="A34" s="21" t="s">
        <v>1387</v>
      </c>
      <c r="B34" s="4" t="s">
        <v>144</v>
      </c>
      <c r="C34" s="4" t="s">
        <v>327</v>
      </c>
      <c r="D34" s="4" t="s">
        <v>1386</v>
      </c>
      <c r="E34" s="25" t="s">
        <v>1385</v>
      </c>
    </row>
    <row r="35" spans="1:5" x14ac:dyDescent="0.2">
      <c r="A35" s="21" t="s">
        <v>1403</v>
      </c>
      <c r="B35" s="4" t="s">
        <v>144</v>
      </c>
      <c r="C35" s="4" t="s">
        <v>141</v>
      </c>
      <c r="D35" s="4" t="s">
        <v>1402</v>
      </c>
      <c r="E35" s="25" t="s">
        <v>1401</v>
      </c>
    </row>
    <row r="36" spans="1:5" x14ac:dyDescent="0.2">
      <c r="A36" s="21" t="s">
        <v>1400</v>
      </c>
      <c r="B36" s="4" t="s">
        <v>144</v>
      </c>
      <c r="C36" s="4" t="s">
        <v>156</v>
      </c>
      <c r="D36" s="4" t="s">
        <v>1399</v>
      </c>
      <c r="E36" s="25" t="s">
        <v>1398</v>
      </c>
    </row>
    <row r="37" spans="1:5" x14ac:dyDescent="0.2">
      <c r="A37" s="21" t="s">
        <v>881</v>
      </c>
      <c r="B37" s="4" t="s">
        <v>144</v>
      </c>
      <c r="C37" s="4" t="s">
        <v>141</v>
      </c>
      <c r="D37" s="4" t="s">
        <v>1397</v>
      </c>
      <c r="E37" s="25" t="s">
        <v>1396</v>
      </c>
    </row>
    <row r="38" spans="1:5" x14ac:dyDescent="0.2">
      <c r="A38" s="21" t="s">
        <v>1395</v>
      </c>
      <c r="B38" s="4" t="s">
        <v>144</v>
      </c>
      <c r="C38" s="4" t="s">
        <v>141</v>
      </c>
      <c r="D38" s="4" t="s">
        <v>1394</v>
      </c>
      <c r="E38" s="25" t="s">
        <v>1393</v>
      </c>
    </row>
    <row r="39" spans="1:5" x14ac:dyDescent="0.2">
      <c r="A39" s="21" t="s">
        <v>1392</v>
      </c>
      <c r="B39" s="4" t="s">
        <v>144</v>
      </c>
      <c r="C39" s="4" t="s">
        <v>336</v>
      </c>
      <c r="D39" s="4" t="s">
        <v>1391</v>
      </c>
      <c r="E39" s="25" t="s">
        <v>1390</v>
      </c>
    </row>
    <row r="41" spans="1:5" ht="14.25" x14ac:dyDescent="0.2">
      <c r="A41" s="22"/>
      <c r="B41" s="23" t="s">
        <v>1389</v>
      </c>
    </row>
    <row r="42" spans="1:5" ht="15" x14ac:dyDescent="0.2">
      <c r="A42" s="24" t="s">
        <v>127</v>
      </c>
      <c r="B42" s="24" t="s">
        <v>128</v>
      </c>
      <c r="C42" s="24" t="s">
        <v>129</v>
      </c>
      <c r="D42" s="24" t="s">
        <v>130</v>
      </c>
      <c r="E42" s="24" t="s">
        <v>1388</v>
      </c>
    </row>
    <row r="43" spans="1:5" x14ac:dyDescent="0.2">
      <c r="A43" s="21" t="s">
        <v>1387</v>
      </c>
      <c r="B43" s="4" t="s">
        <v>1383</v>
      </c>
      <c r="C43" s="4" t="s">
        <v>327</v>
      </c>
      <c r="D43" s="4" t="s">
        <v>1386</v>
      </c>
      <c r="E43" s="25" t="s">
        <v>1385</v>
      </c>
    </row>
    <row r="44" spans="1:5" x14ac:dyDescent="0.2">
      <c r="A44" s="21" t="s">
        <v>1384</v>
      </c>
      <c r="B44" s="4" t="s">
        <v>1383</v>
      </c>
      <c r="C44" s="4" t="s">
        <v>336</v>
      </c>
      <c r="D44" s="4" t="s">
        <v>1382</v>
      </c>
      <c r="E44" s="25" t="s">
        <v>1381</v>
      </c>
    </row>
    <row r="45" spans="1:5" x14ac:dyDescent="0.2">
      <c r="A45" s="21" t="s">
        <v>916</v>
      </c>
      <c r="B45" s="4" t="s">
        <v>1380</v>
      </c>
      <c r="C45" s="4" t="s">
        <v>141</v>
      </c>
      <c r="D45" s="4" t="s">
        <v>1379</v>
      </c>
      <c r="E45" s="25" t="s">
        <v>1378</v>
      </c>
    </row>
  </sheetData>
  <mergeCells count="15">
    <mergeCell ref="A16:J16"/>
    <mergeCell ref="I3:I4"/>
    <mergeCell ref="J3:J4"/>
    <mergeCell ref="K3:K4"/>
    <mergeCell ref="A5:J5"/>
    <mergeCell ref="A9:J9"/>
    <mergeCell ref="A13:J13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59"/>
  <sheetViews>
    <sheetView workbookViewId="0">
      <selection activeCell="A24" sqref="A2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6.85546875" style="4" customWidth="1"/>
    <col min="4" max="4" width="8.42578125" style="4" bestFit="1" customWidth="1"/>
    <col min="5" max="5" width="22.7109375" style="4" bestFit="1" customWidth="1"/>
    <col min="6" max="6" width="28.855468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8" width="5.5703125" style="3" bestFit="1" customWidth="1"/>
    <col min="19" max="19" width="7.85546875" style="4" bestFit="1" customWidth="1"/>
    <col min="20" max="20" width="8.5703125" style="3" bestFit="1" customWidth="1"/>
    <col min="21" max="21" width="19.5703125" style="4" bestFit="1" customWidth="1"/>
    <col min="22" max="16384" width="9.140625" style="3"/>
  </cols>
  <sheetData>
    <row r="1" spans="1:21" s="2" customFormat="1" ht="29.1" customHeight="1" x14ac:dyDescent="0.2">
      <c r="A1" s="37" t="s">
        <v>1477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1" ht="15" x14ac:dyDescent="0.2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15</v>
      </c>
      <c r="B6" s="6" t="s">
        <v>16</v>
      </c>
      <c r="C6" s="6" t="s">
        <v>17</v>
      </c>
      <c r="D6" s="6" t="str">
        <f>"1,3083"</f>
        <v>1,3083</v>
      </c>
      <c r="E6" s="6" t="s">
        <v>18</v>
      </c>
      <c r="F6" s="6" t="s">
        <v>19</v>
      </c>
      <c r="G6" s="7" t="s">
        <v>20</v>
      </c>
      <c r="H6" s="8" t="s">
        <v>21</v>
      </c>
      <c r="I6" s="8" t="s">
        <v>21</v>
      </c>
      <c r="J6" s="8"/>
      <c r="K6" s="7" t="s">
        <v>22</v>
      </c>
      <c r="L6" s="7" t="s">
        <v>23</v>
      </c>
      <c r="M6" s="8" t="s">
        <v>24</v>
      </c>
      <c r="N6" s="8"/>
      <c r="O6" s="7" t="s">
        <v>25</v>
      </c>
      <c r="P6" s="8" t="s">
        <v>26</v>
      </c>
      <c r="Q6" s="7" t="s">
        <v>26</v>
      </c>
      <c r="R6" s="8"/>
      <c r="S6" s="6" t="str">
        <f>"242,5"</f>
        <v>242,5</v>
      </c>
      <c r="T6" s="7" t="str">
        <f>"317,2628"</f>
        <v>317,2628</v>
      </c>
      <c r="U6" s="6" t="s">
        <v>27</v>
      </c>
    </row>
    <row r="8" spans="1:21" ht="15" x14ac:dyDescent="0.2">
      <c r="A8" s="46" t="s">
        <v>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x14ac:dyDescent="0.2">
      <c r="A9" s="6" t="s">
        <v>30</v>
      </c>
      <c r="B9" s="6" t="s">
        <v>31</v>
      </c>
      <c r="C9" s="6" t="s">
        <v>32</v>
      </c>
      <c r="D9" s="6" t="str">
        <f>"0,6764"</f>
        <v>0,6764</v>
      </c>
      <c r="E9" s="6" t="s">
        <v>18</v>
      </c>
      <c r="F9" s="6" t="s">
        <v>19</v>
      </c>
      <c r="G9" s="7" t="s">
        <v>33</v>
      </c>
      <c r="H9" s="8" t="s">
        <v>34</v>
      </c>
      <c r="I9" s="7" t="s">
        <v>34</v>
      </c>
      <c r="J9" s="8"/>
      <c r="K9" s="7" t="s">
        <v>35</v>
      </c>
      <c r="L9" s="7" t="s">
        <v>20</v>
      </c>
      <c r="M9" s="8" t="s">
        <v>21</v>
      </c>
      <c r="N9" s="8"/>
      <c r="O9" s="7" t="s">
        <v>36</v>
      </c>
      <c r="P9" s="8" t="s">
        <v>37</v>
      </c>
      <c r="Q9" s="8" t="s">
        <v>37</v>
      </c>
      <c r="R9" s="8"/>
      <c r="S9" s="6" t="str">
        <f>"380,0"</f>
        <v>380,0</v>
      </c>
      <c r="T9" s="7" t="str">
        <f>"257,0320"</f>
        <v>257,0320</v>
      </c>
      <c r="U9" s="6" t="s">
        <v>38</v>
      </c>
    </row>
    <row r="11" spans="1:21" ht="15" x14ac:dyDescent="0.2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1" x14ac:dyDescent="0.2">
      <c r="A12" s="9" t="s">
        <v>41</v>
      </c>
      <c r="B12" s="9" t="s">
        <v>42</v>
      </c>
      <c r="C12" s="9" t="s">
        <v>43</v>
      </c>
      <c r="D12" s="9" t="str">
        <f>"0,6597"</f>
        <v>0,6597</v>
      </c>
      <c r="E12" s="9" t="s">
        <v>18</v>
      </c>
      <c r="F12" s="9" t="s">
        <v>44</v>
      </c>
      <c r="G12" s="10" t="s">
        <v>45</v>
      </c>
      <c r="H12" s="11" t="s">
        <v>46</v>
      </c>
      <c r="I12" s="10" t="s">
        <v>46</v>
      </c>
      <c r="J12" s="11"/>
      <c r="K12" s="10" t="s">
        <v>36</v>
      </c>
      <c r="L12" s="10" t="s">
        <v>47</v>
      </c>
      <c r="M12" s="10" t="s">
        <v>48</v>
      </c>
      <c r="N12" s="11"/>
      <c r="O12" s="10" t="s">
        <v>49</v>
      </c>
      <c r="P12" s="10" t="s">
        <v>50</v>
      </c>
      <c r="Q12" s="10" t="s">
        <v>51</v>
      </c>
      <c r="R12" s="11" t="s">
        <v>52</v>
      </c>
      <c r="S12" s="9" t="str">
        <f>"645,0"</f>
        <v>645,0</v>
      </c>
      <c r="T12" s="10" t="str">
        <f>"425,5065"</f>
        <v>425,5065</v>
      </c>
      <c r="U12" s="9" t="s">
        <v>53</v>
      </c>
    </row>
    <row r="13" spans="1:21" x14ac:dyDescent="0.2">
      <c r="A13" s="12" t="s">
        <v>55</v>
      </c>
      <c r="B13" s="12" t="s">
        <v>56</v>
      </c>
      <c r="C13" s="12" t="s">
        <v>57</v>
      </c>
      <c r="D13" s="12" t="str">
        <f>"0,6444"</f>
        <v>0,6444</v>
      </c>
      <c r="E13" s="12" t="s">
        <v>18</v>
      </c>
      <c r="F13" s="12" t="s">
        <v>58</v>
      </c>
      <c r="G13" s="13" t="s">
        <v>49</v>
      </c>
      <c r="H13" s="13" t="s">
        <v>59</v>
      </c>
      <c r="I13" s="14" t="s">
        <v>60</v>
      </c>
      <c r="J13" s="14"/>
      <c r="K13" s="13" t="s">
        <v>61</v>
      </c>
      <c r="L13" s="13" t="s">
        <v>34</v>
      </c>
      <c r="M13" s="13" t="s">
        <v>62</v>
      </c>
      <c r="N13" s="14"/>
      <c r="O13" s="13" t="s">
        <v>49</v>
      </c>
      <c r="P13" s="14" t="s">
        <v>59</v>
      </c>
      <c r="Q13" s="14" t="s">
        <v>59</v>
      </c>
      <c r="R13" s="14"/>
      <c r="S13" s="12" t="str">
        <f>"617,5"</f>
        <v>617,5</v>
      </c>
      <c r="T13" s="13" t="str">
        <f>"397,9170"</f>
        <v>397,9170</v>
      </c>
      <c r="U13" s="12" t="s">
        <v>63</v>
      </c>
    </row>
    <row r="14" spans="1:21" x14ac:dyDescent="0.2">
      <c r="A14" s="15" t="s">
        <v>65</v>
      </c>
      <c r="B14" s="15" t="s">
        <v>66</v>
      </c>
      <c r="C14" s="15" t="s">
        <v>67</v>
      </c>
      <c r="D14" s="15" t="str">
        <f>"0,6391"</f>
        <v>0,6391</v>
      </c>
      <c r="E14" s="15" t="s">
        <v>18</v>
      </c>
      <c r="F14" s="15" t="s">
        <v>68</v>
      </c>
      <c r="G14" s="16" t="s">
        <v>69</v>
      </c>
      <c r="H14" s="17" t="s">
        <v>70</v>
      </c>
      <c r="I14" s="17" t="s">
        <v>71</v>
      </c>
      <c r="J14" s="17"/>
      <c r="K14" s="16" t="s">
        <v>36</v>
      </c>
      <c r="L14" s="16" t="s">
        <v>72</v>
      </c>
      <c r="M14" s="17" t="s">
        <v>69</v>
      </c>
      <c r="N14" s="17"/>
      <c r="O14" s="16" t="s">
        <v>69</v>
      </c>
      <c r="P14" s="16" t="s">
        <v>70</v>
      </c>
      <c r="Q14" s="17" t="s">
        <v>73</v>
      </c>
      <c r="R14" s="17"/>
      <c r="S14" s="15" t="str">
        <f>"525,0"</f>
        <v>525,0</v>
      </c>
      <c r="T14" s="16" t="str">
        <f>"335,5275"</f>
        <v>335,5275</v>
      </c>
      <c r="U14" s="15" t="s">
        <v>74</v>
      </c>
    </row>
    <row r="16" spans="1:21" ht="15" x14ac:dyDescent="0.2">
      <c r="A16" s="46" t="s">
        <v>75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1" x14ac:dyDescent="0.2">
      <c r="A17" s="9" t="s">
        <v>77</v>
      </c>
      <c r="B17" s="9" t="s">
        <v>78</v>
      </c>
      <c r="C17" s="9" t="s">
        <v>79</v>
      </c>
      <c r="D17" s="9" t="str">
        <f>"0,6139"</f>
        <v>0,6139</v>
      </c>
      <c r="E17" s="9" t="s">
        <v>80</v>
      </c>
      <c r="F17" s="9" t="s">
        <v>68</v>
      </c>
      <c r="G17" s="11" t="s">
        <v>81</v>
      </c>
      <c r="H17" s="10" t="s">
        <v>82</v>
      </c>
      <c r="I17" s="10" t="s">
        <v>83</v>
      </c>
      <c r="J17" s="11"/>
      <c r="K17" s="10" t="s">
        <v>84</v>
      </c>
      <c r="L17" s="10" t="s">
        <v>47</v>
      </c>
      <c r="M17" s="10" t="s">
        <v>72</v>
      </c>
      <c r="N17" s="11"/>
      <c r="O17" s="10" t="s">
        <v>85</v>
      </c>
      <c r="P17" s="10" t="s">
        <v>86</v>
      </c>
      <c r="Q17" s="10" t="s">
        <v>82</v>
      </c>
      <c r="R17" s="11"/>
      <c r="S17" s="9" t="str">
        <f>"740,0"</f>
        <v>740,0</v>
      </c>
      <c r="T17" s="10" t="str">
        <f>"454,2860"</f>
        <v>454,2860</v>
      </c>
      <c r="U17" s="9" t="s">
        <v>87</v>
      </c>
    </row>
    <row r="18" spans="1:21" x14ac:dyDescent="0.2">
      <c r="A18" s="12" t="s">
        <v>89</v>
      </c>
      <c r="B18" s="12" t="s">
        <v>90</v>
      </c>
      <c r="C18" s="12" t="s">
        <v>91</v>
      </c>
      <c r="D18" s="12" t="str">
        <f>"0,6088"</f>
        <v>0,6088</v>
      </c>
      <c r="E18" s="12" t="s">
        <v>18</v>
      </c>
      <c r="F18" s="12" t="s">
        <v>92</v>
      </c>
      <c r="G18" s="13" t="s">
        <v>50</v>
      </c>
      <c r="H18" s="13" t="s">
        <v>81</v>
      </c>
      <c r="I18" s="13" t="s">
        <v>52</v>
      </c>
      <c r="J18" s="14"/>
      <c r="K18" s="13" t="s">
        <v>93</v>
      </c>
      <c r="L18" s="13" t="s">
        <v>72</v>
      </c>
      <c r="M18" s="13" t="s">
        <v>94</v>
      </c>
      <c r="N18" s="14"/>
      <c r="O18" s="13" t="s">
        <v>85</v>
      </c>
      <c r="P18" s="13" t="s">
        <v>95</v>
      </c>
      <c r="Q18" s="13" t="s">
        <v>96</v>
      </c>
      <c r="R18" s="14"/>
      <c r="S18" s="12" t="str">
        <f>"707,5"</f>
        <v>707,5</v>
      </c>
      <c r="T18" s="13" t="str">
        <f>"430,7260"</f>
        <v>430,7260</v>
      </c>
      <c r="U18" s="12" t="s">
        <v>97</v>
      </c>
    </row>
    <row r="19" spans="1:21" x14ac:dyDescent="0.2">
      <c r="A19" s="12" t="s">
        <v>99</v>
      </c>
      <c r="B19" s="12" t="s">
        <v>100</v>
      </c>
      <c r="C19" s="12" t="s">
        <v>101</v>
      </c>
      <c r="D19" s="12" t="str">
        <f>"0,6244"</f>
        <v>0,6244</v>
      </c>
      <c r="E19" s="12" t="s">
        <v>18</v>
      </c>
      <c r="F19" s="12" t="s">
        <v>44</v>
      </c>
      <c r="G19" s="13" t="s">
        <v>71</v>
      </c>
      <c r="H19" s="14" t="s">
        <v>46</v>
      </c>
      <c r="I19" s="13" t="s">
        <v>46</v>
      </c>
      <c r="J19" s="14"/>
      <c r="K19" s="13" t="s">
        <v>34</v>
      </c>
      <c r="L19" s="13" t="s">
        <v>36</v>
      </c>
      <c r="M19" s="13" t="s">
        <v>93</v>
      </c>
      <c r="N19" s="14"/>
      <c r="O19" s="13" t="s">
        <v>49</v>
      </c>
      <c r="P19" s="14" t="s">
        <v>59</v>
      </c>
      <c r="Q19" s="13" t="s">
        <v>59</v>
      </c>
      <c r="R19" s="14"/>
      <c r="S19" s="12" t="str">
        <f>"615,0"</f>
        <v>615,0</v>
      </c>
      <c r="T19" s="13" t="str">
        <f>"384,0060"</f>
        <v>384,0060</v>
      </c>
      <c r="U19" s="12" t="s">
        <v>102</v>
      </c>
    </row>
    <row r="20" spans="1:21" x14ac:dyDescent="0.2">
      <c r="A20" s="12" t="s">
        <v>89</v>
      </c>
      <c r="B20" s="12" t="s">
        <v>103</v>
      </c>
      <c r="C20" s="12" t="s">
        <v>91</v>
      </c>
      <c r="D20" s="12" t="str">
        <f>"0,6088"</f>
        <v>0,6088</v>
      </c>
      <c r="E20" s="12" t="s">
        <v>18</v>
      </c>
      <c r="F20" s="12" t="s">
        <v>92</v>
      </c>
      <c r="G20" s="13" t="s">
        <v>50</v>
      </c>
      <c r="H20" s="13" t="s">
        <v>81</v>
      </c>
      <c r="I20" s="13" t="s">
        <v>52</v>
      </c>
      <c r="J20" s="14"/>
      <c r="K20" s="13" t="s">
        <v>93</v>
      </c>
      <c r="L20" s="13" t="s">
        <v>72</v>
      </c>
      <c r="M20" s="13" t="s">
        <v>94</v>
      </c>
      <c r="N20" s="14"/>
      <c r="O20" s="13" t="s">
        <v>85</v>
      </c>
      <c r="P20" s="13" t="s">
        <v>95</v>
      </c>
      <c r="Q20" s="13" t="s">
        <v>96</v>
      </c>
      <c r="R20" s="14"/>
      <c r="S20" s="12" t="str">
        <f>"707,5"</f>
        <v>707,5</v>
      </c>
      <c r="T20" s="13" t="str">
        <f>"444,0785"</f>
        <v>444,0785</v>
      </c>
      <c r="U20" s="12" t="s">
        <v>97</v>
      </c>
    </row>
    <row r="21" spans="1:21" x14ac:dyDescent="0.2">
      <c r="A21" s="15" t="s">
        <v>105</v>
      </c>
      <c r="B21" s="15" t="s">
        <v>106</v>
      </c>
      <c r="C21" s="15" t="s">
        <v>107</v>
      </c>
      <c r="D21" s="15" t="str">
        <f>"0,6206"</f>
        <v>0,6206</v>
      </c>
      <c r="E21" s="15" t="s">
        <v>18</v>
      </c>
      <c r="F21" s="15" t="s">
        <v>108</v>
      </c>
      <c r="G21" s="16" t="s">
        <v>93</v>
      </c>
      <c r="H21" s="16" t="s">
        <v>72</v>
      </c>
      <c r="I21" s="16" t="s">
        <v>109</v>
      </c>
      <c r="J21" s="17"/>
      <c r="K21" s="16" t="s">
        <v>110</v>
      </c>
      <c r="L21" s="16" t="s">
        <v>61</v>
      </c>
      <c r="M21" s="17" t="s">
        <v>34</v>
      </c>
      <c r="N21" s="17"/>
      <c r="O21" s="16" t="s">
        <v>111</v>
      </c>
      <c r="P21" s="16" t="s">
        <v>46</v>
      </c>
      <c r="Q21" s="16" t="s">
        <v>49</v>
      </c>
      <c r="R21" s="17"/>
      <c r="S21" s="15" t="str">
        <f>"535,0"</f>
        <v>535,0</v>
      </c>
      <c r="T21" s="16" t="str">
        <f>"332,0210"</f>
        <v>332,0210</v>
      </c>
      <c r="U21" s="15" t="s">
        <v>38</v>
      </c>
    </row>
    <row r="23" spans="1:21" ht="15" x14ac:dyDescent="0.2">
      <c r="A23" s="46" t="s">
        <v>112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1" x14ac:dyDescent="0.2">
      <c r="A24" s="6" t="s">
        <v>114</v>
      </c>
      <c r="B24" s="6" t="s">
        <v>115</v>
      </c>
      <c r="C24" s="6" t="s">
        <v>116</v>
      </c>
      <c r="D24" s="6" t="str">
        <f>"0,5946"</f>
        <v>0,5946</v>
      </c>
      <c r="E24" s="6" t="s">
        <v>18</v>
      </c>
      <c r="F24" s="6" t="s">
        <v>68</v>
      </c>
      <c r="G24" s="8" t="s">
        <v>50</v>
      </c>
      <c r="H24" s="8" t="s">
        <v>50</v>
      </c>
      <c r="I24" s="7" t="s">
        <v>117</v>
      </c>
      <c r="J24" s="8"/>
      <c r="K24" s="7" t="s">
        <v>93</v>
      </c>
      <c r="L24" s="7" t="s">
        <v>72</v>
      </c>
      <c r="M24" s="7" t="s">
        <v>69</v>
      </c>
      <c r="N24" s="8"/>
      <c r="O24" s="7" t="s">
        <v>70</v>
      </c>
      <c r="P24" s="7" t="s">
        <v>73</v>
      </c>
      <c r="Q24" s="8" t="s">
        <v>46</v>
      </c>
      <c r="R24" s="8"/>
      <c r="S24" s="6" t="str">
        <f>"635,0"</f>
        <v>635,0</v>
      </c>
      <c r="T24" s="7" t="str">
        <f>"377,5710"</f>
        <v>377,5710</v>
      </c>
      <c r="U24" s="6" t="s">
        <v>118</v>
      </c>
    </row>
    <row r="26" spans="1:21" ht="15" x14ac:dyDescent="0.2">
      <c r="E26" s="18" t="s">
        <v>119</v>
      </c>
    </row>
    <row r="27" spans="1:21" ht="15" x14ac:dyDescent="0.2">
      <c r="E27" s="18" t="s">
        <v>120</v>
      </c>
    </row>
    <row r="28" spans="1:21" ht="15" x14ac:dyDescent="0.2">
      <c r="E28" s="18" t="s">
        <v>121</v>
      </c>
    </row>
    <row r="29" spans="1:21" ht="15" x14ac:dyDescent="0.2">
      <c r="E29" s="18" t="s">
        <v>122</v>
      </c>
    </row>
    <row r="30" spans="1:21" ht="15" x14ac:dyDescent="0.2">
      <c r="E30" s="18" t="s">
        <v>122</v>
      </c>
    </row>
    <row r="31" spans="1:21" ht="15" x14ac:dyDescent="0.2">
      <c r="E31" s="18" t="s">
        <v>123</v>
      </c>
    </row>
    <row r="32" spans="1:21" ht="15" x14ac:dyDescent="0.2">
      <c r="E32" s="18"/>
    </row>
    <row r="34" spans="1:5" ht="18" x14ac:dyDescent="0.25">
      <c r="A34" s="19" t="s">
        <v>124</v>
      </c>
      <c r="B34" s="19"/>
    </row>
    <row r="35" spans="1:5" ht="15" x14ac:dyDescent="0.2">
      <c r="A35" s="20" t="s">
        <v>125</v>
      </c>
      <c r="B35" s="20"/>
    </row>
    <row r="36" spans="1:5" ht="14.25" x14ac:dyDescent="0.2">
      <c r="A36" s="22"/>
      <c r="B36" s="23" t="s">
        <v>126</v>
      </c>
    </row>
    <row r="37" spans="1:5" ht="15" x14ac:dyDescent="0.2">
      <c r="A37" s="24" t="s">
        <v>127</v>
      </c>
      <c r="B37" s="24" t="s">
        <v>128</v>
      </c>
      <c r="C37" s="24" t="s">
        <v>129</v>
      </c>
      <c r="D37" s="24" t="s">
        <v>130</v>
      </c>
      <c r="E37" s="24" t="s">
        <v>131</v>
      </c>
    </row>
    <row r="38" spans="1:5" x14ac:dyDescent="0.2">
      <c r="A38" s="21" t="s">
        <v>14</v>
      </c>
      <c r="B38" s="4" t="s">
        <v>132</v>
      </c>
      <c r="C38" s="4" t="s">
        <v>133</v>
      </c>
      <c r="D38" s="4" t="s">
        <v>134</v>
      </c>
      <c r="E38" s="25" t="s">
        <v>135</v>
      </c>
    </row>
    <row r="41" spans="1:5" ht="15" x14ac:dyDescent="0.2">
      <c r="A41" s="20" t="s">
        <v>136</v>
      </c>
      <c r="B41" s="20"/>
    </row>
    <row r="42" spans="1:5" ht="14.25" x14ac:dyDescent="0.2">
      <c r="A42" s="22"/>
      <c r="B42" s="23" t="s">
        <v>137</v>
      </c>
    </row>
    <row r="43" spans="1:5" ht="15" x14ac:dyDescent="0.2">
      <c r="A43" s="24" t="s">
        <v>127</v>
      </c>
      <c r="B43" s="24" t="s">
        <v>128</v>
      </c>
      <c r="C43" s="24" t="s">
        <v>129</v>
      </c>
      <c r="D43" s="24" t="s">
        <v>130</v>
      </c>
      <c r="E43" s="24" t="s">
        <v>131</v>
      </c>
    </row>
    <row r="44" spans="1:5" x14ac:dyDescent="0.2">
      <c r="A44" s="21" t="s">
        <v>76</v>
      </c>
      <c r="B44" s="4" t="s">
        <v>132</v>
      </c>
      <c r="C44" s="4" t="s">
        <v>138</v>
      </c>
      <c r="D44" s="4" t="s">
        <v>139</v>
      </c>
      <c r="E44" s="25" t="s">
        <v>140</v>
      </c>
    </row>
    <row r="45" spans="1:5" x14ac:dyDescent="0.2">
      <c r="A45" s="21" t="s">
        <v>40</v>
      </c>
      <c r="B45" s="4" t="s">
        <v>132</v>
      </c>
      <c r="C45" s="4" t="s">
        <v>141</v>
      </c>
      <c r="D45" s="4" t="s">
        <v>142</v>
      </c>
      <c r="E45" s="25" t="s">
        <v>143</v>
      </c>
    </row>
    <row r="47" spans="1:5" ht="14.25" x14ac:dyDescent="0.2">
      <c r="A47" s="22"/>
      <c r="B47" s="23" t="s">
        <v>144</v>
      </c>
    </row>
    <row r="48" spans="1:5" ht="15" x14ac:dyDescent="0.2">
      <c r="A48" s="24" t="s">
        <v>127</v>
      </c>
      <c r="B48" s="24" t="s">
        <v>128</v>
      </c>
      <c r="C48" s="24" t="s">
        <v>129</v>
      </c>
      <c r="D48" s="24" t="s">
        <v>130</v>
      </c>
      <c r="E48" s="24" t="s">
        <v>131</v>
      </c>
    </row>
    <row r="49" spans="1:5" x14ac:dyDescent="0.2">
      <c r="A49" s="21" t="s">
        <v>88</v>
      </c>
      <c r="B49" s="4" t="s">
        <v>144</v>
      </c>
      <c r="C49" s="4" t="s">
        <v>138</v>
      </c>
      <c r="D49" s="4" t="s">
        <v>145</v>
      </c>
      <c r="E49" s="25" t="s">
        <v>146</v>
      </c>
    </row>
    <row r="50" spans="1:5" x14ac:dyDescent="0.2">
      <c r="A50" s="21" t="s">
        <v>54</v>
      </c>
      <c r="B50" s="4" t="s">
        <v>144</v>
      </c>
      <c r="C50" s="4" t="s">
        <v>141</v>
      </c>
      <c r="D50" s="4" t="s">
        <v>147</v>
      </c>
      <c r="E50" s="25" t="s">
        <v>148</v>
      </c>
    </row>
    <row r="51" spans="1:5" x14ac:dyDescent="0.2">
      <c r="A51" s="21" t="s">
        <v>98</v>
      </c>
      <c r="B51" s="4" t="s">
        <v>144</v>
      </c>
      <c r="C51" s="4" t="s">
        <v>138</v>
      </c>
      <c r="D51" s="4" t="s">
        <v>149</v>
      </c>
      <c r="E51" s="25" t="s">
        <v>150</v>
      </c>
    </row>
    <row r="52" spans="1:5" x14ac:dyDescent="0.2">
      <c r="A52" s="21" t="s">
        <v>113</v>
      </c>
      <c r="B52" s="4" t="s">
        <v>144</v>
      </c>
      <c r="C52" s="4" t="s">
        <v>151</v>
      </c>
      <c r="D52" s="4" t="s">
        <v>152</v>
      </c>
      <c r="E52" s="25" t="s">
        <v>153</v>
      </c>
    </row>
    <row r="53" spans="1:5" x14ac:dyDescent="0.2">
      <c r="A53" s="21" t="s">
        <v>64</v>
      </c>
      <c r="B53" s="4" t="s">
        <v>144</v>
      </c>
      <c r="C53" s="4" t="s">
        <v>141</v>
      </c>
      <c r="D53" s="4" t="s">
        <v>154</v>
      </c>
      <c r="E53" s="25" t="s">
        <v>155</v>
      </c>
    </row>
    <row r="54" spans="1:5" x14ac:dyDescent="0.2">
      <c r="A54" s="21" t="s">
        <v>29</v>
      </c>
      <c r="B54" s="4" t="s">
        <v>144</v>
      </c>
      <c r="C54" s="4" t="s">
        <v>156</v>
      </c>
      <c r="D54" s="4" t="s">
        <v>157</v>
      </c>
      <c r="E54" s="25" t="s">
        <v>158</v>
      </c>
    </row>
    <row r="56" spans="1:5" ht="14.25" x14ac:dyDescent="0.2">
      <c r="A56" s="22"/>
      <c r="B56" s="23" t="s">
        <v>159</v>
      </c>
    </row>
    <row r="57" spans="1:5" ht="15" x14ac:dyDescent="0.2">
      <c r="A57" s="24" t="s">
        <v>127</v>
      </c>
      <c r="B57" s="24" t="s">
        <v>128</v>
      </c>
      <c r="C57" s="24" t="s">
        <v>129</v>
      </c>
      <c r="D57" s="24" t="s">
        <v>130</v>
      </c>
      <c r="E57" s="24" t="s">
        <v>131</v>
      </c>
    </row>
    <row r="58" spans="1:5" x14ac:dyDescent="0.2">
      <c r="A58" s="21" t="s">
        <v>88</v>
      </c>
      <c r="B58" s="4" t="s">
        <v>160</v>
      </c>
      <c r="C58" s="4" t="s">
        <v>138</v>
      </c>
      <c r="D58" s="4" t="s">
        <v>145</v>
      </c>
      <c r="E58" s="25" t="s">
        <v>161</v>
      </c>
    </row>
    <row r="59" spans="1:5" x14ac:dyDescent="0.2">
      <c r="A59" s="21" t="s">
        <v>104</v>
      </c>
      <c r="B59" s="4" t="s">
        <v>160</v>
      </c>
      <c r="C59" s="4" t="s">
        <v>138</v>
      </c>
      <c r="D59" s="4" t="s">
        <v>162</v>
      </c>
      <c r="E59" s="25" t="s">
        <v>163</v>
      </c>
    </row>
  </sheetData>
  <mergeCells count="18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T5"/>
    <mergeCell ref="A8:T8"/>
    <mergeCell ref="A11:T11"/>
    <mergeCell ref="A16:T16"/>
    <mergeCell ref="A23:T23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85546875" style="4" customWidth="1"/>
    <col min="4" max="4" width="8.42578125" style="4" bestFit="1" customWidth="1"/>
    <col min="5" max="5" width="22.7109375" style="4" bestFit="1" customWidth="1"/>
    <col min="6" max="6" width="28.5703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5.5703125" style="4" bestFit="1" customWidth="1"/>
    <col min="22" max="16384" width="9.140625" style="3"/>
  </cols>
  <sheetData>
    <row r="1" spans="1:21" s="2" customFormat="1" ht="29.1" customHeight="1" x14ac:dyDescent="0.2">
      <c r="A1" s="37" t="s">
        <v>1478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1" ht="15" x14ac:dyDescent="0.2">
      <c r="A5" s="36" t="s">
        <v>164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166</v>
      </c>
      <c r="B6" s="6" t="s">
        <v>167</v>
      </c>
      <c r="C6" s="6" t="s">
        <v>168</v>
      </c>
      <c r="D6" s="6" t="str">
        <f>"0,7804"</f>
        <v>0,7804</v>
      </c>
      <c r="E6" s="6" t="s">
        <v>18</v>
      </c>
      <c r="F6" s="6" t="s">
        <v>169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" t="str">
        <f>"0.00"</f>
        <v>0.00</v>
      </c>
      <c r="T6" s="7" t="str">
        <f>"0,0000"</f>
        <v>0,0000</v>
      </c>
      <c r="U6" s="6" t="s">
        <v>74</v>
      </c>
    </row>
    <row r="8" spans="1:21" ht="15" x14ac:dyDescent="0.2">
      <c r="A8" s="46" t="s">
        <v>39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x14ac:dyDescent="0.2">
      <c r="A9" s="9" t="s">
        <v>171</v>
      </c>
      <c r="B9" s="9" t="s">
        <v>172</v>
      </c>
      <c r="C9" s="9" t="s">
        <v>173</v>
      </c>
      <c r="D9" s="9" t="str">
        <f>"0,6388"</f>
        <v>0,6388</v>
      </c>
      <c r="E9" s="9" t="s">
        <v>18</v>
      </c>
      <c r="F9" s="9" t="s">
        <v>68</v>
      </c>
      <c r="G9" s="10" t="s">
        <v>174</v>
      </c>
      <c r="H9" s="10" t="s">
        <v>85</v>
      </c>
      <c r="I9" s="10" t="s">
        <v>50</v>
      </c>
      <c r="J9" s="11"/>
      <c r="K9" s="10" t="s">
        <v>93</v>
      </c>
      <c r="L9" s="10" t="s">
        <v>48</v>
      </c>
      <c r="M9" s="10" t="s">
        <v>94</v>
      </c>
      <c r="N9" s="11"/>
      <c r="O9" s="10" t="s">
        <v>175</v>
      </c>
      <c r="P9" s="11" t="s">
        <v>176</v>
      </c>
      <c r="Q9" s="11" t="s">
        <v>176</v>
      </c>
      <c r="R9" s="11"/>
      <c r="S9" s="9" t="str">
        <f>"707,5"</f>
        <v>707,5</v>
      </c>
      <c r="T9" s="10" t="str">
        <f>"451,9510"</f>
        <v>451,9510</v>
      </c>
      <c r="U9" s="9" t="s">
        <v>177</v>
      </c>
    </row>
    <row r="10" spans="1:21" x14ac:dyDescent="0.2">
      <c r="A10" s="12" t="s">
        <v>179</v>
      </c>
      <c r="B10" s="12" t="s">
        <v>180</v>
      </c>
      <c r="C10" s="12" t="s">
        <v>181</v>
      </c>
      <c r="D10" s="12" t="str">
        <f>"0,6398"</f>
        <v>0,6398</v>
      </c>
      <c r="E10" s="12" t="s">
        <v>18</v>
      </c>
      <c r="F10" s="12" t="s">
        <v>68</v>
      </c>
      <c r="G10" s="13" t="s">
        <v>46</v>
      </c>
      <c r="H10" s="13" t="s">
        <v>59</v>
      </c>
      <c r="I10" s="14" t="s">
        <v>50</v>
      </c>
      <c r="J10" s="14"/>
      <c r="K10" s="13" t="s">
        <v>72</v>
      </c>
      <c r="L10" s="14" t="s">
        <v>182</v>
      </c>
      <c r="M10" s="14" t="s">
        <v>182</v>
      </c>
      <c r="N10" s="14"/>
      <c r="O10" s="13" t="s">
        <v>96</v>
      </c>
      <c r="P10" s="13" t="s">
        <v>52</v>
      </c>
      <c r="Q10" s="14"/>
      <c r="R10" s="14"/>
      <c r="S10" s="12" t="str">
        <f>"685,0"</f>
        <v>685,0</v>
      </c>
      <c r="T10" s="13" t="str">
        <f>"438,2630"</f>
        <v>438,2630</v>
      </c>
      <c r="U10" s="12" t="s">
        <v>183</v>
      </c>
    </row>
    <row r="11" spans="1:21" x14ac:dyDescent="0.2">
      <c r="A11" s="15" t="s">
        <v>185</v>
      </c>
      <c r="B11" s="15" t="s">
        <v>186</v>
      </c>
      <c r="C11" s="15" t="s">
        <v>187</v>
      </c>
      <c r="D11" s="15" t="str">
        <f>"0,6491"</f>
        <v>0,6491</v>
      </c>
      <c r="E11" s="15" t="s">
        <v>18</v>
      </c>
      <c r="F11" s="15" t="s">
        <v>68</v>
      </c>
      <c r="G11" s="16" t="s">
        <v>188</v>
      </c>
      <c r="H11" s="16" t="s">
        <v>70</v>
      </c>
      <c r="I11" s="16" t="s">
        <v>71</v>
      </c>
      <c r="J11" s="17"/>
      <c r="K11" s="16" t="s">
        <v>189</v>
      </c>
      <c r="L11" s="16" t="s">
        <v>190</v>
      </c>
      <c r="M11" s="16" t="s">
        <v>191</v>
      </c>
      <c r="N11" s="17"/>
      <c r="O11" s="16" t="s">
        <v>71</v>
      </c>
      <c r="P11" s="16" t="s">
        <v>192</v>
      </c>
      <c r="Q11" s="17" t="s">
        <v>49</v>
      </c>
      <c r="R11" s="17"/>
      <c r="S11" s="15" t="str">
        <f>"532,5"</f>
        <v>532,5</v>
      </c>
      <c r="T11" s="16" t="str">
        <f>"345,6458"</f>
        <v>345,6458</v>
      </c>
      <c r="U11" s="15" t="s">
        <v>38</v>
      </c>
    </row>
    <row r="13" spans="1:21" ht="15" x14ac:dyDescent="0.2">
      <c r="A13" s="46" t="s">
        <v>75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1" x14ac:dyDescent="0.2">
      <c r="A14" s="9" t="s">
        <v>194</v>
      </c>
      <c r="B14" s="9" t="s">
        <v>195</v>
      </c>
      <c r="C14" s="9" t="s">
        <v>196</v>
      </c>
      <c r="D14" s="9" t="str">
        <f>"0,6134"</f>
        <v>0,6134</v>
      </c>
      <c r="E14" s="9" t="s">
        <v>18</v>
      </c>
      <c r="F14" s="9" t="s">
        <v>58</v>
      </c>
      <c r="G14" s="10" t="s">
        <v>197</v>
      </c>
      <c r="H14" s="10" t="s">
        <v>49</v>
      </c>
      <c r="I14" s="11" t="s">
        <v>198</v>
      </c>
      <c r="J14" s="11"/>
      <c r="K14" s="10" t="s">
        <v>37</v>
      </c>
      <c r="L14" s="10" t="s">
        <v>94</v>
      </c>
      <c r="M14" s="10" t="s">
        <v>182</v>
      </c>
      <c r="N14" s="11"/>
      <c r="O14" s="10" t="s">
        <v>197</v>
      </c>
      <c r="P14" s="10" t="s">
        <v>199</v>
      </c>
      <c r="Q14" s="10" t="s">
        <v>198</v>
      </c>
      <c r="R14" s="11"/>
      <c r="S14" s="9" t="str">
        <f>"640,0"</f>
        <v>640,0</v>
      </c>
      <c r="T14" s="10" t="str">
        <f>"392,5760"</f>
        <v>392,5760</v>
      </c>
      <c r="U14" s="9" t="s">
        <v>177</v>
      </c>
    </row>
    <row r="15" spans="1:21" x14ac:dyDescent="0.2">
      <c r="A15" s="15" t="s">
        <v>201</v>
      </c>
      <c r="B15" s="15" t="s">
        <v>202</v>
      </c>
      <c r="C15" s="15" t="s">
        <v>203</v>
      </c>
      <c r="D15" s="15" t="str">
        <f>"0,6211"</f>
        <v>0,6211</v>
      </c>
      <c r="E15" s="15" t="s">
        <v>18</v>
      </c>
      <c r="F15" s="15" t="s">
        <v>68</v>
      </c>
      <c r="G15" s="16" t="s">
        <v>71</v>
      </c>
      <c r="H15" s="17" t="s">
        <v>73</v>
      </c>
      <c r="I15" s="16" t="s">
        <v>73</v>
      </c>
      <c r="J15" s="17"/>
      <c r="K15" s="16" t="s">
        <v>110</v>
      </c>
      <c r="L15" s="16" t="s">
        <v>61</v>
      </c>
      <c r="M15" s="17" t="s">
        <v>33</v>
      </c>
      <c r="N15" s="17"/>
      <c r="O15" s="16" t="s">
        <v>71</v>
      </c>
      <c r="P15" s="17" t="s">
        <v>73</v>
      </c>
      <c r="Q15" s="16" t="s">
        <v>73</v>
      </c>
      <c r="R15" s="17"/>
      <c r="S15" s="15" t="str">
        <f>"550,0"</f>
        <v>550,0</v>
      </c>
      <c r="T15" s="16" t="str">
        <f>"341,6050"</f>
        <v>341,6050</v>
      </c>
      <c r="U15" s="15" t="s">
        <v>204</v>
      </c>
    </row>
    <row r="17" spans="1:21" ht="15" x14ac:dyDescent="0.2">
      <c r="A17" s="46" t="s">
        <v>112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1" x14ac:dyDescent="0.2">
      <c r="A18" s="9" t="s">
        <v>206</v>
      </c>
      <c r="B18" s="9" t="s">
        <v>207</v>
      </c>
      <c r="C18" s="9" t="s">
        <v>208</v>
      </c>
      <c r="D18" s="9" t="str">
        <f>"0,6021"</f>
        <v>0,6021</v>
      </c>
      <c r="E18" s="9" t="s">
        <v>18</v>
      </c>
      <c r="F18" s="9" t="s">
        <v>68</v>
      </c>
      <c r="G18" s="10" t="s">
        <v>71</v>
      </c>
      <c r="H18" s="11" t="s">
        <v>46</v>
      </c>
      <c r="I18" s="10" t="s">
        <v>46</v>
      </c>
      <c r="J18" s="11"/>
      <c r="K18" s="10" t="s">
        <v>37</v>
      </c>
      <c r="L18" s="10" t="s">
        <v>69</v>
      </c>
      <c r="M18" s="10" t="s">
        <v>188</v>
      </c>
      <c r="N18" s="11"/>
      <c r="O18" s="10" t="s">
        <v>49</v>
      </c>
      <c r="P18" s="10" t="s">
        <v>59</v>
      </c>
      <c r="Q18" s="10" t="s">
        <v>50</v>
      </c>
      <c r="R18" s="11"/>
      <c r="S18" s="9" t="str">
        <f>"650,0"</f>
        <v>650,0</v>
      </c>
      <c r="T18" s="10" t="str">
        <f>"391,3650"</f>
        <v>391,3650</v>
      </c>
      <c r="U18" s="9" t="s">
        <v>209</v>
      </c>
    </row>
    <row r="19" spans="1:21" x14ac:dyDescent="0.2">
      <c r="A19" s="15" t="s">
        <v>210</v>
      </c>
      <c r="B19" s="15" t="s">
        <v>211</v>
      </c>
      <c r="C19" s="15" t="s">
        <v>212</v>
      </c>
      <c r="D19" s="15" t="str">
        <f>"0,5928"</f>
        <v>0,5928</v>
      </c>
      <c r="E19" s="15" t="s">
        <v>18</v>
      </c>
      <c r="F19" s="15" t="s">
        <v>68</v>
      </c>
      <c r="G19" s="16" t="s">
        <v>85</v>
      </c>
      <c r="H19" s="17" t="s">
        <v>96</v>
      </c>
      <c r="I19" s="17"/>
      <c r="J19" s="17"/>
      <c r="K19" s="17" t="s">
        <v>72</v>
      </c>
      <c r="L19" s="17"/>
      <c r="M19" s="17"/>
      <c r="N19" s="17"/>
      <c r="O19" s="17" t="s">
        <v>52</v>
      </c>
      <c r="P19" s="17"/>
      <c r="Q19" s="17"/>
      <c r="R19" s="17"/>
      <c r="S19" s="15" t="str">
        <f>"0.00"</f>
        <v>0.00</v>
      </c>
      <c r="T19" s="16" t="str">
        <f>"0,0000"</f>
        <v>0,0000</v>
      </c>
      <c r="U19" s="15" t="s">
        <v>213</v>
      </c>
    </row>
    <row r="21" spans="1:21" ht="15" x14ac:dyDescent="0.2">
      <c r="A21" s="46" t="s">
        <v>214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1" x14ac:dyDescent="0.2">
      <c r="A22" s="6" t="s">
        <v>216</v>
      </c>
      <c r="B22" s="6" t="s">
        <v>217</v>
      </c>
      <c r="C22" s="6" t="s">
        <v>218</v>
      </c>
      <c r="D22" s="6" t="str">
        <f>"0,5776"</f>
        <v>0,5776</v>
      </c>
      <c r="E22" s="6" t="s">
        <v>18</v>
      </c>
      <c r="F22" s="6" t="s">
        <v>219</v>
      </c>
      <c r="G22" s="7" t="s">
        <v>49</v>
      </c>
      <c r="H22" s="8" t="s">
        <v>59</v>
      </c>
      <c r="I22" s="8" t="s">
        <v>50</v>
      </c>
      <c r="J22" s="8"/>
      <c r="K22" s="7" t="s">
        <v>37</v>
      </c>
      <c r="L22" s="7" t="s">
        <v>72</v>
      </c>
      <c r="M22" s="7" t="s">
        <v>69</v>
      </c>
      <c r="N22" s="8"/>
      <c r="O22" s="7" t="s">
        <v>85</v>
      </c>
      <c r="P22" s="7" t="s">
        <v>96</v>
      </c>
      <c r="Q22" s="7" t="s">
        <v>52</v>
      </c>
      <c r="R22" s="8"/>
      <c r="S22" s="6" t="str">
        <f>"680,0"</f>
        <v>680,0</v>
      </c>
      <c r="T22" s="7" t="str">
        <f>"419,4762"</f>
        <v>419,4762</v>
      </c>
      <c r="U22" s="6" t="s">
        <v>74</v>
      </c>
    </row>
    <row r="24" spans="1:21" ht="15" x14ac:dyDescent="0.2">
      <c r="E24" s="18" t="s">
        <v>119</v>
      </c>
    </row>
    <row r="25" spans="1:21" ht="15" x14ac:dyDescent="0.2">
      <c r="E25" s="18" t="s">
        <v>120</v>
      </c>
    </row>
    <row r="26" spans="1:21" ht="15" x14ac:dyDescent="0.2">
      <c r="E26" s="18" t="s">
        <v>121</v>
      </c>
    </row>
    <row r="27" spans="1:21" ht="15" x14ac:dyDescent="0.2">
      <c r="E27" s="18" t="s">
        <v>122</v>
      </c>
    </row>
    <row r="28" spans="1:21" ht="15" x14ac:dyDescent="0.2">
      <c r="E28" s="18" t="s">
        <v>122</v>
      </c>
    </row>
    <row r="29" spans="1:21" ht="15" x14ac:dyDescent="0.2">
      <c r="E29" s="18" t="s">
        <v>123</v>
      </c>
    </row>
    <row r="30" spans="1:21" ht="15" x14ac:dyDescent="0.2">
      <c r="E30" s="18"/>
    </row>
    <row r="32" spans="1:21" ht="18" x14ac:dyDescent="0.25">
      <c r="A32" s="19" t="s">
        <v>124</v>
      </c>
      <c r="B32" s="19"/>
    </row>
    <row r="33" spans="1:5" ht="15" x14ac:dyDescent="0.2">
      <c r="A33" s="20" t="s">
        <v>136</v>
      </c>
      <c r="B33" s="20"/>
    </row>
    <row r="34" spans="1:5" ht="14.25" x14ac:dyDescent="0.2">
      <c r="A34" s="22"/>
      <c r="B34" s="23" t="s">
        <v>144</v>
      </c>
    </row>
    <row r="35" spans="1:5" ht="15" x14ac:dyDescent="0.2">
      <c r="A35" s="24" t="s">
        <v>127</v>
      </c>
      <c r="B35" s="24" t="s">
        <v>128</v>
      </c>
      <c r="C35" s="24" t="s">
        <v>129</v>
      </c>
      <c r="D35" s="24" t="s">
        <v>130</v>
      </c>
      <c r="E35" s="24" t="s">
        <v>131</v>
      </c>
    </row>
    <row r="36" spans="1:5" x14ac:dyDescent="0.2">
      <c r="A36" s="21" t="s">
        <v>170</v>
      </c>
      <c r="B36" s="4" t="s">
        <v>144</v>
      </c>
      <c r="C36" s="4" t="s">
        <v>141</v>
      </c>
      <c r="D36" s="4" t="s">
        <v>145</v>
      </c>
      <c r="E36" s="25" t="s">
        <v>220</v>
      </c>
    </row>
    <row r="37" spans="1:5" x14ac:dyDescent="0.2">
      <c r="A37" s="21" t="s">
        <v>178</v>
      </c>
      <c r="B37" s="4" t="s">
        <v>144</v>
      </c>
      <c r="C37" s="4" t="s">
        <v>141</v>
      </c>
      <c r="D37" s="4" t="s">
        <v>221</v>
      </c>
      <c r="E37" s="25" t="s">
        <v>222</v>
      </c>
    </row>
    <row r="38" spans="1:5" x14ac:dyDescent="0.2">
      <c r="A38" s="21" t="s">
        <v>193</v>
      </c>
      <c r="B38" s="4" t="s">
        <v>144</v>
      </c>
      <c r="C38" s="4" t="s">
        <v>138</v>
      </c>
      <c r="D38" s="4" t="s">
        <v>223</v>
      </c>
      <c r="E38" s="25" t="s">
        <v>224</v>
      </c>
    </row>
    <row r="39" spans="1:5" x14ac:dyDescent="0.2">
      <c r="A39" s="21" t="s">
        <v>205</v>
      </c>
      <c r="B39" s="4" t="s">
        <v>144</v>
      </c>
      <c r="C39" s="4" t="s">
        <v>151</v>
      </c>
      <c r="D39" s="4" t="s">
        <v>225</v>
      </c>
      <c r="E39" s="25" t="s">
        <v>226</v>
      </c>
    </row>
    <row r="40" spans="1:5" x14ac:dyDescent="0.2">
      <c r="A40" s="21" t="s">
        <v>184</v>
      </c>
      <c r="B40" s="4" t="s">
        <v>144</v>
      </c>
      <c r="C40" s="4" t="s">
        <v>141</v>
      </c>
      <c r="D40" s="4" t="s">
        <v>227</v>
      </c>
      <c r="E40" s="25" t="s">
        <v>228</v>
      </c>
    </row>
    <row r="41" spans="1:5" x14ac:dyDescent="0.2">
      <c r="A41" s="21" t="s">
        <v>200</v>
      </c>
      <c r="B41" s="4" t="s">
        <v>144</v>
      </c>
      <c r="C41" s="4" t="s">
        <v>138</v>
      </c>
      <c r="D41" s="4" t="s">
        <v>229</v>
      </c>
      <c r="E41" s="25" t="s">
        <v>230</v>
      </c>
    </row>
    <row r="43" spans="1:5" ht="14.25" x14ac:dyDescent="0.2">
      <c r="A43" s="22"/>
      <c r="B43" s="23" t="s">
        <v>159</v>
      </c>
    </row>
    <row r="44" spans="1:5" ht="15" x14ac:dyDescent="0.2">
      <c r="A44" s="24" t="s">
        <v>127</v>
      </c>
      <c r="B44" s="24" t="s">
        <v>128</v>
      </c>
      <c r="C44" s="24" t="s">
        <v>129</v>
      </c>
      <c r="D44" s="24" t="s">
        <v>130</v>
      </c>
      <c r="E44" s="24" t="s">
        <v>131</v>
      </c>
    </row>
    <row r="45" spans="1:5" x14ac:dyDescent="0.2">
      <c r="A45" s="21" t="s">
        <v>215</v>
      </c>
      <c r="B45" s="4" t="s">
        <v>231</v>
      </c>
      <c r="C45" s="4" t="s">
        <v>232</v>
      </c>
      <c r="D45" s="4" t="s">
        <v>233</v>
      </c>
      <c r="E45" s="25" t="s">
        <v>234</v>
      </c>
    </row>
  </sheetData>
  <mergeCells count="18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7:T17"/>
    <mergeCell ref="A21:T21"/>
    <mergeCell ref="S3:S4"/>
    <mergeCell ref="T3:T4"/>
    <mergeCell ref="U3:U4"/>
    <mergeCell ref="A5:T5"/>
    <mergeCell ref="A8:T8"/>
    <mergeCell ref="A13:T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6.7109375" style="4" customWidth="1"/>
    <col min="4" max="4" width="8.42578125" style="4" bestFit="1" customWidth="1"/>
    <col min="5" max="5" width="22.7109375" style="4" bestFit="1" customWidth="1"/>
    <col min="6" max="6" width="27.42578125" style="4" bestFit="1" customWidth="1"/>
    <col min="7" max="9" width="5.5703125" style="3" bestFit="1" customWidth="1"/>
    <col min="10" max="10" width="4.85546875" style="3" bestFit="1" customWidth="1"/>
    <col min="11" max="11" width="12.28515625" style="4" customWidth="1"/>
    <col min="12" max="12" width="7.5703125" style="3" bestFit="1" customWidth="1"/>
    <col min="13" max="13" width="14.140625" style="4" bestFit="1" customWidth="1"/>
    <col min="14" max="16384" width="9.140625" style="3"/>
  </cols>
  <sheetData>
    <row r="1" spans="1:13" s="2" customFormat="1" ht="29.1" customHeight="1" x14ac:dyDescent="0.2">
      <c r="A1" s="37" t="s">
        <v>1479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718</v>
      </c>
      <c r="L3" s="32" t="s">
        <v>3</v>
      </c>
      <c r="M3" s="34" t="s">
        <v>2</v>
      </c>
    </row>
    <row r="4" spans="1:13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3" ht="15" x14ac:dyDescent="0.2">
      <c r="A5" s="36" t="s">
        <v>275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720</v>
      </c>
      <c r="B6" s="6" t="s">
        <v>721</v>
      </c>
      <c r="C6" s="6" t="s">
        <v>722</v>
      </c>
      <c r="D6" s="6" t="str">
        <f>"0,9646"</f>
        <v>0,9646</v>
      </c>
      <c r="E6" s="6" t="s">
        <v>18</v>
      </c>
      <c r="F6" s="6" t="s">
        <v>68</v>
      </c>
      <c r="G6" s="7" t="s">
        <v>22</v>
      </c>
      <c r="H6" s="7" t="s">
        <v>392</v>
      </c>
      <c r="I6" s="8" t="s">
        <v>24</v>
      </c>
      <c r="J6" s="8"/>
      <c r="K6" s="6" t="str">
        <f>"45,0"</f>
        <v>45,0</v>
      </c>
      <c r="L6" s="7" t="str">
        <f>"45,2735"</f>
        <v>45,2735</v>
      </c>
      <c r="M6" s="6" t="s">
        <v>723</v>
      </c>
    </row>
    <row r="8" spans="1:13" ht="15" x14ac:dyDescent="0.2">
      <c r="A8" s="46" t="s">
        <v>275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x14ac:dyDescent="0.2">
      <c r="A9" s="9" t="s">
        <v>725</v>
      </c>
      <c r="B9" s="9" t="s">
        <v>726</v>
      </c>
      <c r="C9" s="9" t="s">
        <v>727</v>
      </c>
      <c r="D9" s="9" t="str">
        <f>"0,7207"</f>
        <v>0,7207</v>
      </c>
      <c r="E9" s="9" t="s">
        <v>18</v>
      </c>
      <c r="F9" s="9" t="s">
        <v>92</v>
      </c>
      <c r="G9" s="10" t="s">
        <v>383</v>
      </c>
      <c r="H9" s="11" t="s">
        <v>409</v>
      </c>
      <c r="I9" s="10" t="s">
        <v>409</v>
      </c>
      <c r="J9" s="11"/>
      <c r="K9" s="9" t="str">
        <f>"87,5"</f>
        <v>87,5</v>
      </c>
      <c r="L9" s="10" t="str">
        <f>"63,0613"</f>
        <v>63,0613</v>
      </c>
      <c r="M9" s="9" t="s">
        <v>38</v>
      </c>
    </row>
    <row r="10" spans="1:13" x14ac:dyDescent="0.2">
      <c r="A10" s="12" t="s">
        <v>573</v>
      </c>
      <c r="B10" s="12" t="s">
        <v>574</v>
      </c>
      <c r="C10" s="12" t="s">
        <v>575</v>
      </c>
      <c r="D10" s="12" t="str">
        <f>"0,7271"</f>
        <v>0,7271</v>
      </c>
      <c r="E10" s="12" t="s">
        <v>18</v>
      </c>
      <c r="F10" s="12" t="s">
        <v>68</v>
      </c>
      <c r="G10" s="13" t="s">
        <v>576</v>
      </c>
      <c r="H10" s="14"/>
      <c r="I10" s="14"/>
      <c r="J10" s="14"/>
      <c r="K10" s="12" t="str">
        <f>"75,0"</f>
        <v>75,0</v>
      </c>
      <c r="L10" s="13" t="str">
        <f>"54,5325"</f>
        <v>54,5325</v>
      </c>
      <c r="M10" s="12" t="s">
        <v>38</v>
      </c>
    </row>
    <row r="11" spans="1:13" x14ac:dyDescent="0.2">
      <c r="A11" s="15" t="s">
        <v>577</v>
      </c>
      <c r="B11" s="15" t="s">
        <v>578</v>
      </c>
      <c r="C11" s="15" t="s">
        <v>575</v>
      </c>
      <c r="D11" s="15" t="str">
        <f>"0,7271"</f>
        <v>0,7271</v>
      </c>
      <c r="E11" s="15" t="s">
        <v>18</v>
      </c>
      <c r="F11" s="15" t="s">
        <v>68</v>
      </c>
      <c r="G11" s="16" t="s">
        <v>576</v>
      </c>
      <c r="H11" s="17"/>
      <c r="I11" s="17"/>
      <c r="J11" s="17"/>
      <c r="K11" s="15" t="str">
        <f>"75,0"</f>
        <v>75,0</v>
      </c>
      <c r="L11" s="16" t="str">
        <f>"79,0721"</f>
        <v>79,0721</v>
      </c>
      <c r="M11" s="15" t="s">
        <v>38</v>
      </c>
    </row>
    <row r="13" spans="1:13" ht="15" x14ac:dyDescent="0.2">
      <c r="A13" s="46" t="s">
        <v>75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3" x14ac:dyDescent="0.2">
      <c r="A14" s="6" t="s">
        <v>728</v>
      </c>
      <c r="B14" s="6" t="s">
        <v>729</v>
      </c>
      <c r="C14" s="6" t="s">
        <v>730</v>
      </c>
      <c r="D14" s="6" t="str">
        <f>"0,6163"</f>
        <v>0,6163</v>
      </c>
      <c r="E14" s="6" t="s">
        <v>18</v>
      </c>
      <c r="F14" s="6" t="s">
        <v>374</v>
      </c>
      <c r="G14" s="8" t="s">
        <v>50</v>
      </c>
      <c r="H14" s="8" t="s">
        <v>96</v>
      </c>
      <c r="I14" s="8" t="s">
        <v>96</v>
      </c>
      <c r="J14" s="8"/>
      <c r="K14" s="6" t="str">
        <f>"0.00"</f>
        <v>0.00</v>
      </c>
      <c r="L14" s="7" t="str">
        <f>"0,0000"</f>
        <v>0,0000</v>
      </c>
      <c r="M14" s="6" t="s">
        <v>38</v>
      </c>
    </row>
    <row r="16" spans="1:13" ht="15" x14ac:dyDescent="0.2">
      <c r="E16" s="18" t="s">
        <v>119</v>
      </c>
    </row>
    <row r="17" spans="1:5" ht="15" x14ac:dyDescent="0.2">
      <c r="E17" s="18" t="s">
        <v>120</v>
      </c>
    </row>
    <row r="18" spans="1:5" ht="15" x14ac:dyDescent="0.2">
      <c r="E18" s="18" t="s">
        <v>121</v>
      </c>
    </row>
    <row r="19" spans="1:5" ht="15" x14ac:dyDescent="0.2">
      <c r="E19" s="18" t="s">
        <v>122</v>
      </c>
    </row>
    <row r="20" spans="1:5" ht="15" x14ac:dyDescent="0.2">
      <c r="E20" s="18" t="s">
        <v>122</v>
      </c>
    </row>
    <row r="21" spans="1:5" ht="15" x14ac:dyDescent="0.2">
      <c r="E21" s="18" t="s">
        <v>123</v>
      </c>
    </row>
    <row r="22" spans="1:5" ht="15" x14ac:dyDescent="0.2">
      <c r="E22" s="18"/>
    </row>
    <row r="24" spans="1:5" ht="18" x14ac:dyDescent="0.25">
      <c r="A24" s="19" t="s">
        <v>124</v>
      </c>
      <c r="B24" s="19"/>
    </row>
    <row r="25" spans="1:5" ht="15" x14ac:dyDescent="0.2">
      <c r="A25" s="20" t="s">
        <v>125</v>
      </c>
      <c r="B25" s="20"/>
    </row>
    <row r="26" spans="1:5" ht="14.25" x14ac:dyDescent="0.2">
      <c r="A26" s="22"/>
      <c r="B26" s="23" t="s">
        <v>159</v>
      </c>
    </row>
    <row r="27" spans="1:5" ht="15" x14ac:dyDescent="0.2">
      <c r="A27" s="24" t="s">
        <v>127</v>
      </c>
      <c r="B27" s="24" t="s">
        <v>128</v>
      </c>
      <c r="C27" s="24" t="s">
        <v>129</v>
      </c>
      <c r="D27" s="24" t="s">
        <v>130</v>
      </c>
      <c r="E27" s="24" t="s">
        <v>131</v>
      </c>
    </row>
    <row r="28" spans="1:5" x14ac:dyDescent="0.2">
      <c r="A28" s="21" t="s">
        <v>719</v>
      </c>
      <c r="B28" s="4" t="s">
        <v>160</v>
      </c>
      <c r="C28" s="4" t="s">
        <v>336</v>
      </c>
      <c r="D28" s="4" t="s">
        <v>392</v>
      </c>
      <c r="E28" s="25" t="s">
        <v>731</v>
      </c>
    </row>
    <row r="31" spans="1:5" ht="15" x14ac:dyDescent="0.2">
      <c r="A31" s="20" t="s">
        <v>136</v>
      </c>
      <c r="B31" s="20"/>
    </row>
    <row r="32" spans="1:5" ht="14.25" x14ac:dyDescent="0.2">
      <c r="A32" s="22"/>
      <c r="B32" s="23" t="s">
        <v>144</v>
      </c>
    </row>
    <row r="33" spans="1:5" ht="15" x14ac:dyDescent="0.2">
      <c r="A33" s="24" t="s">
        <v>127</v>
      </c>
      <c r="B33" s="24" t="s">
        <v>128</v>
      </c>
      <c r="C33" s="24" t="s">
        <v>129</v>
      </c>
      <c r="D33" s="24" t="s">
        <v>130</v>
      </c>
      <c r="E33" s="24" t="s">
        <v>131</v>
      </c>
    </row>
    <row r="34" spans="1:5" x14ac:dyDescent="0.2">
      <c r="A34" s="21" t="s">
        <v>724</v>
      </c>
      <c r="B34" s="4" t="s">
        <v>144</v>
      </c>
      <c r="C34" s="4" t="s">
        <v>336</v>
      </c>
      <c r="D34" s="4" t="s">
        <v>409</v>
      </c>
      <c r="E34" s="25" t="s">
        <v>732</v>
      </c>
    </row>
    <row r="35" spans="1:5" x14ac:dyDescent="0.2">
      <c r="A35" s="21" t="s">
        <v>572</v>
      </c>
      <c r="B35" s="4" t="s">
        <v>144</v>
      </c>
      <c r="C35" s="4" t="s">
        <v>336</v>
      </c>
      <c r="D35" s="4" t="s">
        <v>576</v>
      </c>
      <c r="E35" s="25" t="s">
        <v>733</v>
      </c>
    </row>
    <row r="37" spans="1:5" ht="14.25" x14ac:dyDescent="0.2">
      <c r="A37" s="22"/>
      <c r="B37" s="23" t="s">
        <v>159</v>
      </c>
    </row>
    <row r="38" spans="1:5" ht="15" x14ac:dyDescent="0.2">
      <c r="A38" s="24" t="s">
        <v>127</v>
      </c>
      <c r="B38" s="24" t="s">
        <v>128</v>
      </c>
      <c r="C38" s="24" t="s">
        <v>129</v>
      </c>
      <c r="D38" s="24" t="s">
        <v>130</v>
      </c>
      <c r="E38" s="24" t="s">
        <v>131</v>
      </c>
    </row>
    <row r="39" spans="1:5" x14ac:dyDescent="0.2">
      <c r="A39" s="21" t="s">
        <v>572</v>
      </c>
      <c r="B39" s="4" t="s">
        <v>716</v>
      </c>
      <c r="C39" s="4" t="s">
        <v>336</v>
      </c>
      <c r="D39" s="4" t="s">
        <v>576</v>
      </c>
      <c r="E39" s="25" t="s">
        <v>734</v>
      </c>
    </row>
  </sheetData>
  <mergeCells count="14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customWidth="1"/>
    <col min="4" max="4" width="8.42578125" style="4" bestFit="1" customWidth="1"/>
    <col min="5" max="5" width="22.7109375" style="4" bestFit="1" customWidth="1"/>
    <col min="6" max="6" width="41.42578125" style="4" bestFit="1" customWidth="1"/>
    <col min="7" max="9" width="5.57031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32.140625" style="4" bestFit="1" customWidth="1"/>
    <col min="14" max="16384" width="9.140625" style="3"/>
  </cols>
  <sheetData>
    <row r="1" spans="1:13" s="2" customFormat="1" ht="29.1" customHeight="1" x14ac:dyDescent="0.2">
      <c r="A1" s="37" t="s">
        <v>1480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718</v>
      </c>
      <c r="L3" s="32" t="s">
        <v>3</v>
      </c>
      <c r="M3" s="34" t="s">
        <v>2</v>
      </c>
    </row>
    <row r="4" spans="1:13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3" ht="15" x14ac:dyDescent="0.2">
      <c r="A5" s="36" t="s">
        <v>244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558</v>
      </c>
      <c r="B6" s="6" t="s">
        <v>559</v>
      </c>
      <c r="C6" s="6" t="s">
        <v>560</v>
      </c>
      <c r="D6" s="6" t="str">
        <f>"1,1866"</f>
        <v>1,1866</v>
      </c>
      <c r="E6" s="6" t="s">
        <v>18</v>
      </c>
      <c r="F6" s="6" t="s">
        <v>68</v>
      </c>
      <c r="G6" s="7" t="s">
        <v>561</v>
      </c>
      <c r="H6" s="7" t="s">
        <v>359</v>
      </c>
      <c r="I6" s="8" t="s">
        <v>360</v>
      </c>
      <c r="J6" s="8"/>
      <c r="K6" s="6" t="str">
        <f>"35,0"</f>
        <v>35,0</v>
      </c>
      <c r="L6" s="7" t="str">
        <f>"41,5310"</f>
        <v>41,5310</v>
      </c>
      <c r="M6" s="6" t="s">
        <v>562</v>
      </c>
    </row>
    <row r="8" spans="1:13" ht="15" x14ac:dyDescent="0.2">
      <c r="A8" s="46" t="s">
        <v>164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x14ac:dyDescent="0.2">
      <c r="A9" s="6" t="s">
        <v>564</v>
      </c>
      <c r="B9" s="6" t="s">
        <v>565</v>
      </c>
      <c r="C9" s="6" t="s">
        <v>566</v>
      </c>
      <c r="D9" s="6" t="str">
        <f>"1,0539"</f>
        <v>1,0539</v>
      </c>
      <c r="E9" s="6" t="s">
        <v>18</v>
      </c>
      <c r="F9" s="6" t="s">
        <v>249</v>
      </c>
      <c r="G9" s="7" t="s">
        <v>253</v>
      </c>
      <c r="H9" s="8" t="s">
        <v>268</v>
      </c>
      <c r="I9" s="8" t="s">
        <v>268</v>
      </c>
      <c r="J9" s="8"/>
      <c r="K9" s="6" t="str">
        <f>"55,0"</f>
        <v>55,0</v>
      </c>
      <c r="L9" s="7" t="str">
        <f>"57,9645"</f>
        <v>57,9645</v>
      </c>
      <c r="M9" s="6" t="s">
        <v>74</v>
      </c>
    </row>
    <row r="11" spans="1:13" ht="15" x14ac:dyDescent="0.2">
      <c r="A11" s="46" t="s">
        <v>275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3" x14ac:dyDescent="0.2">
      <c r="A12" s="9" t="s">
        <v>568</v>
      </c>
      <c r="B12" s="9" t="s">
        <v>569</v>
      </c>
      <c r="C12" s="9" t="s">
        <v>570</v>
      </c>
      <c r="D12" s="9" t="str">
        <f>"0,7414"</f>
        <v>0,7414</v>
      </c>
      <c r="E12" s="9" t="s">
        <v>18</v>
      </c>
      <c r="F12" s="9" t="s">
        <v>68</v>
      </c>
      <c r="G12" s="10" t="s">
        <v>33</v>
      </c>
      <c r="H12" s="10" t="s">
        <v>34</v>
      </c>
      <c r="I12" s="11"/>
      <c r="J12" s="11"/>
      <c r="K12" s="9" t="str">
        <f>"140,0"</f>
        <v>140,0</v>
      </c>
      <c r="L12" s="10" t="str">
        <f>"103,7960"</f>
        <v>103,7960</v>
      </c>
      <c r="M12" s="9" t="s">
        <v>571</v>
      </c>
    </row>
    <row r="13" spans="1:13" x14ac:dyDescent="0.2">
      <c r="A13" s="12" t="s">
        <v>573</v>
      </c>
      <c r="B13" s="12" t="s">
        <v>574</v>
      </c>
      <c r="C13" s="12" t="s">
        <v>575</v>
      </c>
      <c r="D13" s="12" t="str">
        <f>"0,7271"</f>
        <v>0,7271</v>
      </c>
      <c r="E13" s="12" t="s">
        <v>18</v>
      </c>
      <c r="F13" s="12" t="s">
        <v>68</v>
      </c>
      <c r="G13" s="13" t="s">
        <v>576</v>
      </c>
      <c r="H13" s="13" t="s">
        <v>368</v>
      </c>
      <c r="I13" s="14"/>
      <c r="J13" s="14"/>
      <c r="K13" s="12" t="str">
        <f>"80,0"</f>
        <v>80,0</v>
      </c>
      <c r="L13" s="13" t="str">
        <f>"58,1680"</f>
        <v>58,1680</v>
      </c>
      <c r="M13" s="12" t="s">
        <v>38</v>
      </c>
    </row>
    <row r="14" spans="1:13" x14ac:dyDescent="0.2">
      <c r="A14" s="15" t="s">
        <v>577</v>
      </c>
      <c r="B14" s="15" t="s">
        <v>578</v>
      </c>
      <c r="C14" s="15" t="s">
        <v>575</v>
      </c>
      <c r="D14" s="15" t="str">
        <f>"0,7271"</f>
        <v>0,7271</v>
      </c>
      <c r="E14" s="15" t="s">
        <v>18</v>
      </c>
      <c r="F14" s="15" t="s">
        <v>68</v>
      </c>
      <c r="G14" s="16" t="s">
        <v>576</v>
      </c>
      <c r="H14" s="16" t="s">
        <v>368</v>
      </c>
      <c r="I14" s="17"/>
      <c r="J14" s="17"/>
      <c r="K14" s="15" t="str">
        <f>"80,0"</f>
        <v>80,0</v>
      </c>
      <c r="L14" s="16" t="str">
        <f>"84,3436"</f>
        <v>84,3436</v>
      </c>
      <c r="M14" s="15" t="s">
        <v>38</v>
      </c>
    </row>
    <row r="16" spans="1:13" ht="15" x14ac:dyDescent="0.2">
      <c r="A16" s="46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3" x14ac:dyDescent="0.2">
      <c r="A17" s="9" t="s">
        <v>579</v>
      </c>
      <c r="B17" s="9" t="s">
        <v>580</v>
      </c>
      <c r="C17" s="9" t="s">
        <v>581</v>
      </c>
      <c r="D17" s="9" t="str">
        <f>"0,6939"</f>
        <v>0,6939</v>
      </c>
      <c r="E17" s="9" t="s">
        <v>18</v>
      </c>
      <c r="F17" s="9" t="s">
        <v>68</v>
      </c>
      <c r="G17" s="11" t="s">
        <v>21</v>
      </c>
      <c r="H17" s="11" t="s">
        <v>251</v>
      </c>
      <c r="I17" s="11" t="s">
        <v>251</v>
      </c>
      <c r="J17" s="11"/>
      <c r="K17" s="9" t="str">
        <f>"0.00"</f>
        <v>0.00</v>
      </c>
      <c r="L17" s="10" t="str">
        <f>"0,0000"</f>
        <v>0,0000</v>
      </c>
      <c r="M17" s="9" t="s">
        <v>38</v>
      </c>
    </row>
    <row r="18" spans="1:13" x14ac:dyDescent="0.2">
      <c r="A18" s="15" t="s">
        <v>583</v>
      </c>
      <c r="B18" s="15" t="s">
        <v>584</v>
      </c>
      <c r="C18" s="15" t="s">
        <v>585</v>
      </c>
      <c r="D18" s="15" t="str">
        <f>"0,6724"</f>
        <v>0,6724</v>
      </c>
      <c r="E18" s="15" t="s">
        <v>80</v>
      </c>
      <c r="F18" s="15" t="s">
        <v>68</v>
      </c>
      <c r="G18" s="16" t="s">
        <v>33</v>
      </c>
      <c r="H18" s="16" t="s">
        <v>34</v>
      </c>
      <c r="I18" s="16" t="s">
        <v>84</v>
      </c>
      <c r="J18" s="17"/>
      <c r="K18" s="15" t="str">
        <f>"145,0"</f>
        <v>145,0</v>
      </c>
      <c r="L18" s="16" t="str">
        <f>"123,6275"</f>
        <v>123,6275</v>
      </c>
      <c r="M18" s="15" t="s">
        <v>586</v>
      </c>
    </row>
    <row r="20" spans="1:13" ht="15" x14ac:dyDescent="0.2">
      <c r="A20" s="46" t="s">
        <v>39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3" x14ac:dyDescent="0.2">
      <c r="A21" s="9" t="s">
        <v>588</v>
      </c>
      <c r="B21" s="9" t="s">
        <v>589</v>
      </c>
      <c r="C21" s="9" t="s">
        <v>590</v>
      </c>
      <c r="D21" s="9" t="str">
        <f>"0,6432"</f>
        <v>0,6432</v>
      </c>
      <c r="E21" s="9" t="s">
        <v>18</v>
      </c>
      <c r="F21" s="9" t="s">
        <v>68</v>
      </c>
      <c r="G21" s="10" t="s">
        <v>70</v>
      </c>
      <c r="H21" s="11" t="s">
        <v>71</v>
      </c>
      <c r="I21" s="11" t="s">
        <v>71</v>
      </c>
      <c r="J21" s="11"/>
      <c r="K21" s="9" t="str">
        <f>"190,0"</f>
        <v>190,0</v>
      </c>
      <c r="L21" s="10" t="str">
        <f>"122,2080"</f>
        <v>122,2080</v>
      </c>
      <c r="M21" s="9" t="s">
        <v>591</v>
      </c>
    </row>
    <row r="22" spans="1:13" x14ac:dyDescent="0.2">
      <c r="A22" s="12" t="s">
        <v>593</v>
      </c>
      <c r="B22" s="12" t="s">
        <v>594</v>
      </c>
      <c r="C22" s="12" t="s">
        <v>595</v>
      </c>
      <c r="D22" s="12" t="str">
        <f>"0,6384"</f>
        <v>0,6384</v>
      </c>
      <c r="E22" s="12" t="s">
        <v>18</v>
      </c>
      <c r="F22" s="12" t="s">
        <v>68</v>
      </c>
      <c r="G22" s="13" t="s">
        <v>69</v>
      </c>
      <c r="H22" s="13" t="s">
        <v>452</v>
      </c>
      <c r="I22" s="13" t="s">
        <v>596</v>
      </c>
      <c r="J22" s="14"/>
      <c r="K22" s="12" t="str">
        <f>"182,5"</f>
        <v>182,5</v>
      </c>
      <c r="L22" s="13" t="str">
        <f>"116,5080"</f>
        <v>116,5080</v>
      </c>
      <c r="M22" s="12" t="s">
        <v>597</v>
      </c>
    </row>
    <row r="23" spans="1:13" x14ac:dyDescent="0.2">
      <c r="A23" s="15" t="s">
        <v>599</v>
      </c>
      <c r="B23" s="15" t="s">
        <v>600</v>
      </c>
      <c r="C23" s="15" t="s">
        <v>67</v>
      </c>
      <c r="D23" s="15" t="str">
        <f>"0,6391"</f>
        <v>0,6391</v>
      </c>
      <c r="E23" s="15" t="s">
        <v>18</v>
      </c>
      <c r="F23" s="15" t="s">
        <v>249</v>
      </c>
      <c r="G23" s="16" t="s">
        <v>36</v>
      </c>
      <c r="H23" s="16" t="s">
        <v>37</v>
      </c>
      <c r="I23" s="16" t="s">
        <v>72</v>
      </c>
      <c r="J23" s="17"/>
      <c r="K23" s="15" t="str">
        <f>"165,0"</f>
        <v>165,0</v>
      </c>
      <c r="L23" s="16" t="str">
        <f>"115,6803"</f>
        <v>115,6803</v>
      </c>
      <c r="M23" s="15" t="s">
        <v>27</v>
      </c>
    </row>
    <row r="25" spans="1:13" ht="15" x14ac:dyDescent="0.2">
      <c r="A25" s="46" t="s">
        <v>75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3" x14ac:dyDescent="0.2">
      <c r="A26" s="9" t="s">
        <v>602</v>
      </c>
      <c r="B26" s="9" t="s">
        <v>603</v>
      </c>
      <c r="C26" s="9" t="s">
        <v>604</v>
      </c>
      <c r="D26" s="9" t="str">
        <f>"0,6136"</f>
        <v>0,6136</v>
      </c>
      <c r="E26" s="9" t="s">
        <v>18</v>
      </c>
      <c r="F26" s="9" t="s">
        <v>68</v>
      </c>
      <c r="G26" s="10" t="s">
        <v>596</v>
      </c>
      <c r="H26" s="10" t="s">
        <v>437</v>
      </c>
      <c r="I26" s="11" t="s">
        <v>605</v>
      </c>
      <c r="J26" s="11"/>
      <c r="K26" s="9" t="str">
        <f>"187,5"</f>
        <v>187,5</v>
      </c>
      <c r="L26" s="10" t="str">
        <f>"115,0500"</f>
        <v>115,0500</v>
      </c>
      <c r="M26" s="9" t="s">
        <v>606</v>
      </c>
    </row>
    <row r="27" spans="1:13" x14ac:dyDescent="0.2">
      <c r="A27" s="12" t="s">
        <v>608</v>
      </c>
      <c r="B27" s="12" t="s">
        <v>609</v>
      </c>
      <c r="C27" s="12" t="s">
        <v>610</v>
      </c>
      <c r="D27" s="12" t="str">
        <f>"0,6194"</f>
        <v>0,6194</v>
      </c>
      <c r="E27" s="12" t="s">
        <v>18</v>
      </c>
      <c r="F27" s="12" t="s">
        <v>68</v>
      </c>
      <c r="G27" s="13" t="s">
        <v>109</v>
      </c>
      <c r="H27" s="13" t="s">
        <v>188</v>
      </c>
      <c r="I27" s="14" t="s">
        <v>302</v>
      </c>
      <c r="J27" s="14"/>
      <c r="K27" s="12" t="str">
        <f>"180,0"</f>
        <v>180,0</v>
      </c>
      <c r="L27" s="13" t="str">
        <f>"111,4920"</f>
        <v>111,4920</v>
      </c>
      <c r="M27" s="12" t="s">
        <v>611</v>
      </c>
    </row>
    <row r="28" spans="1:13" x14ac:dyDescent="0.2">
      <c r="A28" s="12" t="s">
        <v>613</v>
      </c>
      <c r="B28" s="12" t="s">
        <v>614</v>
      </c>
      <c r="C28" s="12" t="s">
        <v>615</v>
      </c>
      <c r="D28" s="12" t="str">
        <f>"0,6113"</f>
        <v>0,6113</v>
      </c>
      <c r="E28" s="12" t="s">
        <v>18</v>
      </c>
      <c r="F28" s="12" t="s">
        <v>301</v>
      </c>
      <c r="G28" s="14" t="s">
        <v>109</v>
      </c>
      <c r="H28" s="13" t="s">
        <v>109</v>
      </c>
      <c r="I28" s="14" t="s">
        <v>188</v>
      </c>
      <c r="J28" s="14"/>
      <c r="K28" s="12" t="str">
        <f>"175,0"</f>
        <v>175,0</v>
      </c>
      <c r="L28" s="13" t="str">
        <f>"106,9775"</f>
        <v>106,9775</v>
      </c>
      <c r="M28" s="12" t="s">
        <v>616</v>
      </c>
    </row>
    <row r="29" spans="1:13" x14ac:dyDescent="0.2">
      <c r="A29" s="12" t="s">
        <v>618</v>
      </c>
      <c r="B29" s="12" t="s">
        <v>619</v>
      </c>
      <c r="C29" s="12" t="s">
        <v>620</v>
      </c>
      <c r="D29" s="12" t="str">
        <f>"0,6123"</f>
        <v>0,6123</v>
      </c>
      <c r="E29" s="12" t="s">
        <v>18</v>
      </c>
      <c r="F29" s="12" t="s">
        <v>621</v>
      </c>
      <c r="G29" s="13" t="s">
        <v>33</v>
      </c>
      <c r="H29" s="13" t="s">
        <v>84</v>
      </c>
      <c r="I29" s="14" t="s">
        <v>36</v>
      </c>
      <c r="J29" s="14"/>
      <c r="K29" s="12" t="str">
        <f>"145,0"</f>
        <v>145,0</v>
      </c>
      <c r="L29" s="13" t="str">
        <f>"88,7835"</f>
        <v>88,7835</v>
      </c>
      <c r="M29" s="12" t="s">
        <v>622</v>
      </c>
    </row>
    <row r="30" spans="1:13" x14ac:dyDescent="0.2">
      <c r="A30" s="12" t="s">
        <v>623</v>
      </c>
      <c r="B30" s="12" t="s">
        <v>624</v>
      </c>
      <c r="C30" s="12" t="s">
        <v>610</v>
      </c>
      <c r="D30" s="12" t="str">
        <f>"0,6194"</f>
        <v>0,6194</v>
      </c>
      <c r="E30" s="12" t="s">
        <v>18</v>
      </c>
      <c r="F30" s="12" t="s">
        <v>68</v>
      </c>
      <c r="G30" s="13" t="s">
        <v>109</v>
      </c>
      <c r="H30" s="13" t="s">
        <v>188</v>
      </c>
      <c r="I30" s="14" t="s">
        <v>302</v>
      </c>
      <c r="J30" s="14"/>
      <c r="K30" s="12" t="str">
        <f>"180,0"</f>
        <v>180,0</v>
      </c>
      <c r="L30" s="13" t="str">
        <f>"111,4920"</f>
        <v>111,4920</v>
      </c>
      <c r="M30" s="12" t="s">
        <v>611</v>
      </c>
    </row>
    <row r="31" spans="1:13" x14ac:dyDescent="0.2">
      <c r="A31" s="12" t="s">
        <v>626</v>
      </c>
      <c r="B31" s="12" t="s">
        <v>627</v>
      </c>
      <c r="C31" s="12" t="s">
        <v>628</v>
      </c>
      <c r="D31" s="12" t="str">
        <f>"0,6126"</f>
        <v>0,6126</v>
      </c>
      <c r="E31" s="12" t="s">
        <v>18</v>
      </c>
      <c r="F31" s="12" t="s">
        <v>68</v>
      </c>
      <c r="G31" s="13" t="s">
        <v>36</v>
      </c>
      <c r="H31" s="13" t="s">
        <v>37</v>
      </c>
      <c r="I31" s="14" t="s">
        <v>72</v>
      </c>
      <c r="J31" s="14"/>
      <c r="K31" s="12" t="str">
        <f>"160,0"</f>
        <v>160,0</v>
      </c>
      <c r="L31" s="13" t="str">
        <f>"106,0533"</f>
        <v>106,0533</v>
      </c>
      <c r="M31" s="12" t="s">
        <v>74</v>
      </c>
    </row>
    <row r="32" spans="1:13" x14ac:dyDescent="0.2">
      <c r="A32" s="15" t="s">
        <v>630</v>
      </c>
      <c r="B32" s="15" t="s">
        <v>631</v>
      </c>
      <c r="C32" s="15" t="s">
        <v>79</v>
      </c>
      <c r="D32" s="15" t="str">
        <f>"0,6139"</f>
        <v>0,6139</v>
      </c>
      <c r="E32" s="15" t="s">
        <v>18</v>
      </c>
      <c r="F32" s="15" t="s">
        <v>68</v>
      </c>
      <c r="G32" s="16" t="s">
        <v>69</v>
      </c>
      <c r="H32" s="16" t="s">
        <v>182</v>
      </c>
      <c r="I32" s="17" t="s">
        <v>109</v>
      </c>
      <c r="J32" s="17"/>
      <c r="K32" s="15" t="str">
        <f>"172,5"</f>
        <v>172,5</v>
      </c>
      <c r="L32" s="16" t="str">
        <f>"119,6645"</f>
        <v>119,6645</v>
      </c>
      <c r="M32" s="15" t="s">
        <v>632</v>
      </c>
    </row>
    <row r="34" spans="1:13" ht="15" x14ac:dyDescent="0.2">
      <c r="A34" s="46" t="s">
        <v>112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3" x14ac:dyDescent="0.2">
      <c r="A35" s="9" t="s">
        <v>634</v>
      </c>
      <c r="B35" s="9" t="s">
        <v>635</v>
      </c>
      <c r="C35" s="9" t="s">
        <v>636</v>
      </c>
      <c r="D35" s="9" t="str">
        <f>"0,5935"</f>
        <v>0,5935</v>
      </c>
      <c r="E35" s="9" t="s">
        <v>18</v>
      </c>
      <c r="F35" s="9" t="s">
        <v>68</v>
      </c>
      <c r="G35" s="10" t="s">
        <v>197</v>
      </c>
      <c r="H35" s="10" t="s">
        <v>199</v>
      </c>
      <c r="I35" s="10" t="s">
        <v>134</v>
      </c>
      <c r="J35" s="11"/>
      <c r="K35" s="9" t="str">
        <f>"242,5"</f>
        <v>242,5</v>
      </c>
      <c r="L35" s="10" t="str">
        <f>"143,9238"</f>
        <v>143,9238</v>
      </c>
      <c r="M35" s="9" t="s">
        <v>637</v>
      </c>
    </row>
    <row r="36" spans="1:13" x14ac:dyDescent="0.2">
      <c r="A36" s="12" t="s">
        <v>639</v>
      </c>
      <c r="B36" s="12" t="s">
        <v>640</v>
      </c>
      <c r="C36" s="12" t="s">
        <v>641</v>
      </c>
      <c r="D36" s="12" t="str">
        <f>"0,5885"</f>
        <v>0,5885</v>
      </c>
      <c r="E36" s="12" t="s">
        <v>18</v>
      </c>
      <c r="F36" s="12" t="s">
        <v>68</v>
      </c>
      <c r="G36" s="13" t="s">
        <v>71</v>
      </c>
      <c r="H36" s="13" t="s">
        <v>73</v>
      </c>
      <c r="I36" s="14" t="s">
        <v>46</v>
      </c>
      <c r="J36" s="14"/>
      <c r="K36" s="12" t="str">
        <f>"210,0"</f>
        <v>210,0</v>
      </c>
      <c r="L36" s="13" t="str">
        <f>"123,5850"</f>
        <v>123,5850</v>
      </c>
      <c r="M36" s="12" t="s">
        <v>642</v>
      </c>
    </row>
    <row r="37" spans="1:13" x14ac:dyDescent="0.2">
      <c r="A37" s="12" t="s">
        <v>644</v>
      </c>
      <c r="B37" s="12" t="s">
        <v>645</v>
      </c>
      <c r="C37" s="12" t="s">
        <v>646</v>
      </c>
      <c r="D37" s="12" t="str">
        <f>"0,5909"</f>
        <v>0,5909</v>
      </c>
      <c r="E37" s="12" t="s">
        <v>18</v>
      </c>
      <c r="F37" s="12" t="s">
        <v>68</v>
      </c>
      <c r="G37" s="13" t="s">
        <v>70</v>
      </c>
      <c r="H37" s="14" t="s">
        <v>71</v>
      </c>
      <c r="I37" s="14" t="s">
        <v>71</v>
      </c>
      <c r="J37" s="14"/>
      <c r="K37" s="12" t="str">
        <f>"190,0"</f>
        <v>190,0</v>
      </c>
      <c r="L37" s="13" t="str">
        <f>"112,2710"</f>
        <v>112,2710</v>
      </c>
      <c r="M37" s="12" t="s">
        <v>38</v>
      </c>
    </row>
    <row r="38" spans="1:13" x14ac:dyDescent="0.2">
      <c r="A38" s="15" t="s">
        <v>648</v>
      </c>
      <c r="B38" s="15" t="s">
        <v>649</v>
      </c>
      <c r="C38" s="15" t="s">
        <v>650</v>
      </c>
      <c r="D38" s="15" t="str">
        <f>"0,6028"</f>
        <v>0,6028</v>
      </c>
      <c r="E38" s="15" t="s">
        <v>18</v>
      </c>
      <c r="F38" s="15" t="s">
        <v>651</v>
      </c>
      <c r="G38" s="16" t="s">
        <v>302</v>
      </c>
      <c r="H38" s="16" t="s">
        <v>70</v>
      </c>
      <c r="I38" s="17" t="s">
        <v>605</v>
      </c>
      <c r="J38" s="17"/>
      <c r="K38" s="15" t="str">
        <f>"190,0"</f>
        <v>190,0</v>
      </c>
      <c r="L38" s="16" t="str">
        <f>"147,8608"</f>
        <v>147,8608</v>
      </c>
      <c r="M38" s="15" t="s">
        <v>652</v>
      </c>
    </row>
    <row r="40" spans="1:13" ht="15" x14ac:dyDescent="0.2">
      <c r="A40" s="46" t="s">
        <v>214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3" x14ac:dyDescent="0.2">
      <c r="A41" s="9" t="s">
        <v>654</v>
      </c>
      <c r="B41" s="9" t="s">
        <v>655</v>
      </c>
      <c r="C41" s="9" t="s">
        <v>656</v>
      </c>
      <c r="D41" s="9" t="str">
        <f>"0,5737"</f>
        <v>0,5737</v>
      </c>
      <c r="E41" s="9" t="s">
        <v>18</v>
      </c>
      <c r="F41" s="9" t="s">
        <v>68</v>
      </c>
      <c r="G41" s="10" t="s">
        <v>59</v>
      </c>
      <c r="H41" s="11" t="s">
        <v>657</v>
      </c>
      <c r="I41" s="11" t="s">
        <v>657</v>
      </c>
      <c r="J41" s="11"/>
      <c r="K41" s="9" t="str">
        <f>"240,0"</f>
        <v>240,0</v>
      </c>
      <c r="L41" s="10" t="str">
        <f>"137,6880"</f>
        <v>137,6880</v>
      </c>
      <c r="M41" s="9" t="s">
        <v>38</v>
      </c>
    </row>
    <row r="42" spans="1:13" x14ac:dyDescent="0.2">
      <c r="A42" s="12" t="s">
        <v>659</v>
      </c>
      <c r="B42" s="12" t="s">
        <v>660</v>
      </c>
      <c r="C42" s="12" t="s">
        <v>661</v>
      </c>
      <c r="D42" s="12" t="str">
        <f>"0,5755"</f>
        <v>0,5755</v>
      </c>
      <c r="E42" s="12" t="s">
        <v>18</v>
      </c>
      <c r="F42" s="12" t="s">
        <v>108</v>
      </c>
      <c r="G42" s="13" t="s">
        <v>111</v>
      </c>
      <c r="H42" s="13" t="s">
        <v>662</v>
      </c>
      <c r="I42" s="14" t="s">
        <v>199</v>
      </c>
      <c r="J42" s="14"/>
      <c r="K42" s="12" t="str">
        <f>"222,5"</f>
        <v>222,5</v>
      </c>
      <c r="L42" s="13" t="str">
        <f>"128,0488"</f>
        <v>128,0488</v>
      </c>
      <c r="M42" s="12" t="s">
        <v>38</v>
      </c>
    </row>
    <row r="43" spans="1:13" x14ac:dyDescent="0.2">
      <c r="A43" s="12" t="s">
        <v>664</v>
      </c>
      <c r="B43" s="12" t="s">
        <v>665</v>
      </c>
      <c r="C43" s="12" t="s">
        <v>666</v>
      </c>
      <c r="D43" s="12" t="str">
        <f>"0,5815"</f>
        <v>0,5815</v>
      </c>
      <c r="E43" s="12" t="s">
        <v>18</v>
      </c>
      <c r="F43" s="12" t="s">
        <v>68</v>
      </c>
      <c r="G43" s="13" t="s">
        <v>667</v>
      </c>
      <c r="H43" s="13" t="s">
        <v>668</v>
      </c>
      <c r="I43" s="14" t="s">
        <v>662</v>
      </c>
      <c r="J43" s="14"/>
      <c r="K43" s="12" t="str">
        <f>"217,5"</f>
        <v>217,5</v>
      </c>
      <c r="L43" s="13" t="str">
        <f>"126,4762"</f>
        <v>126,4762</v>
      </c>
      <c r="M43" s="12" t="s">
        <v>669</v>
      </c>
    </row>
    <row r="44" spans="1:13" x14ac:dyDescent="0.2">
      <c r="A44" s="12" t="s">
        <v>671</v>
      </c>
      <c r="B44" s="12" t="s">
        <v>672</v>
      </c>
      <c r="C44" s="12" t="s">
        <v>673</v>
      </c>
      <c r="D44" s="12" t="str">
        <f>"0,5812"</f>
        <v>0,5812</v>
      </c>
      <c r="E44" s="12" t="s">
        <v>18</v>
      </c>
      <c r="F44" s="12" t="s">
        <v>68</v>
      </c>
      <c r="G44" s="13" t="s">
        <v>70</v>
      </c>
      <c r="H44" s="13" t="s">
        <v>303</v>
      </c>
      <c r="I44" s="13" t="s">
        <v>71</v>
      </c>
      <c r="J44" s="14"/>
      <c r="K44" s="12" t="str">
        <f>"200,0"</f>
        <v>200,0</v>
      </c>
      <c r="L44" s="13" t="str">
        <f>"122,6332"</f>
        <v>122,6332</v>
      </c>
      <c r="M44" s="12" t="s">
        <v>674</v>
      </c>
    </row>
    <row r="45" spans="1:13" x14ac:dyDescent="0.2">
      <c r="A45" s="12" t="s">
        <v>676</v>
      </c>
      <c r="B45" s="12" t="s">
        <v>677</v>
      </c>
      <c r="C45" s="12" t="s">
        <v>678</v>
      </c>
      <c r="D45" s="12" t="str">
        <f>"0,5837"</f>
        <v>0,5837</v>
      </c>
      <c r="E45" s="12" t="s">
        <v>18</v>
      </c>
      <c r="F45" s="12" t="s">
        <v>68</v>
      </c>
      <c r="G45" s="13" t="s">
        <v>188</v>
      </c>
      <c r="H45" s="13" t="s">
        <v>302</v>
      </c>
      <c r="I45" s="13" t="s">
        <v>437</v>
      </c>
      <c r="J45" s="14"/>
      <c r="K45" s="12" t="str">
        <f>"187,5"</f>
        <v>187,5</v>
      </c>
      <c r="L45" s="13" t="str">
        <f>"114,1498"</f>
        <v>114,1498</v>
      </c>
      <c r="M45" s="12" t="s">
        <v>679</v>
      </c>
    </row>
    <row r="46" spans="1:13" x14ac:dyDescent="0.2">
      <c r="A46" s="12" t="s">
        <v>681</v>
      </c>
      <c r="B46" s="12" t="s">
        <v>682</v>
      </c>
      <c r="C46" s="12" t="s">
        <v>683</v>
      </c>
      <c r="D46" s="12" t="str">
        <f>"0,5698"</f>
        <v>0,5698</v>
      </c>
      <c r="E46" s="12" t="s">
        <v>18</v>
      </c>
      <c r="F46" s="12" t="s">
        <v>684</v>
      </c>
      <c r="G46" s="13" t="s">
        <v>70</v>
      </c>
      <c r="H46" s="14" t="s">
        <v>71</v>
      </c>
      <c r="I46" s="14"/>
      <c r="J46" s="14"/>
      <c r="K46" s="12" t="str">
        <f>"190,0"</f>
        <v>190,0</v>
      </c>
      <c r="L46" s="13" t="str">
        <f>"126,1252"</f>
        <v>126,1252</v>
      </c>
      <c r="M46" s="12" t="s">
        <v>74</v>
      </c>
    </row>
    <row r="47" spans="1:13" x14ac:dyDescent="0.2">
      <c r="A47" s="15" t="s">
        <v>686</v>
      </c>
      <c r="B47" s="15" t="s">
        <v>687</v>
      </c>
      <c r="C47" s="15" t="s">
        <v>314</v>
      </c>
      <c r="D47" s="15" t="str">
        <f>"0,5749"</f>
        <v>0,5749</v>
      </c>
      <c r="E47" s="15" t="s">
        <v>18</v>
      </c>
      <c r="F47" s="15" t="s">
        <v>68</v>
      </c>
      <c r="G47" s="16" t="s">
        <v>37</v>
      </c>
      <c r="H47" s="16" t="s">
        <v>94</v>
      </c>
      <c r="I47" s="16" t="s">
        <v>69</v>
      </c>
      <c r="J47" s="17"/>
      <c r="K47" s="15" t="str">
        <f>"170,0"</f>
        <v>170,0</v>
      </c>
      <c r="L47" s="16" t="str">
        <f>"133,5033"</f>
        <v>133,5033</v>
      </c>
      <c r="M47" s="15" t="s">
        <v>688</v>
      </c>
    </row>
    <row r="49" spans="1:5" ht="15" x14ac:dyDescent="0.2">
      <c r="E49" s="18" t="s">
        <v>119</v>
      </c>
    </row>
    <row r="50" spans="1:5" ht="15" x14ac:dyDescent="0.2">
      <c r="E50" s="18" t="s">
        <v>120</v>
      </c>
    </row>
    <row r="51" spans="1:5" ht="15" x14ac:dyDescent="0.2">
      <c r="E51" s="18" t="s">
        <v>121</v>
      </c>
    </row>
    <row r="52" spans="1:5" ht="15" x14ac:dyDescent="0.2">
      <c r="E52" s="18" t="s">
        <v>122</v>
      </c>
    </row>
    <row r="53" spans="1:5" ht="15" x14ac:dyDescent="0.2">
      <c r="E53" s="18" t="s">
        <v>122</v>
      </c>
    </row>
    <row r="54" spans="1:5" ht="15" x14ac:dyDescent="0.2">
      <c r="E54" s="18" t="s">
        <v>123</v>
      </c>
    </row>
    <row r="55" spans="1:5" ht="15" x14ac:dyDescent="0.2">
      <c r="E55" s="18"/>
    </row>
    <row r="57" spans="1:5" ht="18" x14ac:dyDescent="0.25">
      <c r="A57" s="19" t="s">
        <v>124</v>
      </c>
      <c r="B57" s="19"/>
    </row>
    <row r="58" spans="1:5" ht="15" x14ac:dyDescent="0.2">
      <c r="A58" s="20" t="s">
        <v>125</v>
      </c>
      <c r="B58" s="20"/>
    </row>
    <row r="59" spans="1:5" ht="14.25" x14ac:dyDescent="0.2">
      <c r="A59" s="22"/>
      <c r="B59" s="23" t="s">
        <v>144</v>
      </c>
    </row>
    <row r="60" spans="1:5" ht="15" x14ac:dyDescent="0.2">
      <c r="A60" s="24" t="s">
        <v>127</v>
      </c>
      <c r="B60" s="24" t="s">
        <v>128</v>
      </c>
      <c r="C60" s="24" t="s">
        <v>129</v>
      </c>
      <c r="D60" s="24" t="s">
        <v>130</v>
      </c>
      <c r="E60" s="24" t="s">
        <v>131</v>
      </c>
    </row>
    <row r="61" spans="1:5" x14ac:dyDescent="0.2">
      <c r="A61" s="21" t="s">
        <v>563</v>
      </c>
      <c r="B61" s="4" t="s">
        <v>144</v>
      </c>
      <c r="C61" s="4" t="s">
        <v>327</v>
      </c>
      <c r="D61" s="4" t="s">
        <v>253</v>
      </c>
      <c r="E61" s="25" t="s">
        <v>689</v>
      </c>
    </row>
    <row r="62" spans="1:5" x14ac:dyDescent="0.2">
      <c r="A62" s="21" t="s">
        <v>557</v>
      </c>
      <c r="B62" s="4" t="s">
        <v>144</v>
      </c>
      <c r="C62" s="4" t="s">
        <v>331</v>
      </c>
      <c r="D62" s="4" t="s">
        <v>359</v>
      </c>
      <c r="E62" s="25" t="s">
        <v>690</v>
      </c>
    </row>
    <row r="65" spans="1:5" ht="15" x14ac:dyDescent="0.2">
      <c r="A65" s="20" t="s">
        <v>136</v>
      </c>
      <c r="B65" s="20"/>
    </row>
    <row r="66" spans="1:5" ht="14.25" x14ac:dyDescent="0.2">
      <c r="A66" s="22"/>
      <c r="B66" s="23" t="s">
        <v>144</v>
      </c>
    </row>
    <row r="67" spans="1:5" ht="15" x14ac:dyDescent="0.2">
      <c r="A67" s="24" t="s">
        <v>127</v>
      </c>
      <c r="B67" s="24" t="s">
        <v>128</v>
      </c>
      <c r="C67" s="24" t="s">
        <v>129</v>
      </c>
      <c r="D67" s="24" t="s">
        <v>130</v>
      </c>
      <c r="E67" s="24" t="s">
        <v>131</v>
      </c>
    </row>
    <row r="68" spans="1:5" x14ac:dyDescent="0.2">
      <c r="A68" s="21" t="s">
        <v>633</v>
      </c>
      <c r="B68" s="4" t="s">
        <v>144</v>
      </c>
      <c r="C68" s="4" t="s">
        <v>151</v>
      </c>
      <c r="D68" s="4" t="s">
        <v>134</v>
      </c>
      <c r="E68" s="25" t="s">
        <v>691</v>
      </c>
    </row>
    <row r="69" spans="1:5" x14ac:dyDescent="0.2">
      <c r="A69" s="21" t="s">
        <v>653</v>
      </c>
      <c r="B69" s="4" t="s">
        <v>144</v>
      </c>
      <c r="C69" s="4" t="s">
        <v>232</v>
      </c>
      <c r="D69" s="4" t="s">
        <v>59</v>
      </c>
      <c r="E69" s="25" t="s">
        <v>692</v>
      </c>
    </row>
    <row r="70" spans="1:5" x14ac:dyDescent="0.2">
      <c r="A70" s="21" t="s">
        <v>658</v>
      </c>
      <c r="B70" s="4" t="s">
        <v>144</v>
      </c>
      <c r="C70" s="4" t="s">
        <v>232</v>
      </c>
      <c r="D70" s="4" t="s">
        <v>662</v>
      </c>
      <c r="E70" s="25" t="s">
        <v>693</v>
      </c>
    </row>
    <row r="71" spans="1:5" x14ac:dyDescent="0.2">
      <c r="A71" s="21" t="s">
        <v>663</v>
      </c>
      <c r="B71" s="4" t="s">
        <v>144</v>
      </c>
      <c r="C71" s="4" t="s">
        <v>232</v>
      </c>
      <c r="D71" s="4" t="s">
        <v>668</v>
      </c>
      <c r="E71" s="25" t="s">
        <v>694</v>
      </c>
    </row>
    <row r="72" spans="1:5" x14ac:dyDescent="0.2">
      <c r="A72" s="21" t="s">
        <v>638</v>
      </c>
      <c r="B72" s="4" t="s">
        <v>144</v>
      </c>
      <c r="C72" s="4" t="s">
        <v>151</v>
      </c>
      <c r="D72" s="4" t="s">
        <v>73</v>
      </c>
      <c r="E72" s="25" t="s">
        <v>695</v>
      </c>
    </row>
    <row r="73" spans="1:5" x14ac:dyDescent="0.2">
      <c r="A73" s="21" t="s">
        <v>587</v>
      </c>
      <c r="B73" s="4" t="s">
        <v>144</v>
      </c>
      <c r="C73" s="4" t="s">
        <v>141</v>
      </c>
      <c r="D73" s="4" t="s">
        <v>70</v>
      </c>
      <c r="E73" s="25" t="s">
        <v>696</v>
      </c>
    </row>
    <row r="74" spans="1:5" x14ac:dyDescent="0.2">
      <c r="A74" s="21" t="s">
        <v>592</v>
      </c>
      <c r="B74" s="4" t="s">
        <v>144</v>
      </c>
      <c r="C74" s="4" t="s">
        <v>141</v>
      </c>
      <c r="D74" s="4" t="s">
        <v>596</v>
      </c>
      <c r="E74" s="25" t="s">
        <v>697</v>
      </c>
    </row>
    <row r="75" spans="1:5" x14ac:dyDescent="0.2">
      <c r="A75" s="21" t="s">
        <v>601</v>
      </c>
      <c r="B75" s="4" t="s">
        <v>144</v>
      </c>
      <c r="C75" s="4" t="s">
        <v>138</v>
      </c>
      <c r="D75" s="4" t="s">
        <v>437</v>
      </c>
      <c r="E75" s="25" t="s">
        <v>698</v>
      </c>
    </row>
    <row r="76" spans="1:5" x14ac:dyDescent="0.2">
      <c r="A76" s="21" t="s">
        <v>643</v>
      </c>
      <c r="B76" s="4" t="s">
        <v>144</v>
      </c>
      <c r="C76" s="4" t="s">
        <v>151</v>
      </c>
      <c r="D76" s="4" t="s">
        <v>70</v>
      </c>
      <c r="E76" s="25" t="s">
        <v>699</v>
      </c>
    </row>
    <row r="77" spans="1:5" x14ac:dyDescent="0.2">
      <c r="A77" s="21" t="s">
        <v>607</v>
      </c>
      <c r="B77" s="4" t="s">
        <v>144</v>
      </c>
      <c r="C77" s="4" t="s">
        <v>138</v>
      </c>
      <c r="D77" s="4" t="s">
        <v>188</v>
      </c>
      <c r="E77" s="25" t="s">
        <v>700</v>
      </c>
    </row>
    <row r="78" spans="1:5" x14ac:dyDescent="0.2">
      <c r="A78" s="21" t="s">
        <v>612</v>
      </c>
      <c r="B78" s="4" t="s">
        <v>144</v>
      </c>
      <c r="C78" s="4" t="s">
        <v>138</v>
      </c>
      <c r="D78" s="4" t="s">
        <v>109</v>
      </c>
      <c r="E78" s="25" t="s">
        <v>701</v>
      </c>
    </row>
    <row r="79" spans="1:5" x14ac:dyDescent="0.2">
      <c r="A79" s="21" t="s">
        <v>567</v>
      </c>
      <c r="B79" s="4" t="s">
        <v>144</v>
      </c>
      <c r="C79" s="4" t="s">
        <v>336</v>
      </c>
      <c r="D79" s="4" t="s">
        <v>34</v>
      </c>
      <c r="E79" s="25" t="s">
        <v>702</v>
      </c>
    </row>
    <row r="80" spans="1:5" x14ac:dyDescent="0.2">
      <c r="A80" s="21" t="s">
        <v>617</v>
      </c>
      <c r="B80" s="4" t="s">
        <v>144</v>
      </c>
      <c r="C80" s="4" t="s">
        <v>138</v>
      </c>
      <c r="D80" s="4" t="s">
        <v>84</v>
      </c>
      <c r="E80" s="25" t="s">
        <v>703</v>
      </c>
    </row>
    <row r="81" spans="1:5" x14ac:dyDescent="0.2">
      <c r="A81" s="21" t="s">
        <v>572</v>
      </c>
      <c r="B81" s="4" t="s">
        <v>144</v>
      </c>
      <c r="C81" s="4" t="s">
        <v>336</v>
      </c>
      <c r="D81" s="4" t="s">
        <v>368</v>
      </c>
      <c r="E81" s="25" t="s">
        <v>704</v>
      </c>
    </row>
    <row r="83" spans="1:5" ht="14.25" x14ac:dyDescent="0.2">
      <c r="A83" s="22"/>
      <c r="B83" s="23" t="s">
        <v>159</v>
      </c>
    </row>
    <row r="84" spans="1:5" ht="15" x14ac:dyDescent="0.2">
      <c r="A84" s="24" t="s">
        <v>127</v>
      </c>
      <c r="B84" s="24" t="s">
        <v>128</v>
      </c>
      <c r="C84" s="24" t="s">
        <v>129</v>
      </c>
      <c r="D84" s="24" t="s">
        <v>130</v>
      </c>
      <c r="E84" s="24" t="s">
        <v>131</v>
      </c>
    </row>
    <row r="85" spans="1:5" x14ac:dyDescent="0.2">
      <c r="A85" s="21" t="s">
        <v>647</v>
      </c>
      <c r="B85" s="4" t="s">
        <v>705</v>
      </c>
      <c r="C85" s="4" t="s">
        <v>151</v>
      </c>
      <c r="D85" s="4" t="s">
        <v>70</v>
      </c>
      <c r="E85" s="25" t="s">
        <v>706</v>
      </c>
    </row>
    <row r="86" spans="1:5" x14ac:dyDescent="0.2">
      <c r="A86" s="21" t="s">
        <v>685</v>
      </c>
      <c r="B86" s="4" t="s">
        <v>540</v>
      </c>
      <c r="C86" s="4" t="s">
        <v>232</v>
      </c>
      <c r="D86" s="4" t="s">
        <v>69</v>
      </c>
      <c r="E86" s="25" t="s">
        <v>707</v>
      </c>
    </row>
    <row r="87" spans="1:5" x14ac:dyDescent="0.2">
      <c r="A87" s="21" t="s">
        <v>680</v>
      </c>
      <c r="B87" s="4" t="s">
        <v>708</v>
      </c>
      <c r="C87" s="4" t="s">
        <v>232</v>
      </c>
      <c r="D87" s="4" t="s">
        <v>70</v>
      </c>
      <c r="E87" s="25" t="s">
        <v>709</v>
      </c>
    </row>
    <row r="88" spans="1:5" x14ac:dyDescent="0.2">
      <c r="A88" s="21" t="s">
        <v>582</v>
      </c>
      <c r="B88" s="4" t="s">
        <v>705</v>
      </c>
      <c r="C88" s="4" t="s">
        <v>156</v>
      </c>
      <c r="D88" s="4" t="s">
        <v>84</v>
      </c>
      <c r="E88" s="25" t="s">
        <v>710</v>
      </c>
    </row>
    <row r="89" spans="1:5" x14ac:dyDescent="0.2">
      <c r="A89" s="21" t="s">
        <v>670</v>
      </c>
      <c r="B89" s="4" t="s">
        <v>231</v>
      </c>
      <c r="C89" s="4" t="s">
        <v>232</v>
      </c>
      <c r="D89" s="4" t="s">
        <v>71</v>
      </c>
      <c r="E89" s="25" t="s">
        <v>711</v>
      </c>
    </row>
    <row r="90" spans="1:5" x14ac:dyDescent="0.2">
      <c r="A90" s="21" t="s">
        <v>629</v>
      </c>
      <c r="B90" s="4" t="s">
        <v>708</v>
      </c>
      <c r="C90" s="4" t="s">
        <v>138</v>
      </c>
      <c r="D90" s="4" t="s">
        <v>182</v>
      </c>
      <c r="E90" s="25" t="s">
        <v>712</v>
      </c>
    </row>
    <row r="91" spans="1:5" x14ac:dyDescent="0.2">
      <c r="A91" s="21" t="s">
        <v>598</v>
      </c>
      <c r="B91" s="4" t="s">
        <v>231</v>
      </c>
      <c r="C91" s="4" t="s">
        <v>141</v>
      </c>
      <c r="D91" s="4" t="s">
        <v>72</v>
      </c>
      <c r="E91" s="25" t="s">
        <v>713</v>
      </c>
    </row>
    <row r="92" spans="1:5" x14ac:dyDescent="0.2">
      <c r="A92" s="21" t="s">
        <v>675</v>
      </c>
      <c r="B92" s="4" t="s">
        <v>231</v>
      </c>
      <c r="C92" s="4" t="s">
        <v>232</v>
      </c>
      <c r="D92" s="4" t="s">
        <v>437</v>
      </c>
      <c r="E92" s="25" t="s">
        <v>714</v>
      </c>
    </row>
    <row r="93" spans="1:5" x14ac:dyDescent="0.2">
      <c r="A93" s="21" t="s">
        <v>607</v>
      </c>
      <c r="B93" s="4" t="s">
        <v>160</v>
      </c>
      <c r="C93" s="4" t="s">
        <v>138</v>
      </c>
      <c r="D93" s="4" t="s">
        <v>188</v>
      </c>
      <c r="E93" s="25" t="s">
        <v>700</v>
      </c>
    </row>
    <row r="94" spans="1:5" x14ac:dyDescent="0.2">
      <c r="A94" s="21" t="s">
        <v>625</v>
      </c>
      <c r="B94" s="4" t="s">
        <v>231</v>
      </c>
      <c r="C94" s="4" t="s">
        <v>138</v>
      </c>
      <c r="D94" s="4" t="s">
        <v>37</v>
      </c>
      <c r="E94" s="25" t="s">
        <v>715</v>
      </c>
    </row>
    <row r="95" spans="1:5" x14ac:dyDescent="0.2">
      <c r="A95" s="21" t="s">
        <v>572</v>
      </c>
      <c r="B95" s="4" t="s">
        <v>716</v>
      </c>
      <c r="C95" s="4" t="s">
        <v>336</v>
      </c>
      <c r="D95" s="4" t="s">
        <v>368</v>
      </c>
      <c r="E95" s="25" t="s">
        <v>717</v>
      </c>
    </row>
  </sheetData>
  <mergeCells count="19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6:L16"/>
    <mergeCell ref="A20:L20"/>
    <mergeCell ref="A25:L25"/>
    <mergeCell ref="A34:L34"/>
    <mergeCell ref="A40:L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6.28515625" style="4" customWidth="1"/>
    <col min="4" max="4" width="8.42578125" style="4" bestFit="1" customWidth="1"/>
    <col min="5" max="5" width="22.7109375" style="4" bestFit="1" customWidth="1"/>
    <col min="6" max="6" width="26.28515625" style="4" bestFit="1" customWidth="1"/>
    <col min="7" max="9" width="5.57031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13.140625" style="4" bestFit="1" customWidth="1"/>
    <col min="14" max="16384" width="9.140625" style="3"/>
  </cols>
  <sheetData>
    <row r="1" spans="1:13" s="2" customFormat="1" ht="29.1" customHeight="1" x14ac:dyDescent="0.2">
      <c r="A1" s="37" t="s">
        <v>1481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12</v>
      </c>
      <c r="H3" s="32"/>
      <c r="I3" s="32"/>
      <c r="J3" s="32"/>
      <c r="K3" s="32" t="s">
        <v>718</v>
      </c>
      <c r="L3" s="32" t="s">
        <v>3</v>
      </c>
      <c r="M3" s="34" t="s">
        <v>2</v>
      </c>
    </row>
    <row r="4" spans="1:13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3" ht="15" x14ac:dyDescent="0.2">
      <c r="A5" s="36" t="s">
        <v>275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568</v>
      </c>
      <c r="B6" s="6" t="s">
        <v>569</v>
      </c>
      <c r="C6" s="6" t="s">
        <v>570</v>
      </c>
      <c r="D6" s="6" t="str">
        <f>"0,7414"</f>
        <v>0,7414</v>
      </c>
      <c r="E6" s="6" t="s">
        <v>18</v>
      </c>
      <c r="F6" s="6" t="s">
        <v>68</v>
      </c>
      <c r="G6" s="7" t="s">
        <v>96</v>
      </c>
      <c r="H6" s="8" t="s">
        <v>81</v>
      </c>
      <c r="I6" s="7" t="s">
        <v>81</v>
      </c>
      <c r="J6" s="8"/>
      <c r="K6" s="6" t="str">
        <f>"270,0"</f>
        <v>270,0</v>
      </c>
      <c r="L6" s="7" t="str">
        <f>"200,1780"</f>
        <v>200,1780</v>
      </c>
      <c r="M6" s="6" t="s">
        <v>571</v>
      </c>
    </row>
    <row r="8" spans="1:13" ht="15" x14ac:dyDescent="0.2">
      <c r="A8" s="46" t="s">
        <v>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3" x14ac:dyDescent="0.2">
      <c r="A9" s="6" t="s">
        <v>1114</v>
      </c>
      <c r="B9" s="6" t="s">
        <v>1115</v>
      </c>
      <c r="C9" s="6" t="s">
        <v>1116</v>
      </c>
      <c r="D9" s="6" t="str">
        <f>"0,6811"</f>
        <v>0,6811</v>
      </c>
      <c r="E9" s="6" t="s">
        <v>18</v>
      </c>
      <c r="F9" s="6" t="s">
        <v>68</v>
      </c>
      <c r="G9" s="8" t="s">
        <v>73</v>
      </c>
      <c r="H9" s="7" t="s">
        <v>73</v>
      </c>
      <c r="I9" s="7" t="s">
        <v>46</v>
      </c>
      <c r="J9" s="8"/>
      <c r="K9" s="6" t="str">
        <f>"220,0"</f>
        <v>220,0</v>
      </c>
      <c r="L9" s="7" t="str">
        <f>"149,8420"</f>
        <v>149,8420</v>
      </c>
      <c r="M9" s="6" t="s">
        <v>1117</v>
      </c>
    </row>
    <row r="11" spans="1:13" ht="15" x14ac:dyDescent="0.2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3" x14ac:dyDescent="0.2">
      <c r="A12" s="6" t="s">
        <v>1119</v>
      </c>
      <c r="B12" s="6" t="s">
        <v>1120</v>
      </c>
      <c r="C12" s="6" t="s">
        <v>1121</v>
      </c>
      <c r="D12" s="6" t="str">
        <f>"0,6440"</f>
        <v>0,6440</v>
      </c>
      <c r="E12" s="6" t="s">
        <v>18</v>
      </c>
      <c r="F12" s="6" t="s">
        <v>19</v>
      </c>
      <c r="G12" s="7" t="s">
        <v>192</v>
      </c>
      <c r="H12" s="8" t="s">
        <v>174</v>
      </c>
      <c r="I12" s="8" t="s">
        <v>134</v>
      </c>
      <c r="J12" s="8"/>
      <c r="K12" s="6" t="str">
        <f>"215,0"</f>
        <v>215,0</v>
      </c>
      <c r="L12" s="7" t="str">
        <f>"138,4600"</f>
        <v>138,4600</v>
      </c>
      <c r="M12" s="6" t="s">
        <v>1122</v>
      </c>
    </row>
    <row r="14" spans="1:13" ht="15" x14ac:dyDescent="0.2">
      <c r="A14" s="46" t="s">
        <v>75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3" x14ac:dyDescent="0.2">
      <c r="A15" s="9" t="s">
        <v>1124</v>
      </c>
      <c r="B15" s="9" t="s">
        <v>1125</v>
      </c>
      <c r="C15" s="9" t="s">
        <v>1092</v>
      </c>
      <c r="D15" s="9" t="str">
        <f>"0,6086"</f>
        <v>0,6086</v>
      </c>
      <c r="E15" s="9" t="s">
        <v>18</v>
      </c>
      <c r="F15" s="9" t="s">
        <v>68</v>
      </c>
      <c r="G15" s="10" t="s">
        <v>176</v>
      </c>
      <c r="H15" s="10" t="s">
        <v>1126</v>
      </c>
      <c r="I15" s="10" t="s">
        <v>1127</v>
      </c>
      <c r="J15" s="11"/>
      <c r="K15" s="9" t="str">
        <f>"340,5"</f>
        <v>340,5</v>
      </c>
      <c r="L15" s="10" t="str">
        <f>"207,2283"</f>
        <v>207,2283</v>
      </c>
      <c r="M15" s="9" t="s">
        <v>1128</v>
      </c>
    </row>
    <row r="16" spans="1:13" x14ac:dyDescent="0.2">
      <c r="A16" s="15" t="s">
        <v>1130</v>
      </c>
      <c r="B16" s="15" t="s">
        <v>1131</v>
      </c>
      <c r="C16" s="15" t="s">
        <v>1132</v>
      </c>
      <c r="D16" s="15" t="str">
        <f>"0,6116"</f>
        <v>0,6116</v>
      </c>
      <c r="E16" s="15" t="s">
        <v>18</v>
      </c>
      <c r="F16" s="15" t="s">
        <v>68</v>
      </c>
      <c r="G16" s="16" t="s">
        <v>83</v>
      </c>
      <c r="H16" s="16" t="s">
        <v>1133</v>
      </c>
      <c r="I16" s="17" t="s">
        <v>1134</v>
      </c>
      <c r="J16" s="17"/>
      <c r="K16" s="15" t="str">
        <f>"315,0"</f>
        <v>315,0</v>
      </c>
      <c r="L16" s="16" t="str">
        <f>"192,6540"</f>
        <v>192,6540</v>
      </c>
      <c r="M16" s="15" t="s">
        <v>38</v>
      </c>
    </row>
    <row r="18" spans="1:13" ht="15" x14ac:dyDescent="0.2">
      <c r="A18" s="46" t="s">
        <v>112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3" x14ac:dyDescent="0.2">
      <c r="A19" s="9" t="s">
        <v>1136</v>
      </c>
      <c r="B19" s="9" t="s">
        <v>1137</v>
      </c>
      <c r="C19" s="9" t="s">
        <v>1138</v>
      </c>
      <c r="D19" s="9" t="str">
        <f>"0,6074"</f>
        <v>0,6074</v>
      </c>
      <c r="E19" s="9" t="s">
        <v>18</v>
      </c>
      <c r="F19" s="9" t="s">
        <v>68</v>
      </c>
      <c r="G19" s="10" t="s">
        <v>96</v>
      </c>
      <c r="H19" s="10" t="s">
        <v>81</v>
      </c>
      <c r="I19" s="11" t="s">
        <v>52</v>
      </c>
      <c r="J19" s="11"/>
      <c r="K19" s="9" t="str">
        <f>"270,0"</f>
        <v>270,0</v>
      </c>
      <c r="L19" s="10" t="str">
        <f>"163,9980"</f>
        <v>163,9980</v>
      </c>
      <c r="M19" s="9" t="s">
        <v>177</v>
      </c>
    </row>
    <row r="20" spans="1:13" x14ac:dyDescent="0.2">
      <c r="A20" s="15" t="s">
        <v>1140</v>
      </c>
      <c r="B20" s="15" t="s">
        <v>1141</v>
      </c>
      <c r="C20" s="15" t="s">
        <v>955</v>
      </c>
      <c r="D20" s="15" t="str">
        <f>"0,5919"</f>
        <v>0,5919</v>
      </c>
      <c r="E20" s="15" t="s">
        <v>18</v>
      </c>
      <c r="F20" s="15" t="s">
        <v>68</v>
      </c>
      <c r="G20" s="16" t="s">
        <v>50</v>
      </c>
      <c r="H20" s="17" t="s">
        <v>86</v>
      </c>
      <c r="I20" s="17" t="s">
        <v>81</v>
      </c>
      <c r="J20" s="17"/>
      <c r="K20" s="15" t="str">
        <f>"250,0"</f>
        <v>250,0</v>
      </c>
      <c r="L20" s="16" t="str">
        <f>"149,4547"</f>
        <v>149,4547</v>
      </c>
      <c r="M20" s="15" t="s">
        <v>1142</v>
      </c>
    </row>
    <row r="22" spans="1:13" ht="15" x14ac:dyDescent="0.2">
      <c r="E22" s="18" t="s">
        <v>119</v>
      </c>
    </row>
    <row r="23" spans="1:13" ht="15" x14ac:dyDescent="0.2">
      <c r="E23" s="18" t="s">
        <v>120</v>
      </c>
    </row>
    <row r="24" spans="1:13" ht="15" x14ac:dyDescent="0.2">
      <c r="E24" s="18" t="s">
        <v>121</v>
      </c>
    </row>
    <row r="25" spans="1:13" ht="15" x14ac:dyDescent="0.2">
      <c r="E25" s="18" t="s">
        <v>122</v>
      </c>
    </row>
    <row r="26" spans="1:13" ht="15" x14ac:dyDescent="0.2">
      <c r="E26" s="18" t="s">
        <v>122</v>
      </c>
    </row>
    <row r="27" spans="1:13" ht="15" x14ac:dyDescent="0.2">
      <c r="E27" s="18" t="s">
        <v>123</v>
      </c>
    </row>
    <row r="28" spans="1:13" ht="15" x14ac:dyDescent="0.2">
      <c r="E28" s="18"/>
    </row>
    <row r="30" spans="1:13" ht="18" x14ac:dyDescent="0.25">
      <c r="A30" s="19" t="s">
        <v>124</v>
      </c>
      <c r="B30" s="19"/>
    </row>
    <row r="31" spans="1:13" ht="15" x14ac:dyDescent="0.2">
      <c r="A31" s="20" t="s">
        <v>136</v>
      </c>
      <c r="B31" s="20"/>
    </row>
    <row r="32" spans="1:13" ht="14.25" x14ac:dyDescent="0.2">
      <c r="A32" s="22"/>
      <c r="B32" s="23" t="s">
        <v>137</v>
      </c>
    </row>
    <row r="33" spans="1:5" ht="15" x14ac:dyDescent="0.2">
      <c r="A33" s="24" t="s">
        <v>127</v>
      </c>
      <c r="B33" s="24" t="s">
        <v>128</v>
      </c>
      <c r="C33" s="24" t="s">
        <v>129</v>
      </c>
      <c r="D33" s="24" t="s">
        <v>130</v>
      </c>
      <c r="E33" s="24" t="s">
        <v>131</v>
      </c>
    </row>
    <row r="34" spans="1:5" x14ac:dyDescent="0.2">
      <c r="A34" s="21" t="s">
        <v>1118</v>
      </c>
      <c r="B34" s="4" t="s">
        <v>132</v>
      </c>
      <c r="C34" s="4" t="s">
        <v>141</v>
      </c>
      <c r="D34" s="4" t="s">
        <v>192</v>
      </c>
      <c r="E34" s="25" t="s">
        <v>1143</v>
      </c>
    </row>
    <row r="36" spans="1:5" ht="14.25" x14ac:dyDescent="0.2">
      <c r="A36" s="22"/>
      <c r="B36" s="23" t="s">
        <v>144</v>
      </c>
    </row>
    <row r="37" spans="1:5" ht="15" x14ac:dyDescent="0.2">
      <c r="A37" s="24" t="s">
        <v>127</v>
      </c>
      <c r="B37" s="24" t="s">
        <v>128</v>
      </c>
      <c r="C37" s="24" t="s">
        <v>129</v>
      </c>
      <c r="D37" s="24" t="s">
        <v>130</v>
      </c>
      <c r="E37" s="24" t="s">
        <v>131</v>
      </c>
    </row>
    <row r="38" spans="1:5" x14ac:dyDescent="0.2">
      <c r="A38" s="21" t="s">
        <v>1123</v>
      </c>
      <c r="B38" s="4" t="s">
        <v>144</v>
      </c>
      <c r="C38" s="4" t="s">
        <v>138</v>
      </c>
      <c r="D38" s="4" t="s">
        <v>1127</v>
      </c>
      <c r="E38" s="25" t="s">
        <v>1144</v>
      </c>
    </row>
    <row r="39" spans="1:5" x14ac:dyDescent="0.2">
      <c r="A39" s="21" t="s">
        <v>567</v>
      </c>
      <c r="B39" s="4" t="s">
        <v>144</v>
      </c>
      <c r="C39" s="4" t="s">
        <v>336</v>
      </c>
      <c r="D39" s="4" t="s">
        <v>81</v>
      </c>
      <c r="E39" s="25" t="s">
        <v>1145</v>
      </c>
    </row>
    <row r="40" spans="1:5" x14ac:dyDescent="0.2">
      <c r="A40" s="21" t="s">
        <v>1129</v>
      </c>
      <c r="B40" s="4" t="s">
        <v>144</v>
      </c>
      <c r="C40" s="4" t="s">
        <v>138</v>
      </c>
      <c r="D40" s="4" t="s">
        <v>1133</v>
      </c>
      <c r="E40" s="25" t="s">
        <v>1146</v>
      </c>
    </row>
    <row r="41" spans="1:5" x14ac:dyDescent="0.2">
      <c r="A41" s="21" t="s">
        <v>1135</v>
      </c>
      <c r="B41" s="4" t="s">
        <v>144</v>
      </c>
      <c r="C41" s="4" t="s">
        <v>151</v>
      </c>
      <c r="D41" s="4" t="s">
        <v>81</v>
      </c>
      <c r="E41" s="25" t="s">
        <v>1147</v>
      </c>
    </row>
    <row r="42" spans="1:5" x14ac:dyDescent="0.2">
      <c r="A42" s="21" t="s">
        <v>1113</v>
      </c>
      <c r="B42" s="4" t="s">
        <v>144</v>
      </c>
      <c r="C42" s="4" t="s">
        <v>156</v>
      </c>
      <c r="D42" s="4" t="s">
        <v>46</v>
      </c>
      <c r="E42" s="25" t="s">
        <v>1148</v>
      </c>
    </row>
    <row r="44" spans="1:5" ht="14.25" x14ac:dyDescent="0.2">
      <c r="A44" s="22"/>
      <c r="B44" s="23" t="s">
        <v>159</v>
      </c>
    </row>
    <row r="45" spans="1:5" ht="15" x14ac:dyDescent="0.2">
      <c r="A45" s="24" t="s">
        <v>127</v>
      </c>
      <c r="B45" s="24" t="s">
        <v>128</v>
      </c>
      <c r="C45" s="24" t="s">
        <v>129</v>
      </c>
      <c r="D45" s="24" t="s">
        <v>130</v>
      </c>
      <c r="E45" s="24" t="s">
        <v>131</v>
      </c>
    </row>
    <row r="46" spans="1:5" x14ac:dyDescent="0.2">
      <c r="A46" s="21" t="s">
        <v>1139</v>
      </c>
      <c r="B46" s="4" t="s">
        <v>160</v>
      </c>
      <c r="C46" s="4" t="s">
        <v>151</v>
      </c>
      <c r="D46" s="4" t="s">
        <v>50</v>
      </c>
      <c r="E46" s="25" t="s">
        <v>1149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8:L18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28515625" style="4" customWidth="1"/>
    <col min="4" max="4" width="8.42578125" style="4" bestFit="1" customWidth="1"/>
    <col min="5" max="5" width="22.7109375" style="4" bestFit="1" customWidth="1"/>
    <col min="6" max="6" width="24.140625" style="4" bestFit="1" customWidth="1"/>
    <col min="7" max="7" width="11.42578125" style="3" customWidth="1"/>
    <col min="8" max="8" width="12.85546875" style="26" customWidth="1"/>
    <col min="9" max="9" width="10" style="4" customWidth="1"/>
    <col min="10" max="10" width="9.5703125" style="3" bestFit="1" customWidth="1"/>
    <col min="11" max="11" width="16.85546875" style="4" bestFit="1" customWidth="1"/>
    <col min="12" max="16384" width="9.140625" style="3"/>
  </cols>
  <sheetData>
    <row r="1" spans="1:11" s="2" customFormat="1" ht="29.1" customHeight="1" x14ac:dyDescent="0.2">
      <c r="A1" s="37" t="s">
        <v>1487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1439</v>
      </c>
      <c r="E3" s="32" t="s">
        <v>4</v>
      </c>
      <c r="F3" s="32" t="s">
        <v>8</v>
      </c>
      <c r="G3" s="32" t="s">
        <v>1488</v>
      </c>
      <c r="H3" s="32"/>
      <c r="I3" s="32" t="s">
        <v>1438</v>
      </c>
      <c r="J3" s="32" t="s">
        <v>3</v>
      </c>
      <c r="K3" s="34" t="s">
        <v>2</v>
      </c>
    </row>
    <row r="4" spans="1:11" s="1" customFormat="1" ht="21" customHeight="1" thickBot="1" x14ac:dyDescent="0.25">
      <c r="A4" s="44"/>
      <c r="B4" s="33"/>
      <c r="C4" s="33"/>
      <c r="D4" s="33"/>
      <c r="E4" s="33"/>
      <c r="F4" s="33"/>
      <c r="G4" s="5" t="s">
        <v>1437</v>
      </c>
      <c r="H4" s="31" t="s">
        <v>1436</v>
      </c>
      <c r="I4" s="33"/>
      <c r="J4" s="33"/>
      <c r="K4" s="35"/>
    </row>
    <row r="5" spans="1:11" ht="15" x14ac:dyDescent="0.2">
      <c r="A5" s="36" t="s">
        <v>75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">
      <c r="A6" s="9" t="s">
        <v>1475</v>
      </c>
      <c r="B6" s="9" t="s">
        <v>1474</v>
      </c>
      <c r="C6" s="9" t="s">
        <v>610</v>
      </c>
      <c r="D6" s="9" t="str">
        <f>"0,5922"</f>
        <v>0,5922</v>
      </c>
      <c r="E6" s="9" t="s">
        <v>18</v>
      </c>
      <c r="F6" s="9" t="s">
        <v>1473</v>
      </c>
      <c r="G6" s="10" t="s">
        <v>362</v>
      </c>
      <c r="H6" s="29" t="s">
        <v>1472</v>
      </c>
      <c r="I6" s="9" t="str">
        <f>"5947,5"</f>
        <v>5947,5</v>
      </c>
      <c r="J6" s="10" t="str">
        <f>"3522,4068"</f>
        <v>3522,4068</v>
      </c>
      <c r="K6" s="9" t="s">
        <v>1471</v>
      </c>
    </row>
    <row r="7" spans="1:11" x14ac:dyDescent="0.2">
      <c r="A7" s="15" t="s">
        <v>1470</v>
      </c>
      <c r="B7" s="15" t="s">
        <v>1469</v>
      </c>
      <c r="C7" s="15" t="s">
        <v>937</v>
      </c>
      <c r="D7" s="15" t="str">
        <f>"0,5878"</f>
        <v>0,5878</v>
      </c>
      <c r="E7" s="15" t="s">
        <v>18</v>
      </c>
      <c r="F7" s="15" t="s">
        <v>68</v>
      </c>
      <c r="G7" s="16" t="s">
        <v>362</v>
      </c>
      <c r="H7" s="27" t="s">
        <v>1417</v>
      </c>
      <c r="I7" s="15" t="str">
        <f>"3217,5"</f>
        <v>3217,5</v>
      </c>
      <c r="J7" s="16" t="str">
        <f>"2136,9268"</f>
        <v>2136,9268</v>
      </c>
      <c r="K7" s="15" t="s">
        <v>38</v>
      </c>
    </row>
    <row r="9" spans="1:11" ht="15" x14ac:dyDescent="0.2">
      <c r="A9" s="46" t="s">
        <v>112</v>
      </c>
      <c r="B9" s="46"/>
      <c r="C9" s="46"/>
      <c r="D9" s="46"/>
      <c r="E9" s="46"/>
      <c r="F9" s="46"/>
      <c r="G9" s="46"/>
      <c r="H9" s="46"/>
      <c r="I9" s="46"/>
      <c r="J9" s="46"/>
    </row>
    <row r="10" spans="1:11" x14ac:dyDescent="0.2">
      <c r="A10" s="6" t="s">
        <v>1468</v>
      </c>
      <c r="B10" s="6" t="s">
        <v>1467</v>
      </c>
      <c r="C10" s="6" t="s">
        <v>1466</v>
      </c>
      <c r="D10" s="6" t="str">
        <f>"0,5810"</f>
        <v>0,5810</v>
      </c>
      <c r="E10" s="6" t="s">
        <v>18</v>
      </c>
      <c r="F10" s="6" t="s">
        <v>1230</v>
      </c>
      <c r="G10" s="7" t="s">
        <v>251</v>
      </c>
      <c r="H10" s="30" t="s">
        <v>1465</v>
      </c>
      <c r="I10" s="6" t="str">
        <f>"3792,5"</f>
        <v>3792,5</v>
      </c>
      <c r="J10" s="7" t="str">
        <f>"2203,6320"</f>
        <v>2203,6320</v>
      </c>
      <c r="K10" s="6" t="s">
        <v>1464</v>
      </c>
    </row>
    <row r="12" spans="1:11" ht="15" x14ac:dyDescent="0.2">
      <c r="A12" s="46" t="s">
        <v>214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1" x14ac:dyDescent="0.2">
      <c r="A13" s="6" t="s">
        <v>686</v>
      </c>
      <c r="B13" s="6" t="s">
        <v>1463</v>
      </c>
      <c r="C13" s="6" t="s">
        <v>314</v>
      </c>
      <c r="D13" s="6" t="str">
        <f>"0,5509"</f>
        <v>0,5509</v>
      </c>
      <c r="E13" s="6" t="s">
        <v>18</v>
      </c>
      <c r="F13" s="6" t="s">
        <v>68</v>
      </c>
      <c r="G13" s="7" t="s">
        <v>110</v>
      </c>
      <c r="H13" s="30" t="s">
        <v>1462</v>
      </c>
      <c r="I13" s="6" t="str">
        <f>"1680,0"</f>
        <v>1680,0</v>
      </c>
      <c r="J13" s="7" t="str">
        <f>"1264,3641"</f>
        <v>1264,3641</v>
      </c>
      <c r="K13" s="6" t="s">
        <v>688</v>
      </c>
    </row>
    <row r="15" spans="1:11" ht="15" x14ac:dyDescent="0.2">
      <c r="E15" s="18" t="s">
        <v>119</v>
      </c>
    </row>
    <row r="16" spans="1:11" ht="15" x14ac:dyDescent="0.2">
      <c r="E16" s="18" t="s">
        <v>120</v>
      </c>
    </row>
    <row r="17" spans="1:5" ht="15" x14ac:dyDescent="0.2">
      <c r="E17" s="18" t="s">
        <v>121</v>
      </c>
    </row>
    <row r="18" spans="1:5" ht="15" x14ac:dyDescent="0.2">
      <c r="E18" s="18" t="s">
        <v>122</v>
      </c>
    </row>
    <row r="19" spans="1:5" ht="15" x14ac:dyDescent="0.2">
      <c r="E19" s="18" t="s">
        <v>122</v>
      </c>
    </row>
    <row r="20" spans="1:5" ht="15" x14ac:dyDescent="0.2">
      <c r="E20" s="18" t="s">
        <v>123</v>
      </c>
    </row>
    <row r="21" spans="1:5" ht="15" x14ac:dyDescent="0.2">
      <c r="E21" s="18"/>
    </row>
    <row r="23" spans="1:5" ht="18" x14ac:dyDescent="0.25">
      <c r="A23" s="19" t="s">
        <v>124</v>
      </c>
      <c r="B23" s="19"/>
    </row>
    <row r="24" spans="1:5" ht="15" x14ac:dyDescent="0.2">
      <c r="A24" s="20" t="s">
        <v>136</v>
      </c>
      <c r="B24" s="20"/>
    </row>
    <row r="25" spans="1:5" ht="14.25" x14ac:dyDescent="0.2">
      <c r="A25" s="22"/>
      <c r="B25" s="23" t="s">
        <v>144</v>
      </c>
    </row>
    <row r="26" spans="1:5" ht="15" x14ac:dyDescent="0.2">
      <c r="A26" s="24" t="s">
        <v>127</v>
      </c>
      <c r="B26" s="24" t="s">
        <v>128</v>
      </c>
      <c r="C26" s="24" t="s">
        <v>129</v>
      </c>
      <c r="D26" s="24" t="s">
        <v>130</v>
      </c>
      <c r="E26" s="24" t="s">
        <v>1388</v>
      </c>
    </row>
    <row r="27" spans="1:5" x14ac:dyDescent="0.2">
      <c r="A27" s="21" t="s">
        <v>1461</v>
      </c>
      <c r="B27" s="4" t="s">
        <v>144</v>
      </c>
      <c r="C27" s="4" t="s">
        <v>138</v>
      </c>
      <c r="D27" s="4" t="s">
        <v>1460</v>
      </c>
      <c r="E27" s="25" t="s">
        <v>1459</v>
      </c>
    </row>
    <row r="28" spans="1:5" x14ac:dyDescent="0.2">
      <c r="A28" s="21" t="s">
        <v>1458</v>
      </c>
      <c r="B28" s="4" t="s">
        <v>144</v>
      </c>
      <c r="C28" s="4" t="s">
        <v>151</v>
      </c>
      <c r="D28" s="4" t="s">
        <v>1457</v>
      </c>
      <c r="E28" s="25" t="s">
        <v>1456</v>
      </c>
    </row>
    <row r="30" spans="1:5" ht="14.25" x14ac:dyDescent="0.2">
      <c r="A30" s="22"/>
      <c r="B30" s="23" t="s">
        <v>1389</v>
      </c>
    </row>
    <row r="31" spans="1:5" ht="15" x14ac:dyDescent="0.2">
      <c r="A31" s="24" t="s">
        <v>127</v>
      </c>
      <c r="B31" s="24" t="s">
        <v>128</v>
      </c>
      <c r="C31" s="24" t="s">
        <v>129</v>
      </c>
      <c r="D31" s="24" t="s">
        <v>130</v>
      </c>
      <c r="E31" s="24" t="s">
        <v>1388</v>
      </c>
    </row>
    <row r="32" spans="1:5" x14ac:dyDescent="0.2">
      <c r="A32" s="21" t="s">
        <v>1455</v>
      </c>
      <c r="B32" s="4" t="s">
        <v>1454</v>
      </c>
      <c r="C32" s="4" t="s">
        <v>138</v>
      </c>
      <c r="D32" s="4" t="s">
        <v>1453</v>
      </c>
      <c r="E32" s="25" t="s">
        <v>1452</v>
      </c>
    </row>
    <row r="33" spans="1:5" x14ac:dyDescent="0.2">
      <c r="A33" s="21" t="s">
        <v>685</v>
      </c>
      <c r="B33" s="4" t="s">
        <v>1380</v>
      </c>
      <c r="C33" s="4" t="s">
        <v>232</v>
      </c>
      <c r="D33" s="4" t="s">
        <v>1451</v>
      </c>
      <c r="E33" s="25" t="s">
        <v>1450</v>
      </c>
    </row>
  </sheetData>
  <mergeCells count="14">
    <mergeCell ref="A5:J5"/>
    <mergeCell ref="A9:J9"/>
    <mergeCell ref="A12:J12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6" style="4" customWidth="1"/>
    <col min="4" max="4" width="8.42578125" style="4" bestFit="1" customWidth="1"/>
    <col min="5" max="5" width="22.7109375" style="4" bestFit="1" customWidth="1"/>
    <col min="6" max="6" width="26.85546875" style="4" bestFit="1" customWidth="1"/>
    <col min="7" max="7" width="10.42578125" style="3" customWidth="1"/>
    <col min="8" max="8" width="14.28515625" style="26" customWidth="1"/>
    <col min="9" max="9" width="9.85546875" style="4" customWidth="1"/>
    <col min="10" max="10" width="8.5703125" style="3" bestFit="1" customWidth="1"/>
    <col min="11" max="11" width="15.28515625" style="4" bestFit="1" customWidth="1"/>
    <col min="12" max="16384" width="9.140625" style="3"/>
  </cols>
  <sheetData>
    <row r="1" spans="1:11" s="2" customFormat="1" ht="29.1" customHeight="1" x14ac:dyDescent="0.2">
      <c r="A1" s="37" t="s">
        <v>1489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1439</v>
      </c>
      <c r="E3" s="32" t="s">
        <v>4</v>
      </c>
      <c r="F3" s="32" t="s">
        <v>8</v>
      </c>
      <c r="G3" s="32" t="s">
        <v>1488</v>
      </c>
      <c r="H3" s="32"/>
      <c r="I3" s="32" t="s">
        <v>1438</v>
      </c>
      <c r="J3" s="32" t="s">
        <v>3</v>
      </c>
      <c r="K3" s="34" t="s">
        <v>2</v>
      </c>
    </row>
    <row r="4" spans="1:11" s="1" customFormat="1" ht="21" customHeight="1" thickBot="1" x14ac:dyDescent="0.25">
      <c r="A4" s="44"/>
      <c r="B4" s="33"/>
      <c r="C4" s="33"/>
      <c r="D4" s="33"/>
      <c r="E4" s="33"/>
      <c r="F4" s="33"/>
      <c r="G4" s="5" t="s">
        <v>1437</v>
      </c>
      <c r="H4" s="31" t="s">
        <v>1436</v>
      </c>
      <c r="I4" s="33"/>
      <c r="J4" s="33"/>
      <c r="K4" s="35"/>
    </row>
    <row r="5" spans="1:11" ht="15" x14ac:dyDescent="0.2">
      <c r="A5" s="36" t="s">
        <v>275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">
      <c r="A6" s="6" t="s">
        <v>1449</v>
      </c>
      <c r="B6" s="6" t="s">
        <v>1448</v>
      </c>
      <c r="C6" s="6" t="s">
        <v>1447</v>
      </c>
      <c r="D6" s="6" t="str">
        <f>"0,7164"</f>
        <v>0,7164</v>
      </c>
      <c r="E6" s="6" t="s">
        <v>18</v>
      </c>
      <c r="F6" s="6" t="s">
        <v>1446</v>
      </c>
      <c r="G6" s="7" t="s">
        <v>360</v>
      </c>
      <c r="H6" s="30" t="s">
        <v>1445</v>
      </c>
      <c r="I6" s="6" t="str">
        <f>"1275,0"</f>
        <v>1275,0</v>
      </c>
      <c r="J6" s="7" t="str">
        <f>"913,4737"</f>
        <v>913,4737</v>
      </c>
      <c r="K6" s="6" t="s">
        <v>1444</v>
      </c>
    </row>
    <row r="8" spans="1:11" ht="15" x14ac:dyDescent="0.2">
      <c r="E8" s="18" t="s">
        <v>119</v>
      </c>
    </row>
    <row r="9" spans="1:11" ht="15" x14ac:dyDescent="0.2">
      <c r="E9" s="18" t="s">
        <v>120</v>
      </c>
    </row>
    <row r="10" spans="1:11" ht="15" x14ac:dyDescent="0.2">
      <c r="E10" s="18" t="s">
        <v>121</v>
      </c>
    </row>
    <row r="11" spans="1:11" ht="15" x14ac:dyDescent="0.2">
      <c r="E11" s="18" t="s">
        <v>122</v>
      </c>
    </row>
    <row r="12" spans="1:11" ht="15" x14ac:dyDescent="0.2">
      <c r="E12" s="18" t="s">
        <v>122</v>
      </c>
    </row>
    <row r="13" spans="1:11" ht="15" x14ac:dyDescent="0.2">
      <c r="E13" s="18" t="s">
        <v>123</v>
      </c>
    </row>
    <row r="14" spans="1:11" ht="15" x14ac:dyDescent="0.2">
      <c r="E14" s="18"/>
    </row>
    <row r="16" spans="1:11" ht="18" x14ac:dyDescent="0.25">
      <c r="A16" s="19" t="s">
        <v>124</v>
      </c>
      <c r="B16" s="19"/>
    </row>
    <row r="17" spans="1:5" ht="15" x14ac:dyDescent="0.2">
      <c r="A17" s="20" t="s">
        <v>136</v>
      </c>
      <c r="B17" s="20"/>
    </row>
    <row r="18" spans="1:5" ht="14.25" x14ac:dyDescent="0.2">
      <c r="A18" s="22"/>
      <c r="B18" s="23" t="s">
        <v>512</v>
      </c>
    </row>
    <row r="19" spans="1:5" ht="15" x14ac:dyDescent="0.2">
      <c r="A19" s="24" t="s">
        <v>127</v>
      </c>
      <c r="B19" s="24" t="s">
        <v>128</v>
      </c>
      <c r="C19" s="24" t="s">
        <v>129</v>
      </c>
      <c r="D19" s="24" t="s">
        <v>130</v>
      </c>
      <c r="E19" s="24" t="s">
        <v>1388</v>
      </c>
    </row>
    <row r="20" spans="1:5" x14ac:dyDescent="0.2">
      <c r="A20" s="21" t="s">
        <v>1443</v>
      </c>
      <c r="B20" s="4" t="s">
        <v>1442</v>
      </c>
      <c r="C20" s="4" t="s">
        <v>336</v>
      </c>
      <c r="D20" s="4" t="s">
        <v>1441</v>
      </c>
      <c r="E20" s="25" t="s">
        <v>1440</v>
      </c>
    </row>
  </sheetData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6.42578125" style="4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1.42578125" style="4" bestFit="1" customWidth="1"/>
    <col min="22" max="16384" width="9.140625" style="3"/>
  </cols>
  <sheetData>
    <row r="1" spans="1:21" s="2" customFormat="1" ht="29.1" customHeight="1" x14ac:dyDescent="0.2">
      <c r="A1" s="37" t="s">
        <v>1335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 x14ac:dyDescent="0.2">
      <c r="A3" s="43" t="s">
        <v>0</v>
      </c>
      <c r="B3" s="45" t="s">
        <v>6</v>
      </c>
      <c r="C3" s="45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 x14ac:dyDescent="0.25">
      <c r="A4" s="44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1" ht="15" x14ac:dyDescent="0.2">
      <c r="A5" s="36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546</v>
      </c>
      <c r="B6" s="6" t="s">
        <v>547</v>
      </c>
      <c r="C6" s="6" t="s">
        <v>548</v>
      </c>
      <c r="D6" s="6" t="str">
        <f>"0,6483"</f>
        <v>0,6483</v>
      </c>
      <c r="E6" s="6" t="s">
        <v>18</v>
      </c>
      <c r="F6" s="6" t="s">
        <v>68</v>
      </c>
      <c r="G6" s="7" t="s">
        <v>174</v>
      </c>
      <c r="H6" s="8" t="s">
        <v>50</v>
      </c>
      <c r="I6" s="8" t="s">
        <v>50</v>
      </c>
      <c r="J6" s="8"/>
      <c r="K6" s="7" t="s">
        <v>36</v>
      </c>
      <c r="L6" s="8" t="s">
        <v>47</v>
      </c>
      <c r="M6" s="7" t="s">
        <v>37</v>
      </c>
      <c r="N6" s="8"/>
      <c r="O6" s="7" t="s">
        <v>45</v>
      </c>
      <c r="P6" s="7" t="s">
        <v>73</v>
      </c>
      <c r="Q6" s="8" t="s">
        <v>192</v>
      </c>
      <c r="R6" s="8"/>
      <c r="S6" s="6" t="str">
        <f>"605,0"</f>
        <v>605,0</v>
      </c>
      <c r="T6" s="7" t="str">
        <f>"392,2215"</f>
        <v>392,2215</v>
      </c>
      <c r="U6" s="6" t="s">
        <v>549</v>
      </c>
    </row>
    <row r="8" spans="1:21" ht="15" x14ac:dyDescent="0.2">
      <c r="A8" s="46" t="s">
        <v>75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x14ac:dyDescent="0.2">
      <c r="A9" s="6" t="s">
        <v>551</v>
      </c>
      <c r="B9" s="6" t="s">
        <v>552</v>
      </c>
      <c r="C9" s="6" t="s">
        <v>296</v>
      </c>
      <c r="D9" s="6" t="str">
        <f>"0,6106"</f>
        <v>0,6106</v>
      </c>
      <c r="E9" s="6" t="s">
        <v>18</v>
      </c>
      <c r="F9" s="6" t="s">
        <v>68</v>
      </c>
      <c r="G9" s="7" t="s">
        <v>59</v>
      </c>
      <c r="H9" s="7" t="s">
        <v>117</v>
      </c>
      <c r="I9" s="8" t="s">
        <v>81</v>
      </c>
      <c r="J9" s="8"/>
      <c r="K9" s="7" t="s">
        <v>71</v>
      </c>
      <c r="L9" s="7" t="s">
        <v>73</v>
      </c>
      <c r="M9" s="8" t="s">
        <v>46</v>
      </c>
      <c r="N9" s="8"/>
      <c r="O9" s="7" t="s">
        <v>49</v>
      </c>
      <c r="P9" s="8" t="s">
        <v>59</v>
      </c>
      <c r="Q9" s="7" t="s">
        <v>59</v>
      </c>
      <c r="R9" s="8"/>
      <c r="S9" s="6" t="str">
        <f>"705,0"</f>
        <v>705,0</v>
      </c>
      <c r="T9" s="7" t="str">
        <f>"430,4730"</f>
        <v>430,4730</v>
      </c>
      <c r="U9" s="6" t="s">
        <v>398</v>
      </c>
    </row>
    <row r="11" spans="1:21" ht="15" x14ac:dyDescent="0.2">
      <c r="E11" s="18" t="s">
        <v>119</v>
      </c>
    </row>
    <row r="12" spans="1:21" ht="15" x14ac:dyDescent="0.2">
      <c r="E12" s="18" t="s">
        <v>120</v>
      </c>
    </row>
    <row r="13" spans="1:21" ht="15" x14ac:dyDescent="0.2">
      <c r="E13" s="18" t="s">
        <v>121</v>
      </c>
    </row>
    <row r="14" spans="1:21" ht="15" x14ac:dyDescent="0.2">
      <c r="E14" s="18" t="s">
        <v>122</v>
      </c>
    </row>
    <row r="15" spans="1:21" ht="15" x14ac:dyDescent="0.2">
      <c r="E15" s="18" t="s">
        <v>122</v>
      </c>
    </row>
    <row r="16" spans="1:21" ht="15" x14ac:dyDescent="0.2">
      <c r="E16" s="18" t="s">
        <v>123</v>
      </c>
    </row>
    <row r="17" spans="1:5" ht="15" x14ac:dyDescent="0.2">
      <c r="E17" s="18"/>
    </row>
    <row r="19" spans="1:5" ht="18" x14ac:dyDescent="0.25">
      <c r="A19" s="19" t="s">
        <v>124</v>
      </c>
      <c r="B19" s="19"/>
    </row>
    <row r="20" spans="1:5" ht="15" x14ac:dyDescent="0.2">
      <c r="A20" s="20" t="s">
        <v>136</v>
      </c>
      <c r="B20" s="20"/>
    </row>
    <row r="21" spans="1:5" ht="14.25" x14ac:dyDescent="0.2">
      <c r="A21" s="22"/>
      <c r="B21" s="23" t="s">
        <v>144</v>
      </c>
    </row>
    <row r="22" spans="1:5" ht="15" x14ac:dyDescent="0.2">
      <c r="A22" s="24" t="s">
        <v>127</v>
      </c>
      <c r="B22" s="24" t="s">
        <v>128</v>
      </c>
      <c r="C22" s="24" t="s">
        <v>129</v>
      </c>
      <c r="D22" s="24" t="s">
        <v>130</v>
      </c>
      <c r="E22" s="24" t="s">
        <v>131</v>
      </c>
    </row>
    <row r="23" spans="1:5" x14ac:dyDescent="0.2">
      <c r="A23" s="21" t="s">
        <v>550</v>
      </c>
      <c r="B23" s="4" t="s">
        <v>144</v>
      </c>
      <c r="C23" s="4" t="s">
        <v>138</v>
      </c>
      <c r="D23" s="4" t="s">
        <v>553</v>
      </c>
      <c r="E23" s="25" t="s">
        <v>554</v>
      </c>
    </row>
    <row r="24" spans="1:5" x14ac:dyDescent="0.2">
      <c r="A24" s="21" t="s">
        <v>545</v>
      </c>
      <c r="B24" s="4" t="s">
        <v>144</v>
      </c>
      <c r="C24" s="4" t="s">
        <v>141</v>
      </c>
      <c r="D24" s="4" t="s">
        <v>555</v>
      </c>
      <c r="E24" s="25" t="s">
        <v>556</v>
      </c>
    </row>
  </sheetData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WPF PRO ПЛ ЭЛИТА</vt:lpstr>
      <vt:lpstr>WPF PRO ПЛ классик.</vt:lpstr>
      <vt:lpstr>WPF PRO ПЛ безэк.</vt:lpstr>
      <vt:lpstr>WPF PRO Жим в 1-сл. эк.</vt:lpstr>
      <vt:lpstr>WPF PRO Жим безэк.</vt:lpstr>
      <vt:lpstr>WPF PRO Тяга безэк.</vt:lpstr>
      <vt:lpstr>WPF PRO Многоповторный жим 1вес</vt:lpstr>
      <vt:lpstr>WPF PRO Многоповторный жим 1_2</vt:lpstr>
      <vt:lpstr>WPF AM ПЛ в 1-сл. эк.</vt:lpstr>
      <vt:lpstr>WPF AM ПЛ классик.</vt:lpstr>
      <vt:lpstr>WPF AM ПЛ безэк.</vt:lpstr>
      <vt:lpstr>WPF AM Жим в 1-сл. эк.</vt:lpstr>
      <vt:lpstr>WPF AM Жим безэк.</vt:lpstr>
      <vt:lpstr>WPF AM Тяга в 1-сл. эк.</vt:lpstr>
      <vt:lpstr>WPF AM Тяга безэк.</vt:lpstr>
      <vt:lpstr>WPF AM Многоповторный жим 1вес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</cp:lastModifiedBy>
  <cp:lastPrinted>2015-07-16T19:10:53Z</cp:lastPrinted>
  <dcterms:created xsi:type="dcterms:W3CDTF">2002-06-16T13:36:44Z</dcterms:created>
  <dcterms:modified xsi:type="dcterms:W3CDTF">2020-02-24T18:17:46Z</dcterms:modified>
</cp:coreProperties>
</file>