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Игорь\Google Диск\PowerLifting\1. WPF\Турниры\Кубок Победы\"/>
    </mc:Choice>
  </mc:AlternateContent>
  <bookViews>
    <workbookView xWindow="0" yWindow="0" windowWidth="30720" windowHeight="11835"/>
  </bookViews>
  <sheets>
    <sheet name="WPF PRO Жим безэк." sheetId="5" r:id="rId1"/>
    <sheet name="WPF PRO МПЖ 1 вес" sheetId="7" r:id="rId2"/>
    <sheet name="WPF AM Жим безэк." sheetId="6" r:id="rId3"/>
    <sheet name="WPF AM МПЖ 1 вес" sheetId="9" r:id="rId4"/>
    <sheet name="WPF AM МПЖ 1_2 вес" sheetId="10" r:id="rId5"/>
  </sheets>
  <definedNames>
    <definedName name="_FilterDatabase" localSheetId="0" hidden="1">'WPF PRO Жим безэк.'!$A$1:$K$3</definedName>
  </definedNames>
  <calcPr calcId="152511" refMode="R1C1"/>
</workbook>
</file>

<file path=xl/calcChain.xml><?xml version="1.0" encoding="utf-8"?>
<calcChain xmlns="http://schemas.openxmlformats.org/spreadsheetml/2006/main">
  <c r="J7" i="10" l="1"/>
  <c r="I7" i="10"/>
  <c r="D7" i="10"/>
  <c r="J6" i="10"/>
  <c r="I6" i="10"/>
  <c r="D6" i="10"/>
  <c r="J39" i="9"/>
  <c r="I39" i="9"/>
  <c r="D39" i="9"/>
  <c r="J36" i="9"/>
  <c r="I36" i="9"/>
  <c r="D36" i="9"/>
  <c r="J35" i="9"/>
  <c r="I35" i="9"/>
  <c r="D35" i="9"/>
  <c r="J34" i="9"/>
  <c r="I34" i="9"/>
  <c r="D34" i="9"/>
  <c r="J33" i="9"/>
  <c r="I33" i="9"/>
  <c r="D33" i="9"/>
  <c r="J30" i="9"/>
  <c r="I30" i="9"/>
  <c r="D30" i="9"/>
  <c r="J29" i="9"/>
  <c r="I29" i="9"/>
  <c r="D29" i="9"/>
  <c r="J28" i="9"/>
  <c r="I28" i="9"/>
  <c r="D28" i="9"/>
  <c r="J27" i="9"/>
  <c r="I27" i="9"/>
  <c r="D27" i="9"/>
  <c r="J26" i="9"/>
  <c r="I26" i="9"/>
  <c r="D26" i="9"/>
  <c r="J23" i="9"/>
  <c r="I23" i="9"/>
  <c r="D23" i="9"/>
  <c r="J22" i="9"/>
  <c r="I22" i="9"/>
  <c r="D22" i="9"/>
  <c r="J21" i="9"/>
  <c r="I21" i="9"/>
  <c r="D21" i="9"/>
  <c r="J20" i="9"/>
  <c r="I20" i="9"/>
  <c r="D20" i="9"/>
  <c r="J19" i="9"/>
  <c r="I19" i="9"/>
  <c r="D19" i="9"/>
  <c r="J18" i="9"/>
  <c r="I18" i="9"/>
  <c r="D18" i="9"/>
  <c r="J17" i="9"/>
  <c r="I17" i="9"/>
  <c r="D17" i="9"/>
  <c r="J16" i="9"/>
  <c r="I16" i="9"/>
  <c r="D16" i="9"/>
  <c r="J13" i="9"/>
  <c r="I13" i="9"/>
  <c r="D13" i="9"/>
  <c r="J10" i="9"/>
  <c r="I10" i="9"/>
  <c r="D10" i="9"/>
  <c r="J9" i="9"/>
  <c r="I9" i="9"/>
  <c r="D9" i="9"/>
  <c r="J6" i="9"/>
  <c r="I6" i="9"/>
  <c r="D6" i="9"/>
  <c r="J10" i="7"/>
  <c r="I10" i="7"/>
  <c r="D10" i="7"/>
  <c r="J9" i="7"/>
  <c r="I9" i="7"/>
  <c r="D9" i="7"/>
  <c r="J6" i="7"/>
  <c r="I6" i="7"/>
  <c r="D6" i="7"/>
  <c r="L68" i="6"/>
  <c r="K68" i="6"/>
  <c r="D68" i="6"/>
  <c r="L65" i="6"/>
  <c r="K65" i="6"/>
  <c r="D65" i="6"/>
  <c r="L64" i="6"/>
  <c r="K64" i="6"/>
  <c r="D64" i="6"/>
  <c r="L63" i="6"/>
  <c r="K63" i="6"/>
  <c r="D63" i="6"/>
  <c r="L60" i="6"/>
  <c r="K60" i="6"/>
  <c r="D60" i="6"/>
  <c r="L59" i="6"/>
  <c r="K59" i="6"/>
  <c r="D59" i="6"/>
  <c r="L58" i="6"/>
  <c r="K58" i="6"/>
  <c r="D58" i="6"/>
  <c r="L57" i="6"/>
  <c r="K57" i="6"/>
  <c r="D57" i="6"/>
  <c r="L56" i="6"/>
  <c r="K56" i="6"/>
  <c r="D56" i="6"/>
  <c r="L55" i="6"/>
  <c r="K55" i="6"/>
  <c r="D55" i="6"/>
  <c r="L52" i="6"/>
  <c r="K52" i="6"/>
  <c r="D52" i="6"/>
  <c r="L51" i="6"/>
  <c r="K51" i="6"/>
  <c r="D51" i="6"/>
  <c r="L50" i="6"/>
  <c r="K50" i="6"/>
  <c r="D50" i="6"/>
  <c r="L49" i="6"/>
  <c r="K49" i="6"/>
  <c r="D49" i="6"/>
  <c r="L48" i="6"/>
  <c r="K48" i="6"/>
  <c r="D48" i="6"/>
  <c r="L47" i="6"/>
  <c r="K47" i="6"/>
  <c r="D47" i="6"/>
  <c r="L46" i="6"/>
  <c r="K46" i="6"/>
  <c r="D46" i="6"/>
  <c r="L45" i="6"/>
  <c r="K45" i="6"/>
  <c r="D45" i="6"/>
  <c r="L44" i="6"/>
  <c r="K44" i="6"/>
  <c r="D44" i="6"/>
  <c r="L41" i="6"/>
  <c r="K41" i="6"/>
  <c r="D41" i="6"/>
  <c r="L40" i="6"/>
  <c r="K40" i="6"/>
  <c r="D40" i="6"/>
  <c r="L39" i="6"/>
  <c r="K39" i="6"/>
  <c r="D39" i="6"/>
  <c r="L38" i="6"/>
  <c r="K38" i="6"/>
  <c r="D38" i="6"/>
  <c r="L37" i="6"/>
  <c r="K37" i="6"/>
  <c r="D37" i="6"/>
  <c r="L36" i="6"/>
  <c r="K36" i="6"/>
  <c r="D36" i="6"/>
  <c r="L35" i="6"/>
  <c r="K35" i="6"/>
  <c r="D35" i="6"/>
  <c r="L34" i="6"/>
  <c r="K34" i="6"/>
  <c r="D34" i="6"/>
  <c r="L33" i="6"/>
  <c r="K33" i="6"/>
  <c r="D33" i="6"/>
  <c r="L32" i="6"/>
  <c r="K32" i="6"/>
  <c r="D32" i="6"/>
  <c r="L31" i="6"/>
  <c r="K31" i="6"/>
  <c r="D31" i="6"/>
  <c r="L30" i="6"/>
  <c r="K30" i="6"/>
  <c r="D30" i="6"/>
  <c r="L27" i="6"/>
  <c r="K27" i="6"/>
  <c r="D27" i="6"/>
  <c r="L26" i="6"/>
  <c r="K26" i="6"/>
  <c r="D26" i="6"/>
  <c r="L25" i="6"/>
  <c r="K25" i="6"/>
  <c r="D25" i="6"/>
  <c r="L22" i="6"/>
  <c r="K22" i="6"/>
  <c r="D22" i="6"/>
  <c r="L21" i="6"/>
  <c r="K21" i="6"/>
  <c r="D21" i="6"/>
  <c r="L20" i="6"/>
  <c r="K20" i="6"/>
  <c r="D20" i="6"/>
  <c r="L17" i="6"/>
  <c r="K17" i="6"/>
  <c r="D17" i="6"/>
  <c r="L16" i="6"/>
  <c r="K16" i="6"/>
  <c r="D16" i="6"/>
  <c r="L13" i="6"/>
  <c r="K13" i="6"/>
  <c r="D13" i="6"/>
  <c r="L12" i="6"/>
  <c r="K12" i="6"/>
  <c r="D12" i="6"/>
  <c r="L11" i="6"/>
  <c r="K11" i="6"/>
  <c r="D11" i="6"/>
  <c r="L10" i="6"/>
  <c r="K10" i="6"/>
  <c r="D10" i="6"/>
  <c r="L7" i="6"/>
  <c r="K7" i="6"/>
  <c r="D7" i="6"/>
  <c r="L6" i="6"/>
  <c r="K6" i="6"/>
  <c r="D6" i="6"/>
  <c r="L6" i="5"/>
  <c r="K6" i="5"/>
  <c r="D6" i="5"/>
</calcChain>
</file>

<file path=xl/sharedStrings.xml><?xml version="1.0" encoding="utf-8"?>
<sst xmlns="http://schemas.openxmlformats.org/spreadsheetml/2006/main" count="1109" uniqueCount="414">
  <si>
    <t>ФИО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</si>
  <si>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</si>
  <si>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</si>
  <si>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</si>
  <si>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</si>
  <si>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</si>
  <si>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</si>
  <si>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</si>
  <si>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</si>
  <si>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</si>
  <si>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Wilks</t>
  </si>
  <si>
    <t>Жим лёжа</t>
  </si>
  <si>
    <t>ВЕСОВАЯ КАТЕГОРИЯ   110</t>
  </si>
  <si>
    <t>Новиков Игорь</t>
  </si>
  <si>
    <t>1. Новиков Игорь</t>
  </si>
  <si>
    <t>Открытая (24.08.1984)/36</t>
  </si>
  <si>
    <t>101,20</t>
  </si>
  <si>
    <t xml:space="preserve">Лично </t>
  </si>
  <si>
    <t xml:space="preserve">Москва/ </t>
  </si>
  <si>
    <t>162,5</t>
  </si>
  <si>
    <t>170,0</t>
  </si>
  <si>
    <t xml:space="preserve">. 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</si>
  <si>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</si>
  <si>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</si>
  <si>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</si>
  <si>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</si>
  <si>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</si>
  <si>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</si>
  <si>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</si>
  <si>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</si>
  <si>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</si>
  <si>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</si>
  <si>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</si>
  <si>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Результат </t>
  </si>
  <si>
    <t xml:space="preserve">Wilks </t>
  </si>
  <si>
    <t>110</t>
  </si>
  <si>
    <t>102,9690</t>
  </si>
  <si>
    <t>Результат</t>
  </si>
  <si>
    <t>ВЕСОВАЯ КАТЕГОРИЯ   60</t>
  </si>
  <si>
    <t>Делегеоз Юлия</t>
  </si>
  <si>
    <t>1. Делегеоз Юлия</t>
  </si>
  <si>
    <t>Открытая (03.01.1971)/49</t>
  </si>
  <si>
    <t>59,10</t>
  </si>
  <si>
    <t>30,0</t>
  </si>
  <si>
    <t>32,5</t>
  </si>
  <si>
    <t>35,0</t>
  </si>
  <si>
    <t xml:space="preserve"> </t>
  </si>
  <si>
    <t>Ветераны 45 - 49 (03.01.1971)/49</t>
  </si>
  <si>
    <t>ВЕСОВАЯ КАТЕГОРИЯ   90</t>
  </si>
  <si>
    <t>Камельчук Светлана</t>
  </si>
  <si>
    <t>1. Камельчук Светлана</t>
  </si>
  <si>
    <t>Открытая (17.08.1967)/53</t>
  </si>
  <si>
    <t>88,00</t>
  </si>
  <si>
    <t>40,0</t>
  </si>
  <si>
    <t xml:space="preserve">Пивнов В.П. </t>
  </si>
  <si>
    <t>Иониду София</t>
  </si>
  <si>
    <t>2. Иониду София</t>
  </si>
  <si>
    <t>Открытая (13.04.1968)/52</t>
  </si>
  <si>
    <t>83,90</t>
  </si>
  <si>
    <t xml:space="preserve">Самост </t>
  </si>
  <si>
    <t>Ветераны 50 - 54 (17.08.1967)/53</t>
  </si>
  <si>
    <t>Ветераны 50 - 54 (13.04.1968)/52</t>
  </si>
  <si>
    <t>ВЕСОВАЯ КАТЕГОРИЯ   56</t>
  </si>
  <si>
    <t>Кизилов Илья</t>
  </si>
  <si>
    <t>1. Кизилов Илья</t>
  </si>
  <si>
    <t>Открытая (30.04.1982)/38</t>
  </si>
  <si>
    <t>54,10</t>
  </si>
  <si>
    <t>70,0</t>
  </si>
  <si>
    <t>77,5</t>
  </si>
  <si>
    <t xml:space="preserve">Кизилов И.М. </t>
  </si>
  <si>
    <t>Костин Андрей</t>
  </si>
  <si>
    <t>-. Костин Андрей</t>
  </si>
  <si>
    <t>Открытая (06.12.2001)/18</t>
  </si>
  <si>
    <t>51,30</t>
  </si>
  <si>
    <t xml:space="preserve">Костин А.А. </t>
  </si>
  <si>
    <t>ВЕСОВАЯ КАТЕГОРИЯ   67.5</t>
  </si>
  <si>
    <t>Полянинов Максим</t>
  </si>
  <si>
    <t>1. Полянинов Максим</t>
  </si>
  <si>
    <t>Открытая (17.02.1989)/31</t>
  </si>
  <si>
    <t>66,70</t>
  </si>
  <si>
    <t>75,0</t>
  </si>
  <si>
    <t>80,0</t>
  </si>
  <si>
    <t>87,5</t>
  </si>
  <si>
    <t>Лаврин Владимир</t>
  </si>
  <si>
    <t>2. Лаврин Владимир</t>
  </si>
  <si>
    <t>Открытая (25.06.1987)/33</t>
  </si>
  <si>
    <t>66,20</t>
  </si>
  <si>
    <t>82,5</t>
  </si>
  <si>
    <t xml:space="preserve">Лаврин В.А. </t>
  </si>
  <si>
    <t>Братьков Станислав</t>
  </si>
  <si>
    <t>3. Братьков Станислав</t>
  </si>
  <si>
    <t>Открытая (10.12.2004)/15</t>
  </si>
  <si>
    <t>62,50</t>
  </si>
  <si>
    <t>67,5</t>
  </si>
  <si>
    <t>72,5</t>
  </si>
  <si>
    <t xml:space="preserve">Братьков С.Д </t>
  </si>
  <si>
    <t>ВЕСОВАЯ КАТЕГОРИЯ   75</t>
  </si>
  <si>
    <t>Арсланов Магомедсаид</t>
  </si>
  <si>
    <t>1. Арсланов Магомедсаид</t>
  </si>
  <si>
    <t>Открытая (06.01.1994)/26</t>
  </si>
  <si>
    <t>73,10</t>
  </si>
  <si>
    <t>85,0</t>
  </si>
  <si>
    <t>90,0</t>
  </si>
  <si>
    <t>2. Маркин Владимир</t>
  </si>
  <si>
    <t>Открытая (06.06.1994)/26</t>
  </si>
  <si>
    <t>68,20</t>
  </si>
  <si>
    <t>45,0</t>
  </si>
  <si>
    <t>50,0</t>
  </si>
  <si>
    <t>55,0</t>
  </si>
  <si>
    <t xml:space="preserve">Маркин В.В. </t>
  </si>
  <si>
    <t>Далгатов Тагир</t>
  </si>
  <si>
    <t>-. Далгатов Тагир</t>
  </si>
  <si>
    <t>Ветераны 40 - 44 (09.06.1977)/43</t>
  </si>
  <si>
    <t>71,80</t>
  </si>
  <si>
    <t xml:space="preserve">Далгатов. Т.Э </t>
  </si>
  <si>
    <t>ВЕСОВАЯ КАТЕГОРИЯ   82.5</t>
  </si>
  <si>
    <t>Пивнов Владимир</t>
  </si>
  <si>
    <t>1. Пивнов Владимир</t>
  </si>
  <si>
    <t>Открытая (05.11.1953)/66</t>
  </si>
  <si>
    <t>77,30</t>
  </si>
  <si>
    <t>130,0</t>
  </si>
  <si>
    <t>137,5</t>
  </si>
  <si>
    <t>145,0</t>
  </si>
  <si>
    <t xml:space="preserve">Новиков И.П. </t>
  </si>
  <si>
    <t>Калантай Дмитрий</t>
  </si>
  <si>
    <t>2. Калантай Дмитрий</t>
  </si>
  <si>
    <t>Открытая (10.03.1990)/30</t>
  </si>
  <si>
    <t>81,60</t>
  </si>
  <si>
    <t>142,5</t>
  </si>
  <si>
    <t>Саакян Давид</t>
  </si>
  <si>
    <t>3. Саакян Давид</t>
  </si>
  <si>
    <t>Открытая (13.09.1990)/30</t>
  </si>
  <si>
    <t>81,00</t>
  </si>
  <si>
    <t>120,0</t>
  </si>
  <si>
    <t>125,0</t>
  </si>
  <si>
    <t xml:space="preserve">Саакян Д.А. </t>
  </si>
  <si>
    <t>Прокопишин Юрий</t>
  </si>
  <si>
    <t>4. Прокопишин Юрий</t>
  </si>
  <si>
    <t>Открытая (30.06.1986)/34</t>
  </si>
  <si>
    <t>81,10</t>
  </si>
  <si>
    <t>110,0</t>
  </si>
  <si>
    <t xml:space="preserve">Прокопишин Ю.В. </t>
  </si>
  <si>
    <t>Круглов Никита</t>
  </si>
  <si>
    <t>5. Круглов Никита</t>
  </si>
  <si>
    <t>Открытая (27.12.2003)/16</t>
  </si>
  <si>
    <t>78,50</t>
  </si>
  <si>
    <t>100,0</t>
  </si>
  <si>
    <t>115,0</t>
  </si>
  <si>
    <t xml:space="preserve">Круглов Н.Д </t>
  </si>
  <si>
    <t>Рагимханов Магомед</t>
  </si>
  <si>
    <t>6. Рагимханов Магомед</t>
  </si>
  <si>
    <t>Открытая (21.01.1992)/28</t>
  </si>
  <si>
    <t>80,40</t>
  </si>
  <si>
    <t xml:space="preserve">Рагимханов </t>
  </si>
  <si>
    <t>Блинов Сергей</t>
  </si>
  <si>
    <t>7. Блинов Сергей</t>
  </si>
  <si>
    <t>Открытая (26.06.1987)/33</t>
  </si>
  <si>
    <t>80,60</t>
  </si>
  <si>
    <t>122,5</t>
  </si>
  <si>
    <t>Старицын Сергей</t>
  </si>
  <si>
    <t>8. Старицын Сергей</t>
  </si>
  <si>
    <t>Открытая (28.11.1988)/31</t>
  </si>
  <si>
    <t>80,80</t>
  </si>
  <si>
    <t>105,0</t>
  </si>
  <si>
    <t xml:space="preserve">Старицын С.А. </t>
  </si>
  <si>
    <t>Труханов Михаил</t>
  </si>
  <si>
    <t>9. Труханов Михаил</t>
  </si>
  <si>
    <t>Открытая (09.08.1981)/39</t>
  </si>
  <si>
    <t>81,30</t>
  </si>
  <si>
    <t>95,0</t>
  </si>
  <si>
    <t xml:space="preserve">Труханов м г </t>
  </si>
  <si>
    <t>10. Рогачев Алексей</t>
  </si>
  <si>
    <t>Открытая (16.07.1988)/32</t>
  </si>
  <si>
    <t>81,40</t>
  </si>
  <si>
    <t>92,5</t>
  </si>
  <si>
    <t xml:space="preserve">Рогачев А.С. </t>
  </si>
  <si>
    <t>-. Пудовкин Павел</t>
  </si>
  <si>
    <t>Открытая (20.06.1996)/24</t>
  </si>
  <si>
    <t xml:space="preserve">Пудовкин П.А. </t>
  </si>
  <si>
    <t>Ветераны 65 - 69 (05.11.1953)/66</t>
  </si>
  <si>
    <t>Першуков Андрей</t>
  </si>
  <si>
    <t>1. Першуков Андрей</t>
  </si>
  <si>
    <t>Открытая (14.07.1999)/21</t>
  </si>
  <si>
    <t>84,30</t>
  </si>
  <si>
    <t xml:space="preserve">Першуков А Э </t>
  </si>
  <si>
    <t>Владимиров Роман</t>
  </si>
  <si>
    <t>2. Владимиров Роман</t>
  </si>
  <si>
    <t>Открытая (25.08.1992)/28</t>
  </si>
  <si>
    <t>84,90</t>
  </si>
  <si>
    <t>132,5</t>
  </si>
  <si>
    <t xml:space="preserve">Владимиров Р Р </t>
  </si>
  <si>
    <t>Антипов Роман</t>
  </si>
  <si>
    <t>3. Антипов Роман</t>
  </si>
  <si>
    <t>Открытая (08.09.1992)/28</t>
  </si>
  <si>
    <t>85,60</t>
  </si>
  <si>
    <t xml:space="preserve">Антипов Р.В. </t>
  </si>
  <si>
    <t>Орехов Василий</t>
  </si>
  <si>
    <t>4. Орехов Василий</t>
  </si>
  <si>
    <t>Открытая (02.04.1994)/26</t>
  </si>
  <si>
    <t>84,70</t>
  </si>
  <si>
    <t>117,5</t>
  </si>
  <si>
    <t>Юдин Алексей</t>
  </si>
  <si>
    <t>5. Юдин Алексей</t>
  </si>
  <si>
    <t>Открытая (01.02.1985)/35</t>
  </si>
  <si>
    <t>89,20</t>
  </si>
  <si>
    <t xml:space="preserve">Юдин АВ </t>
  </si>
  <si>
    <t>Родионов Игорь</t>
  </si>
  <si>
    <t>6. Родионов Игорь</t>
  </si>
  <si>
    <t>Открытая (22.04.1999)/21</t>
  </si>
  <si>
    <t>84,40</t>
  </si>
  <si>
    <t xml:space="preserve">Родионов И. А. </t>
  </si>
  <si>
    <t>7. Филимонов Михаил</t>
  </si>
  <si>
    <t>Открытая (21.06.1988)/32</t>
  </si>
  <si>
    <t>83,10</t>
  </si>
  <si>
    <t xml:space="preserve">Филимонов М.М. </t>
  </si>
  <si>
    <t>-. Фомюк Константин</t>
  </si>
  <si>
    <t>Открытая (31.07.1983)/37</t>
  </si>
  <si>
    <t>86,40</t>
  </si>
  <si>
    <t>-. Кикин Дмитрий</t>
  </si>
  <si>
    <t>Открытая (12.08.1996)/24</t>
  </si>
  <si>
    <t xml:space="preserve">Кикин Д А </t>
  </si>
  <si>
    <t>ВЕСОВАЯ КАТЕГОРИЯ   100</t>
  </si>
  <si>
    <t>Фоменко Михаил</t>
  </si>
  <si>
    <t>1. Фоменко Михаил</t>
  </si>
  <si>
    <t>Юноши 15-19 (21.09.2005)/15</t>
  </si>
  <si>
    <t>92,10</t>
  </si>
  <si>
    <t>52,5</t>
  </si>
  <si>
    <t xml:space="preserve">Фоменко МА </t>
  </si>
  <si>
    <t>Пивоваров Валерий</t>
  </si>
  <si>
    <t>1. Пивоваров Валерий</t>
  </si>
  <si>
    <t>Открытая (20.05.1952)/68</t>
  </si>
  <si>
    <t>91,40</t>
  </si>
  <si>
    <t>Кондриков Евгений</t>
  </si>
  <si>
    <t>-. Кондриков Евгений</t>
  </si>
  <si>
    <t>Открытая (06.05.1996)/24</t>
  </si>
  <si>
    <t>95,80</t>
  </si>
  <si>
    <t xml:space="preserve">Кондриков Е.В </t>
  </si>
  <si>
    <t>-. Кикин Александр</t>
  </si>
  <si>
    <t>Открытая (12.09.1984)/36</t>
  </si>
  <si>
    <t>99,80</t>
  </si>
  <si>
    <t>Нефедов Александр</t>
  </si>
  <si>
    <t>1. Нефедов Александр</t>
  </si>
  <si>
    <t>Ветераны 55 - 59 (14.06.1961)/59</t>
  </si>
  <si>
    <t>100,00</t>
  </si>
  <si>
    <t>Ветераны 65 - 69 (20.05.1952)/68</t>
  </si>
  <si>
    <t>Бакаринов Кирилл</t>
  </si>
  <si>
    <t>1. Бакаринов Кирилл</t>
  </si>
  <si>
    <t>105,80</t>
  </si>
  <si>
    <t xml:space="preserve">Москва </t>
  </si>
  <si>
    <t>135,0</t>
  </si>
  <si>
    <t xml:space="preserve">Бакаринов Кирилл Алексеевич </t>
  </si>
  <si>
    <t>Танцура Сергей</t>
  </si>
  <si>
    <t>2. Танцура Сергей</t>
  </si>
  <si>
    <t>Открытая (09.10.1992)/27</t>
  </si>
  <si>
    <t>102,80</t>
  </si>
  <si>
    <t>140,0</t>
  </si>
  <si>
    <t xml:space="preserve">Танцура С.Д </t>
  </si>
  <si>
    <t>Семенов Владимир</t>
  </si>
  <si>
    <t>3. Семенов Владимир</t>
  </si>
  <si>
    <t>Открытая (18.01.1987)/33</t>
  </si>
  <si>
    <t>103,40</t>
  </si>
  <si>
    <t>ВЕСОВАЯ КАТЕГОРИЯ   140+</t>
  </si>
  <si>
    <t>Шилов Сергей</t>
  </si>
  <si>
    <t>1. Шилов Сергей</t>
  </si>
  <si>
    <t>Открытая (03.07.1982)/38</t>
  </si>
  <si>
    <t>140,90</t>
  </si>
  <si>
    <t>200,0</t>
  </si>
  <si>
    <t>210,0</t>
  </si>
  <si>
    <t>220,0</t>
  </si>
  <si>
    <t xml:space="preserve">Женщины </t>
  </si>
  <si>
    <t>60</t>
  </si>
  <si>
    <t>39,4835</t>
  </si>
  <si>
    <t>90</t>
  </si>
  <si>
    <t>34,8960</t>
  </si>
  <si>
    <t>28,9998</t>
  </si>
  <si>
    <t xml:space="preserve">Ветераны </t>
  </si>
  <si>
    <t xml:space="preserve">Ветераны 45 - 49 </t>
  </si>
  <si>
    <t>43,9451</t>
  </si>
  <si>
    <t xml:space="preserve">Ветераны 50 - 54 </t>
  </si>
  <si>
    <t>41,3169</t>
  </si>
  <si>
    <t>33,7847</t>
  </si>
  <si>
    <t xml:space="preserve">Юноши </t>
  </si>
  <si>
    <t xml:space="preserve">Юноши 15-19 </t>
  </si>
  <si>
    <t>100</t>
  </si>
  <si>
    <t>34,7105</t>
  </si>
  <si>
    <t>140+</t>
  </si>
  <si>
    <t>122,8260</t>
  </si>
  <si>
    <t>82.5</t>
  </si>
  <si>
    <t>101,2245</t>
  </si>
  <si>
    <t>96,1020</t>
  </si>
  <si>
    <t>85,9950</t>
  </si>
  <si>
    <t>84,6750</t>
  </si>
  <si>
    <t>84,6125</t>
  </si>
  <si>
    <t>82,3500</t>
  </si>
  <si>
    <t>80,4600</t>
  </si>
  <si>
    <t>78,6840</t>
  </si>
  <si>
    <t>78,2730</t>
  </si>
  <si>
    <t>77,5147</t>
  </si>
  <si>
    <t>76,0200</t>
  </si>
  <si>
    <t>76,0100</t>
  </si>
  <si>
    <t>74,8660</t>
  </si>
  <si>
    <t>74,7450</t>
  </si>
  <si>
    <t>73,7495</t>
  </si>
  <si>
    <t>73,6102</t>
  </si>
  <si>
    <t>56</t>
  </si>
  <si>
    <t>73,0127</t>
  </si>
  <si>
    <t>71,2425</t>
  </si>
  <si>
    <t>69,4050</t>
  </si>
  <si>
    <t>67.5</t>
  </si>
  <si>
    <t>68,1188</t>
  </si>
  <si>
    <t>67,5900</t>
  </si>
  <si>
    <t>75</t>
  </si>
  <si>
    <t>65,3040</t>
  </si>
  <si>
    <t>64,6140</t>
  </si>
  <si>
    <t xml:space="preserve">Ветераны 65 - 69 </t>
  </si>
  <si>
    <t>152,9502</t>
  </si>
  <si>
    <t>119,8075</t>
  </si>
  <si>
    <t xml:space="preserve">Ветераны 55 - 59 </t>
  </si>
  <si>
    <t>96,0371</t>
  </si>
  <si>
    <t>Gloss</t>
  </si>
  <si>
    <t>Синдеев Виктор</t>
  </si>
  <si>
    <t>1. Синдеев Виктор</t>
  </si>
  <si>
    <t>Открытая (27.12.1956)/63</t>
  </si>
  <si>
    <t>79,40</t>
  </si>
  <si>
    <t>13,0</t>
  </si>
  <si>
    <t xml:space="preserve">Синдеев Виктор Сергеевич </t>
  </si>
  <si>
    <t>-. Танцура Сергей</t>
  </si>
  <si>
    <t>7,0</t>
  </si>
  <si>
    <t>2. Новиков Игорь</t>
  </si>
  <si>
    <t>102,5</t>
  </si>
  <si>
    <t>22,0</t>
  </si>
  <si>
    <t xml:space="preserve">Gloss </t>
  </si>
  <si>
    <t>2255,0</t>
  </si>
  <si>
    <t>1304,5174</t>
  </si>
  <si>
    <t>1040,0</t>
  </si>
  <si>
    <t>687,6480</t>
  </si>
  <si>
    <t>ВЕСОВАЯ КАТЕГОРИЯ   52</t>
  </si>
  <si>
    <t>1. Костин Андрей</t>
  </si>
  <si>
    <t>14,0</t>
  </si>
  <si>
    <t>2. Братьков Станислав</t>
  </si>
  <si>
    <t>62,5</t>
  </si>
  <si>
    <t>11,0</t>
  </si>
  <si>
    <t>1. Далгатов Тагир</t>
  </si>
  <si>
    <t>10,0</t>
  </si>
  <si>
    <t>1. Калантай Дмитрий</t>
  </si>
  <si>
    <t>31,0</t>
  </si>
  <si>
    <t>2. Прокопишин Юрий</t>
  </si>
  <si>
    <t>25,0</t>
  </si>
  <si>
    <t>3. Пивнов Владимир</t>
  </si>
  <si>
    <t>4. Саакян Давид</t>
  </si>
  <si>
    <t>16,0</t>
  </si>
  <si>
    <t>15,0</t>
  </si>
  <si>
    <t>7. Труханов Михаил</t>
  </si>
  <si>
    <t>8,0</t>
  </si>
  <si>
    <t>-. Орехов Василий</t>
  </si>
  <si>
    <t>1,0</t>
  </si>
  <si>
    <t>-. Антипов Роман</t>
  </si>
  <si>
    <t>3. Владимиров Роман</t>
  </si>
  <si>
    <t>18,0</t>
  </si>
  <si>
    <t>4. Першуков Андрей</t>
  </si>
  <si>
    <t>5. Родионов Игорь</t>
  </si>
  <si>
    <t>17,0</t>
  </si>
  <si>
    <t>2. Кондриков Евгений</t>
  </si>
  <si>
    <t>97,5</t>
  </si>
  <si>
    <t>12,0</t>
  </si>
  <si>
    <t>2557,5</t>
  </si>
  <si>
    <t>1660,4568</t>
  </si>
  <si>
    <t>2062,5</t>
  </si>
  <si>
    <t>1344,4406</t>
  </si>
  <si>
    <t>1937,5</t>
  </si>
  <si>
    <t>1305,1969</t>
  </si>
  <si>
    <t>2422,5</t>
  </si>
  <si>
    <t>1284,9546</t>
  </si>
  <si>
    <t>1530,0</t>
  </si>
  <si>
    <t>968,6430</t>
  </si>
  <si>
    <t>1572,5</t>
  </si>
  <si>
    <t>954,1930</t>
  </si>
  <si>
    <t>1360,0</t>
  </si>
  <si>
    <t>864,7560</t>
  </si>
  <si>
    <t>1320,0</t>
  </si>
  <si>
    <t>861,1020</t>
  </si>
  <si>
    <t>1280,0</t>
  </si>
  <si>
    <t>852,9920</t>
  </si>
  <si>
    <t>1237,5</t>
  </si>
  <si>
    <t>811,3669</t>
  </si>
  <si>
    <t>945,0</t>
  </si>
  <si>
    <t>714,5145</t>
  </si>
  <si>
    <t>1105,0</t>
  </si>
  <si>
    <t>702,1170</t>
  </si>
  <si>
    <t>52</t>
  </si>
  <si>
    <t>682,5</t>
  </si>
  <si>
    <t>669,5666</t>
  </si>
  <si>
    <t>975,0</t>
  </si>
  <si>
    <t>577,7362</t>
  </si>
  <si>
    <t>687,5</t>
  </si>
  <si>
    <t>550,8594</t>
  </si>
  <si>
    <t>660,0</t>
  </si>
  <si>
    <t>429,5280</t>
  </si>
  <si>
    <t>1972,1526</t>
  </si>
  <si>
    <t>1503,8082</t>
  </si>
  <si>
    <t>1200,0</t>
  </si>
  <si>
    <t>917,2914</t>
  </si>
  <si>
    <t xml:space="preserve">Ветераны 40 - 44 </t>
  </si>
  <si>
    <t>725,0</t>
  </si>
  <si>
    <t>531,9780</t>
  </si>
  <si>
    <t>240,0</t>
  </si>
  <si>
    <t>239,9280</t>
  </si>
  <si>
    <t>267,0399</t>
  </si>
  <si>
    <t>Турнир "Кубок Победы" 
посвященный 75-летию Победы 
в Великой Отечественной войне 1941-1945
WPF Многоповторный жим лежа (1 вес)
Москва 26 сентября 2020 г.</t>
  </si>
  <si>
    <t>Турнир "Кубок Победы" 
посвященный 75-летию Победы 
в Великой Отечественной войне 1941-1945
WPF с ДК Многоповторный жим лежа (1/2 вес)
Москва 26 сентября 2020 г.</t>
  </si>
  <si>
    <t>Турнир "Кубок Победы" 
посвященный 75-летию Победы 
в Великой Отечественной войне 1941-1945
WPF с ДК Многоповторный жим лежа (1 вес)
Москва 26 сентября 2020 г.</t>
  </si>
  <si>
    <t>Турнир "Кубок Победы" 
посвященный 75-летию Победы 
в Великой Отечественной войне 1941-1945
WPF с ДК Жим лежа безэкипировочный
Москва 26 сентября 2020 г.</t>
  </si>
  <si>
    <t>Турнир "Кубок Победы" 
посвященный 75-летию Победы 
в Великой Отечественной войне 1941-1945
WPF Жим лежа безэкипировочный
Москва 26 сентября 2020 г.</t>
  </si>
  <si>
    <t>Многоповторный жим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</si>
</sst>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left"/>
    </xf>
    <xf numFmtId="49" fontId="6" fillId="0" borderId="7" xfId="0" applyNumberFormat="1" applyFont="1" applyFill="1" applyBorder="1" applyAlignment="1">
      <alignment horizontal="center"/>
    </xf>
    <xf numFmtId="49" fontId="0" fillId="0" borderId="7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7" xfId="0" applyNumberFormat="1" applyFont="1" applyFill="1" applyBorder="1" applyAlignment="1">
      <alignment horizontal="left"/>
    </xf>
    <xf numFmtId="49" fontId="1" fillId="0" borderId="7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left"/>
    </xf>
    <xf numFmtId="49" fontId="6" fillId="0" borderId="11" xfId="0" applyNumberFormat="1" applyFon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left"/>
    </xf>
    <xf numFmtId="49" fontId="6" fillId="0" borderId="12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M20"/>
  <sheetViews>
    <sheetView tabSelected="1" workbookViewId="0">
      <selection activeCell="S6" sqref="S6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17.28515625" style="4" bestFit="1" customWidth="1"/>
    <col min="7" max="9" width="5.5703125" style="3" customWidth="1"/>
    <col min="10" max="10" width="4.85546875" style="3" customWidth="1"/>
    <col min="11" max="11" width="12.42578125" style="1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40" t="s">
        <v>412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138.75" customHeight="1" x14ac:dyDescent="0.2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 x14ac:dyDescent="0.2">
      <c r="A3" s="46" t="s">
        <v>0</v>
      </c>
      <c r="B3" s="48" t="s">
        <v>5</v>
      </c>
      <c r="C3" s="48" t="s">
        <v>9</v>
      </c>
      <c r="D3" s="34" t="s">
        <v>10</v>
      </c>
      <c r="E3" s="34" t="s">
        <v>3</v>
      </c>
      <c r="F3" s="34" t="s">
        <v>6</v>
      </c>
      <c r="G3" s="34" t="s">
        <v>11</v>
      </c>
      <c r="H3" s="34"/>
      <c r="I3" s="34"/>
      <c r="J3" s="34"/>
      <c r="K3" s="34" t="s">
        <v>37</v>
      </c>
      <c r="L3" s="34" t="s">
        <v>2</v>
      </c>
      <c r="M3" s="36" t="s">
        <v>1</v>
      </c>
    </row>
    <row r="4" spans="1:13" s="1" customFormat="1" ht="21" customHeight="1" thickBot="1" x14ac:dyDescent="0.25">
      <c r="A4" s="47"/>
      <c r="B4" s="35"/>
      <c r="C4" s="35"/>
      <c r="D4" s="35"/>
      <c r="E4" s="35"/>
      <c r="F4" s="35"/>
      <c r="G4" s="5">
        <v>1</v>
      </c>
      <c r="H4" s="5">
        <v>2</v>
      </c>
      <c r="I4" s="5">
        <v>3</v>
      </c>
      <c r="J4" s="5" t="s">
        <v>4</v>
      </c>
      <c r="K4" s="35"/>
      <c r="L4" s="35"/>
      <c r="M4" s="37"/>
    </row>
    <row r="5" spans="1:13" ht="15" x14ac:dyDescent="0.2">
      <c r="A5" s="38" t="s">
        <v>12</v>
      </c>
      <c r="B5" s="39"/>
      <c r="C5" s="39"/>
      <c r="D5" s="39"/>
      <c r="E5" s="39"/>
      <c r="F5" s="39"/>
      <c r="G5" s="39"/>
      <c r="H5" s="39"/>
      <c r="I5" s="39"/>
      <c r="J5" s="39"/>
    </row>
    <row r="6" spans="1:13" x14ac:dyDescent="0.2">
      <c r="A6" s="7" t="s">
        <v>14</v>
      </c>
      <c r="B6" s="7" t="s">
        <v>15</v>
      </c>
      <c r="C6" s="7" t="s">
        <v>16</v>
      </c>
      <c r="D6" s="7" t="str">
        <f>"0,6057"</f>
        <v>0,6057</v>
      </c>
      <c r="E6" s="7" t="s">
        <v>17</v>
      </c>
      <c r="F6" s="7" t="s">
        <v>18</v>
      </c>
      <c r="G6" s="9" t="s">
        <v>19</v>
      </c>
      <c r="H6" s="8" t="s">
        <v>20</v>
      </c>
      <c r="I6" s="9" t="s">
        <v>20</v>
      </c>
      <c r="J6" s="8"/>
      <c r="K6" s="12" t="str">
        <f>"170,0"</f>
        <v>170,0</v>
      </c>
      <c r="L6" s="13" t="str">
        <f>"102,9690"</f>
        <v>102,9690</v>
      </c>
      <c r="M6" s="7" t="s">
        <v>21</v>
      </c>
    </row>
    <row r="8" spans="1:13" ht="15" x14ac:dyDescent="0.2">
      <c r="E8" s="10" t="s">
        <v>22</v>
      </c>
    </row>
    <row r="9" spans="1:13" ht="15" x14ac:dyDescent="0.2">
      <c r="E9" s="10" t="s">
        <v>23</v>
      </c>
    </row>
    <row r="10" spans="1:13" ht="15" x14ac:dyDescent="0.2">
      <c r="E10" s="10" t="s">
        <v>24</v>
      </c>
    </row>
    <row r="11" spans="1:13" ht="15" x14ac:dyDescent="0.2">
      <c r="E11" s="10" t="s">
        <v>25</v>
      </c>
    </row>
    <row r="12" spans="1:13" ht="15" x14ac:dyDescent="0.2">
      <c r="E12" s="10" t="s">
        <v>25</v>
      </c>
    </row>
    <row r="13" spans="1:13" ht="15" x14ac:dyDescent="0.2">
      <c r="E13" s="10" t="s">
        <v>26</v>
      </c>
    </row>
    <row r="14" spans="1:13" ht="15" x14ac:dyDescent="0.2">
      <c r="E14" s="10"/>
    </row>
    <row r="16" spans="1:13" ht="18" x14ac:dyDescent="0.25">
      <c r="A16" s="14" t="s">
        <v>27</v>
      </c>
      <c r="B16" s="14"/>
    </row>
    <row r="17" spans="1:5" ht="15" x14ac:dyDescent="0.2">
      <c r="A17" s="15" t="s">
        <v>28</v>
      </c>
      <c r="B17" s="15"/>
    </row>
    <row r="18" spans="1:5" ht="14.25" x14ac:dyDescent="0.2">
      <c r="A18" s="17"/>
      <c r="B18" s="18" t="s">
        <v>29</v>
      </c>
    </row>
    <row r="19" spans="1:5" ht="15" x14ac:dyDescent="0.2">
      <c r="A19" s="6" t="s">
        <v>30</v>
      </c>
      <c r="B19" s="6" t="s">
        <v>31</v>
      </c>
      <c r="C19" s="6" t="s">
        <v>32</v>
      </c>
      <c r="D19" s="6" t="s">
        <v>33</v>
      </c>
      <c r="E19" s="6" t="s">
        <v>34</v>
      </c>
    </row>
    <row r="20" spans="1:5" x14ac:dyDescent="0.2">
      <c r="A20" s="16" t="s">
        <v>13</v>
      </c>
      <c r="B20" s="4" t="s">
        <v>29</v>
      </c>
      <c r="C20" s="4" t="s">
        <v>35</v>
      </c>
      <c r="D20" s="4" t="s">
        <v>20</v>
      </c>
      <c r="E20" s="11" t="s">
        <v>36</v>
      </c>
    </row>
  </sheetData>
  <mergeCells count="12">
    <mergeCell ref="A5:J5"/>
    <mergeCell ref="D3:D4"/>
    <mergeCell ref="K3:K4"/>
    <mergeCell ref="L3:L4"/>
    <mergeCell ref="A1:M2"/>
    <mergeCell ref="G3:J3"/>
    <mergeCell ref="A3:A4"/>
    <mergeCell ref="B3:B4"/>
    <mergeCell ref="C3:C4"/>
    <mergeCell ref="M3:M4"/>
    <mergeCell ref="F3:F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H20" sqref="H20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17.28515625" style="4" bestFit="1" customWidth="1"/>
    <col min="7" max="7" width="9" style="3" customWidth="1"/>
    <col min="8" max="8" width="16.7109375" style="3" customWidth="1"/>
    <col min="9" max="9" width="12.7109375" style="11" customWidth="1"/>
    <col min="10" max="10" width="9.5703125" style="2" bestFit="1" customWidth="1"/>
    <col min="11" max="11" width="25.5703125" style="4" bestFit="1" customWidth="1"/>
    <col min="12" max="16384" width="9.140625" style="3"/>
  </cols>
  <sheetData>
    <row r="1" spans="1:11" s="2" customFormat="1" ht="29.1" customHeight="1" x14ac:dyDescent="0.2">
      <c r="A1" s="40" t="s">
        <v>408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2" customFormat="1" ht="153" customHeight="1" x14ac:dyDescent="0.2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 x14ac:dyDescent="0.2">
      <c r="A3" s="46" t="s">
        <v>0</v>
      </c>
      <c r="B3" s="48" t="s">
        <v>5</v>
      </c>
      <c r="C3" s="48" t="s">
        <v>9</v>
      </c>
      <c r="D3" s="34" t="s">
        <v>319</v>
      </c>
      <c r="E3" s="34" t="s">
        <v>3</v>
      </c>
      <c r="F3" s="34" t="s">
        <v>6</v>
      </c>
      <c r="G3" s="34" t="s">
        <v>413</v>
      </c>
      <c r="H3" s="34"/>
      <c r="I3" s="34" t="s">
        <v>37</v>
      </c>
      <c r="J3" s="34" t="s">
        <v>2</v>
      </c>
      <c r="K3" s="36" t="s">
        <v>1</v>
      </c>
    </row>
    <row r="4" spans="1:11" s="1" customFormat="1" ht="21" customHeight="1" thickBot="1" x14ac:dyDescent="0.25">
      <c r="A4" s="47"/>
      <c r="B4" s="35"/>
      <c r="C4" s="35"/>
      <c r="D4" s="35"/>
      <c r="E4" s="35"/>
      <c r="F4" s="35"/>
      <c r="G4" s="5" t="s">
        <v>7</v>
      </c>
      <c r="H4" s="5" t="s">
        <v>8</v>
      </c>
      <c r="I4" s="35"/>
      <c r="J4" s="35"/>
      <c r="K4" s="37"/>
    </row>
    <row r="5" spans="1:11" ht="15" x14ac:dyDescent="0.2">
      <c r="A5" s="38" t="s">
        <v>115</v>
      </c>
      <c r="B5" s="39"/>
      <c r="C5" s="39"/>
      <c r="D5" s="39"/>
      <c r="E5" s="39"/>
      <c r="F5" s="39"/>
      <c r="G5" s="39"/>
      <c r="H5" s="39"/>
    </row>
    <row r="6" spans="1:11" x14ac:dyDescent="0.2">
      <c r="A6" s="7" t="s">
        <v>321</v>
      </c>
      <c r="B6" s="7" t="s">
        <v>322</v>
      </c>
      <c r="C6" s="7" t="s">
        <v>323</v>
      </c>
      <c r="D6" s="7" t="str">
        <f>"0,6612"</f>
        <v>0,6612</v>
      </c>
      <c r="E6" s="7" t="s">
        <v>17</v>
      </c>
      <c r="F6" s="7" t="s">
        <v>18</v>
      </c>
      <c r="G6" s="9" t="s">
        <v>81</v>
      </c>
      <c r="H6" s="9" t="s">
        <v>324</v>
      </c>
      <c r="I6" s="12" t="str">
        <f>"1040,0"</f>
        <v>1040,0</v>
      </c>
      <c r="J6" s="13" t="str">
        <f>"687,6480"</f>
        <v>687,6480</v>
      </c>
      <c r="K6" s="7" t="s">
        <v>325</v>
      </c>
    </row>
    <row r="8" spans="1:11" ht="15" x14ac:dyDescent="0.2">
      <c r="A8" s="49" t="s">
        <v>12</v>
      </c>
      <c r="B8" s="49"/>
      <c r="C8" s="49"/>
      <c r="D8" s="49"/>
      <c r="E8" s="49"/>
      <c r="F8" s="49"/>
      <c r="G8" s="49"/>
      <c r="H8" s="49"/>
    </row>
    <row r="9" spans="1:11" x14ac:dyDescent="0.2">
      <c r="A9" s="19" t="s">
        <v>326</v>
      </c>
      <c r="B9" s="19" t="s">
        <v>253</v>
      </c>
      <c r="C9" s="19" t="s">
        <v>254</v>
      </c>
      <c r="D9" s="19" t="str">
        <f>"0,5750"</f>
        <v>0,5750</v>
      </c>
      <c r="E9" s="19" t="s">
        <v>17</v>
      </c>
      <c r="F9" s="19" t="s">
        <v>18</v>
      </c>
      <c r="G9" s="21" t="s">
        <v>163</v>
      </c>
      <c r="H9" s="21" t="s">
        <v>327</v>
      </c>
      <c r="I9" s="28" t="str">
        <f>"0.00"</f>
        <v>0.00</v>
      </c>
      <c r="J9" s="29" t="str">
        <f>"0,0000"</f>
        <v>0,0000</v>
      </c>
      <c r="K9" s="19" t="s">
        <v>256</v>
      </c>
    </row>
    <row r="10" spans="1:11" x14ac:dyDescent="0.2">
      <c r="A10" s="22" t="s">
        <v>328</v>
      </c>
      <c r="B10" s="22" t="s">
        <v>15</v>
      </c>
      <c r="C10" s="22" t="s">
        <v>16</v>
      </c>
      <c r="D10" s="22" t="str">
        <f>"0,5785"</f>
        <v>0,5785</v>
      </c>
      <c r="E10" s="22" t="s">
        <v>17</v>
      </c>
      <c r="F10" s="22" t="s">
        <v>18</v>
      </c>
      <c r="G10" s="24" t="s">
        <v>329</v>
      </c>
      <c r="H10" s="24" t="s">
        <v>330</v>
      </c>
      <c r="I10" s="30" t="str">
        <f>"2255,0"</f>
        <v>2255,0</v>
      </c>
      <c r="J10" s="31" t="str">
        <f>"1304,5174"</f>
        <v>1304,5174</v>
      </c>
      <c r="K10" s="22" t="s">
        <v>21</v>
      </c>
    </row>
    <row r="12" spans="1:11" ht="15" x14ac:dyDescent="0.2">
      <c r="E12" s="10" t="s">
        <v>22</v>
      </c>
    </row>
    <row r="13" spans="1:11" ht="15" x14ac:dyDescent="0.2">
      <c r="E13" s="10" t="s">
        <v>23</v>
      </c>
    </row>
    <row r="14" spans="1:11" ht="15" x14ac:dyDescent="0.2">
      <c r="E14" s="10" t="s">
        <v>24</v>
      </c>
    </row>
    <row r="15" spans="1:11" ht="15" x14ac:dyDescent="0.2">
      <c r="E15" s="10" t="s">
        <v>25</v>
      </c>
    </row>
    <row r="16" spans="1:11" ht="15" x14ac:dyDescent="0.2">
      <c r="E16" s="10" t="s">
        <v>25</v>
      </c>
    </row>
    <row r="17" spans="1:5" ht="15" x14ac:dyDescent="0.2">
      <c r="E17" s="10" t="s">
        <v>26</v>
      </c>
    </row>
    <row r="18" spans="1:5" ht="15" x14ac:dyDescent="0.2">
      <c r="E18" s="10"/>
    </row>
    <row r="20" spans="1:5" ht="18" x14ac:dyDescent="0.25">
      <c r="A20" s="14" t="s">
        <v>27</v>
      </c>
      <c r="B20" s="14"/>
    </row>
    <row r="21" spans="1:5" ht="15" x14ac:dyDescent="0.2">
      <c r="A21" s="15" t="s">
        <v>28</v>
      </c>
      <c r="B21" s="15"/>
    </row>
    <row r="22" spans="1:5" ht="14.25" x14ac:dyDescent="0.2">
      <c r="A22" s="17"/>
      <c r="B22" s="18" t="s">
        <v>29</v>
      </c>
    </row>
    <row r="23" spans="1:5" ht="15" x14ac:dyDescent="0.2">
      <c r="A23" s="6" t="s">
        <v>30</v>
      </c>
      <c r="B23" s="6" t="s">
        <v>31</v>
      </c>
      <c r="C23" s="6" t="s">
        <v>32</v>
      </c>
      <c r="D23" s="6" t="s">
        <v>33</v>
      </c>
      <c r="E23" s="6" t="s">
        <v>331</v>
      </c>
    </row>
    <row r="24" spans="1:5" x14ac:dyDescent="0.2">
      <c r="A24" s="16" t="s">
        <v>13</v>
      </c>
      <c r="B24" s="4" t="s">
        <v>29</v>
      </c>
      <c r="C24" s="4" t="s">
        <v>35</v>
      </c>
      <c r="D24" s="4" t="s">
        <v>332</v>
      </c>
      <c r="E24" s="11" t="s">
        <v>333</v>
      </c>
    </row>
    <row r="25" spans="1:5" x14ac:dyDescent="0.2">
      <c r="A25" s="16" t="s">
        <v>320</v>
      </c>
      <c r="B25" s="4" t="s">
        <v>29</v>
      </c>
      <c r="C25" s="4" t="s">
        <v>287</v>
      </c>
      <c r="D25" s="4" t="s">
        <v>334</v>
      </c>
      <c r="E25" s="11" t="s">
        <v>335</v>
      </c>
    </row>
  </sheetData>
  <mergeCells count="13">
    <mergeCell ref="A1:K2"/>
    <mergeCell ref="A3:A4"/>
    <mergeCell ref="B3:B4"/>
    <mergeCell ref="C3:C4"/>
    <mergeCell ref="D3:D4"/>
    <mergeCell ref="E3:E4"/>
    <mergeCell ref="F3:F4"/>
    <mergeCell ref="A8:H8"/>
    <mergeCell ref="G3:H3"/>
    <mergeCell ref="I3:I4"/>
    <mergeCell ref="J3:J4"/>
    <mergeCell ref="K3:K4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workbookViewId="0">
      <selection activeCell="O22" sqref="O22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17.28515625" style="4" bestFit="1" customWidth="1"/>
    <col min="7" max="9" width="5.5703125" style="3" customWidth="1"/>
    <col min="10" max="10" width="4.85546875" style="3" customWidth="1"/>
    <col min="11" max="11" width="12.140625" style="11" customWidth="1"/>
    <col min="12" max="12" width="8.5703125" style="2" bestFit="1" customWidth="1"/>
    <col min="13" max="13" width="28.7109375" style="4" bestFit="1" customWidth="1"/>
    <col min="14" max="16384" width="9.140625" style="3"/>
  </cols>
  <sheetData>
    <row r="1" spans="1:13" s="2" customFormat="1" ht="29.1" customHeight="1" x14ac:dyDescent="0.2">
      <c r="A1" s="40" t="s">
        <v>411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139.5" customHeight="1" x14ac:dyDescent="0.2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 x14ac:dyDescent="0.2">
      <c r="A3" s="46" t="s">
        <v>0</v>
      </c>
      <c r="B3" s="48" t="s">
        <v>5</v>
      </c>
      <c r="C3" s="48" t="s">
        <v>9</v>
      </c>
      <c r="D3" s="34" t="s">
        <v>10</v>
      </c>
      <c r="E3" s="34" t="s">
        <v>3</v>
      </c>
      <c r="F3" s="34" t="s">
        <v>6</v>
      </c>
      <c r="G3" s="34" t="s">
        <v>11</v>
      </c>
      <c r="H3" s="34"/>
      <c r="I3" s="34"/>
      <c r="J3" s="34"/>
      <c r="K3" s="34" t="s">
        <v>37</v>
      </c>
      <c r="L3" s="34" t="s">
        <v>2</v>
      </c>
      <c r="M3" s="36" t="s">
        <v>1</v>
      </c>
    </row>
    <row r="4" spans="1:13" s="1" customFormat="1" ht="21" customHeight="1" thickBot="1" x14ac:dyDescent="0.25">
      <c r="A4" s="47"/>
      <c r="B4" s="35"/>
      <c r="C4" s="35"/>
      <c r="D4" s="35"/>
      <c r="E4" s="35"/>
      <c r="F4" s="35"/>
      <c r="G4" s="5">
        <v>1</v>
      </c>
      <c r="H4" s="5">
        <v>2</v>
      </c>
      <c r="I4" s="5">
        <v>3</v>
      </c>
      <c r="J4" s="5" t="s">
        <v>4</v>
      </c>
      <c r="K4" s="35"/>
      <c r="L4" s="35"/>
      <c r="M4" s="37"/>
    </row>
    <row r="5" spans="1:13" ht="15" x14ac:dyDescent="0.2">
      <c r="A5" s="38" t="s">
        <v>38</v>
      </c>
      <c r="B5" s="39"/>
      <c r="C5" s="39"/>
      <c r="D5" s="39"/>
      <c r="E5" s="39"/>
      <c r="F5" s="39"/>
      <c r="G5" s="39"/>
      <c r="H5" s="39"/>
      <c r="I5" s="39"/>
      <c r="J5" s="39"/>
    </row>
    <row r="6" spans="1:13" x14ac:dyDescent="0.2">
      <c r="A6" s="19" t="s">
        <v>40</v>
      </c>
      <c r="B6" s="19" t="s">
        <v>41</v>
      </c>
      <c r="C6" s="19" t="s">
        <v>42</v>
      </c>
      <c r="D6" s="19" t="str">
        <f>"1,1281"</f>
        <v>1,1281</v>
      </c>
      <c r="E6" s="19" t="s">
        <v>17</v>
      </c>
      <c r="F6" s="19" t="s">
        <v>18</v>
      </c>
      <c r="G6" s="21" t="s">
        <v>43</v>
      </c>
      <c r="H6" s="21" t="s">
        <v>44</v>
      </c>
      <c r="I6" s="21" t="s">
        <v>45</v>
      </c>
      <c r="J6" s="20"/>
      <c r="K6" s="28" t="str">
        <f>"35,0"</f>
        <v>35,0</v>
      </c>
      <c r="L6" s="29" t="str">
        <f>"39,4835"</f>
        <v>39,4835</v>
      </c>
      <c r="M6" s="19" t="s">
        <v>46</v>
      </c>
    </row>
    <row r="7" spans="1:13" x14ac:dyDescent="0.2">
      <c r="A7" s="22" t="s">
        <v>40</v>
      </c>
      <c r="B7" s="22" t="s">
        <v>47</v>
      </c>
      <c r="C7" s="22" t="s">
        <v>42</v>
      </c>
      <c r="D7" s="22" t="str">
        <f>"1,1281"</f>
        <v>1,1281</v>
      </c>
      <c r="E7" s="22" t="s">
        <v>17</v>
      </c>
      <c r="F7" s="22" t="s">
        <v>18</v>
      </c>
      <c r="G7" s="24" t="s">
        <v>43</v>
      </c>
      <c r="H7" s="24" t="s">
        <v>44</v>
      </c>
      <c r="I7" s="24" t="s">
        <v>45</v>
      </c>
      <c r="J7" s="23"/>
      <c r="K7" s="30" t="str">
        <f>"35,0"</f>
        <v>35,0</v>
      </c>
      <c r="L7" s="31" t="str">
        <f>"43,9451"</f>
        <v>43,9451</v>
      </c>
      <c r="M7" s="22" t="s">
        <v>46</v>
      </c>
    </row>
    <row r="9" spans="1:13" ht="15" x14ac:dyDescent="0.2">
      <c r="A9" s="49" t="s">
        <v>48</v>
      </c>
      <c r="B9" s="49"/>
      <c r="C9" s="49"/>
      <c r="D9" s="49"/>
      <c r="E9" s="49"/>
      <c r="F9" s="49"/>
      <c r="G9" s="49"/>
      <c r="H9" s="49"/>
      <c r="I9" s="49"/>
      <c r="J9" s="49"/>
    </row>
    <row r="10" spans="1:13" x14ac:dyDescent="0.2">
      <c r="A10" s="19" t="s">
        <v>50</v>
      </c>
      <c r="B10" s="19" t="s">
        <v>51</v>
      </c>
      <c r="C10" s="19" t="s">
        <v>52</v>
      </c>
      <c r="D10" s="19" t="str">
        <f>"0,8724"</f>
        <v>0,8724</v>
      </c>
      <c r="E10" s="19" t="s">
        <v>17</v>
      </c>
      <c r="F10" s="19" t="s">
        <v>18</v>
      </c>
      <c r="G10" s="21" t="s">
        <v>45</v>
      </c>
      <c r="H10" s="20" t="s">
        <v>53</v>
      </c>
      <c r="I10" s="21" t="s">
        <v>53</v>
      </c>
      <c r="J10" s="20"/>
      <c r="K10" s="28" t="str">
        <f>"40,0"</f>
        <v>40,0</v>
      </c>
      <c r="L10" s="29" t="str">
        <f>"34,8960"</f>
        <v>34,8960</v>
      </c>
      <c r="M10" s="19" t="s">
        <v>54</v>
      </c>
    </row>
    <row r="11" spans="1:13" x14ac:dyDescent="0.2">
      <c r="A11" s="25" t="s">
        <v>56</v>
      </c>
      <c r="B11" s="25" t="s">
        <v>57</v>
      </c>
      <c r="C11" s="25" t="s">
        <v>58</v>
      </c>
      <c r="D11" s="25" t="str">
        <f>"0,8923"</f>
        <v>0,8923</v>
      </c>
      <c r="E11" s="25" t="s">
        <v>17</v>
      </c>
      <c r="F11" s="25" t="s">
        <v>18</v>
      </c>
      <c r="G11" s="27" t="s">
        <v>44</v>
      </c>
      <c r="H11" s="26" t="s">
        <v>45</v>
      </c>
      <c r="I11" s="26" t="s">
        <v>45</v>
      </c>
      <c r="J11" s="26"/>
      <c r="K11" s="32" t="str">
        <f>"32,5"</f>
        <v>32,5</v>
      </c>
      <c r="L11" s="33" t="str">
        <f>"28,9998"</f>
        <v>28,9998</v>
      </c>
      <c r="M11" s="25" t="s">
        <v>59</v>
      </c>
    </row>
    <row r="12" spans="1:13" x14ac:dyDescent="0.2">
      <c r="A12" s="25" t="s">
        <v>50</v>
      </c>
      <c r="B12" s="25" t="s">
        <v>60</v>
      </c>
      <c r="C12" s="25" t="s">
        <v>52</v>
      </c>
      <c r="D12" s="25" t="str">
        <f>"0,8724"</f>
        <v>0,8724</v>
      </c>
      <c r="E12" s="25" t="s">
        <v>17</v>
      </c>
      <c r="F12" s="25" t="s">
        <v>18</v>
      </c>
      <c r="G12" s="27" t="s">
        <v>45</v>
      </c>
      <c r="H12" s="26" t="s">
        <v>53</v>
      </c>
      <c r="I12" s="27" t="s">
        <v>53</v>
      </c>
      <c r="J12" s="26"/>
      <c r="K12" s="32" t="str">
        <f>"40,0"</f>
        <v>40,0</v>
      </c>
      <c r="L12" s="33" t="str">
        <f>"41,3169"</f>
        <v>41,3169</v>
      </c>
      <c r="M12" s="25" t="s">
        <v>54</v>
      </c>
    </row>
    <row r="13" spans="1:13" x14ac:dyDescent="0.2">
      <c r="A13" s="22" t="s">
        <v>56</v>
      </c>
      <c r="B13" s="22" t="s">
        <v>61</v>
      </c>
      <c r="C13" s="22" t="s">
        <v>58</v>
      </c>
      <c r="D13" s="22" t="str">
        <f>"0,8923"</f>
        <v>0,8923</v>
      </c>
      <c r="E13" s="22" t="s">
        <v>17</v>
      </c>
      <c r="F13" s="22" t="s">
        <v>18</v>
      </c>
      <c r="G13" s="24" t="s">
        <v>44</v>
      </c>
      <c r="H13" s="23" t="s">
        <v>45</v>
      </c>
      <c r="I13" s="23" t="s">
        <v>45</v>
      </c>
      <c r="J13" s="23"/>
      <c r="K13" s="30" t="str">
        <f>"32,5"</f>
        <v>32,5</v>
      </c>
      <c r="L13" s="31" t="str">
        <f>"33,7847"</f>
        <v>33,7847</v>
      </c>
      <c r="M13" s="22" t="s">
        <v>59</v>
      </c>
    </row>
    <row r="15" spans="1:13" ht="15" x14ac:dyDescent="0.2">
      <c r="A15" s="49" t="s">
        <v>62</v>
      </c>
      <c r="B15" s="49"/>
      <c r="C15" s="49"/>
      <c r="D15" s="49"/>
      <c r="E15" s="49"/>
      <c r="F15" s="49"/>
      <c r="G15" s="49"/>
      <c r="H15" s="49"/>
      <c r="I15" s="49"/>
      <c r="J15" s="49"/>
    </row>
    <row r="16" spans="1:13" x14ac:dyDescent="0.2">
      <c r="A16" s="19" t="s">
        <v>64</v>
      </c>
      <c r="B16" s="19" t="s">
        <v>65</v>
      </c>
      <c r="C16" s="19" t="s">
        <v>66</v>
      </c>
      <c r="D16" s="19" t="str">
        <f>"0,9421"</f>
        <v>0,9421</v>
      </c>
      <c r="E16" s="19" t="s">
        <v>17</v>
      </c>
      <c r="F16" s="19" t="s">
        <v>18</v>
      </c>
      <c r="G16" s="20" t="s">
        <v>67</v>
      </c>
      <c r="H16" s="21" t="s">
        <v>67</v>
      </c>
      <c r="I16" s="21" t="s">
        <v>68</v>
      </c>
      <c r="J16" s="20"/>
      <c r="K16" s="28" t="str">
        <f>"77,5"</f>
        <v>77,5</v>
      </c>
      <c r="L16" s="29" t="str">
        <f>"73,0127"</f>
        <v>73,0127</v>
      </c>
      <c r="M16" s="19" t="s">
        <v>69</v>
      </c>
    </row>
    <row r="17" spans="1:13" x14ac:dyDescent="0.2">
      <c r="A17" s="22" t="s">
        <v>71</v>
      </c>
      <c r="B17" s="22" t="s">
        <v>72</v>
      </c>
      <c r="C17" s="22" t="s">
        <v>73</v>
      </c>
      <c r="D17" s="22" t="str">
        <f>"0,9954"</f>
        <v>0,9954</v>
      </c>
      <c r="E17" s="22" t="s">
        <v>17</v>
      </c>
      <c r="F17" s="22" t="s">
        <v>18</v>
      </c>
      <c r="G17" s="23" t="s">
        <v>67</v>
      </c>
      <c r="H17" s="23" t="s">
        <v>67</v>
      </c>
      <c r="I17" s="23" t="s">
        <v>67</v>
      </c>
      <c r="J17" s="23"/>
      <c r="K17" s="30" t="str">
        <f>"0.00"</f>
        <v>0.00</v>
      </c>
      <c r="L17" s="31" t="str">
        <f>"0,0000"</f>
        <v>0,0000</v>
      </c>
      <c r="M17" s="22" t="s">
        <v>74</v>
      </c>
    </row>
    <row r="19" spans="1:13" ht="15" x14ac:dyDescent="0.2">
      <c r="A19" s="49" t="s">
        <v>75</v>
      </c>
      <c r="B19" s="49"/>
      <c r="C19" s="49"/>
      <c r="D19" s="49"/>
      <c r="E19" s="49"/>
      <c r="F19" s="49"/>
      <c r="G19" s="49"/>
      <c r="H19" s="49"/>
      <c r="I19" s="49"/>
      <c r="J19" s="49"/>
    </row>
    <row r="20" spans="1:13" x14ac:dyDescent="0.2">
      <c r="A20" s="19" t="s">
        <v>77</v>
      </c>
      <c r="B20" s="19" t="s">
        <v>78</v>
      </c>
      <c r="C20" s="19" t="s">
        <v>79</v>
      </c>
      <c r="D20" s="19" t="str">
        <f>"0,7785"</f>
        <v>0,7785</v>
      </c>
      <c r="E20" s="19" t="s">
        <v>17</v>
      </c>
      <c r="F20" s="19" t="s">
        <v>18</v>
      </c>
      <c r="G20" s="21" t="s">
        <v>80</v>
      </c>
      <c r="H20" s="21" t="s">
        <v>81</v>
      </c>
      <c r="I20" s="21" t="s">
        <v>82</v>
      </c>
      <c r="J20" s="20"/>
      <c r="K20" s="28" t="str">
        <f>"87,5"</f>
        <v>87,5</v>
      </c>
      <c r="L20" s="29" t="str">
        <f>"68,1188"</f>
        <v>68,1188</v>
      </c>
      <c r="M20" s="19" t="s">
        <v>59</v>
      </c>
    </row>
    <row r="21" spans="1:13" x14ac:dyDescent="0.2">
      <c r="A21" s="25" t="s">
        <v>84</v>
      </c>
      <c r="B21" s="25" t="s">
        <v>85</v>
      </c>
      <c r="C21" s="25" t="s">
        <v>86</v>
      </c>
      <c r="D21" s="25" t="str">
        <f>"0,7832"</f>
        <v>0,7832</v>
      </c>
      <c r="E21" s="25" t="s">
        <v>17</v>
      </c>
      <c r="F21" s="25" t="s">
        <v>18</v>
      </c>
      <c r="G21" s="27" t="s">
        <v>80</v>
      </c>
      <c r="H21" s="27" t="s">
        <v>87</v>
      </c>
      <c r="I21" s="26" t="s">
        <v>82</v>
      </c>
      <c r="J21" s="26"/>
      <c r="K21" s="32" t="str">
        <f>"82,5"</f>
        <v>82,5</v>
      </c>
      <c r="L21" s="33" t="str">
        <f>"64,6140"</f>
        <v>64,6140</v>
      </c>
      <c r="M21" s="25" t="s">
        <v>88</v>
      </c>
    </row>
    <row r="22" spans="1:13" x14ac:dyDescent="0.2">
      <c r="A22" s="22" t="s">
        <v>90</v>
      </c>
      <c r="B22" s="22" t="s">
        <v>91</v>
      </c>
      <c r="C22" s="22" t="s">
        <v>92</v>
      </c>
      <c r="D22" s="22" t="str">
        <f>"0,8223"</f>
        <v>0,8223</v>
      </c>
      <c r="E22" s="22" t="s">
        <v>17</v>
      </c>
      <c r="F22" s="22" t="s">
        <v>18</v>
      </c>
      <c r="G22" s="24" t="s">
        <v>93</v>
      </c>
      <c r="H22" s="24" t="s">
        <v>94</v>
      </c>
      <c r="I22" s="24" t="s">
        <v>80</v>
      </c>
      <c r="J22" s="23"/>
      <c r="K22" s="30" t="str">
        <f>"75,0"</f>
        <v>75,0</v>
      </c>
      <c r="L22" s="31" t="str">
        <f>"61,6725"</f>
        <v>61,6725</v>
      </c>
      <c r="M22" s="22" t="s">
        <v>95</v>
      </c>
    </row>
    <row r="24" spans="1:13" ht="15" x14ac:dyDescent="0.2">
      <c r="A24" s="49" t="s">
        <v>96</v>
      </c>
      <c r="B24" s="49"/>
      <c r="C24" s="49"/>
      <c r="D24" s="49"/>
      <c r="E24" s="49"/>
      <c r="F24" s="49"/>
      <c r="G24" s="49"/>
      <c r="H24" s="49"/>
      <c r="I24" s="49"/>
      <c r="J24" s="49"/>
    </row>
    <row r="25" spans="1:13" x14ac:dyDescent="0.2">
      <c r="A25" s="19" t="s">
        <v>98</v>
      </c>
      <c r="B25" s="19" t="s">
        <v>99</v>
      </c>
      <c r="C25" s="19" t="s">
        <v>100</v>
      </c>
      <c r="D25" s="19" t="str">
        <f>"0,7256"</f>
        <v>0,7256</v>
      </c>
      <c r="E25" s="19" t="s">
        <v>17</v>
      </c>
      <c r="F25" s="19" t="s">
        <v>18</v>
      </c>
      <c r="G25" s="21" t="s">
        <v>80</v>
      </c>
      <c r="H25" s="21" t="s">
        <v>101</v>
      </c>
      <c r="I25" s="21" t="s">
        <v>102</v>
      </c>
      <c r="J25" s="20"/>
      <c r="K25" s="28" t="str">
        <f>"90,0"</f>
        <v>90,0</v>
      </c>
      <c r="L25" s="29" t="str">
        <f>"65,3040"</f>
        <v>65,3040</v>
      </c>
      <c r="M25" s="19" t="s">
        <v>59</v>
      </c>
    </row>
    <row r="26" spans="1:13" x14ac:dyDescent="0.2">
      <c r="A26" s="25" t="s">
        <v>103</v>
      </c>
      <c r="B26" s="25" t="s">
        <v>104</v>
      </c>
      <c r="C26" s="25" t="s">
        <v>105</v>
      </c>
      <c r="D26" s="25" t="str">
        <f>"0,7647"</f>
        <v>0,7647</v>
      </c>
      <c r="E26" s="25" t="s">
        <v>17</v>
      </c>
      <c r="F26" s="25" t="s">
        <v>18</v>
      </c>
      <c r="G26" s="27" t="s">
        <v>106</v>
      </c>
      <c r="H26" s="27" t="s">
        <v>107</v>
      </c>
      <c r="I26" s="27" t="s">
        <v>108</v>
      </c>
      <c r="J26" s="26"/>
      <c r="K26" s="32" t="str">
        <f>"55,0"</f>
        <v>55,0</v>
      </c>
      <c r="L26" s="33" t="str">
        <f>"42,0585"</f>
        <v>42,0585</v>
      </c>
      <c r="M26" s="25" t="s">
        <v>109</v>
      </c>
    </row>
    <row r="27" spans="1:13" x14ac:dyDescent="0.2">
      <c r="A27" s="22" t="s">
        <v>111</v>
      </c>
      <c r="B27" s="22" t="s">
        <v>112</v>
      </c>
      <c r="C27" s="22" t="s">
        <v>113</v>
      </c>
      <c r="D27" s="22" t="str">
        <f>"0,7352"</f>
        <v>0,7352</v>
      </c>
      <c r="E27" s="22" t="s">
        <v>17</v>
      </c>
      <c r="F27" s="22" t="s">
        <v>18</v>
      </c>
      <c r="G27" s="23" t="s">
        <v>80</v>
      </c>
      <c r="H27" s="23" t="s">
        <v>87</v>
      </c>
      <c r="I27" s="23" t="s">
        <v>87</v>
      </c>
      <c r="J27" s="23"/>
      <c r="K27" s="30" t="str">
        <f>"0.00"</f>
        <v>0.00</v>
      </c>
      <c r="L27" s="31" t="str">
        <f>"0,0000"</f>
        <v>0,0000</v>
      </c>
      <c r="M27" s="22" t="s">
        <v>114</v>
      </c>
    </row>
    <row r="29" spans="1:13" ht="15" x14ac:dyDescent="0.2">
      <c r="A29" s="49" t="s">
        <v>115</v>
      </c>
      <c r="B29" s="49"/>
      <c r="C29" s="49"/>
      <c r="D29" s="49"/>
      <c r="E29" s="49"/>
      <c r="F29" s="49"/>
      <c r="G29" s="49"/>
      <c r="H29" s="49"/>
      <c r="I29" s="49"/>
      <c r="J29" s="49"/>
    </row>
    <row r="30" spans="1:13" x14ac:dyDescent="0.2">
      <c r="A30" s="19" t="s">
        <v>117</v>
      </c>
      <c r="B30" s="19" t="s">
        <v>118</v>
      </c>
      <c r="C30" s="19" t="s">
        <v>119</v>
      </c>
      <c r="D30" s="19" t="str">
        <f>"0,6981"</f>
        <v>0,6981</v>
      </c>
      <c r="E30" s="19" t="s">
        <v>17</v>
      </c>
      <c r="F30" s="19" t="s">
        <v>18</v>
      </c>
      <c r="G30" s="21" t="s">
        <v>120</v>
      </c>
      <c r="H30" s="21" t="s">
        <v>121</v>
      </c>
      <c r="I30" s="21" t="s">
        <v>122</v>
      </c>
      <c r="J30" s="20"/>
      <c r="K30" s="28" t="str">
        <f>"145,0"</f>
        <v>145,0</v>
      </c>
      <c r="L30" s="29" t="str">
        <f>"101,2245"</f>
        <v>101,2245</v>
      </c>
      <c r="M30" s="19" t="s">
        <v>123</v>
      </c>
    </row>
    <row r="31" spans="1:13" x14ac:dyDescent="0.2">
      <c r="A31" s="25" t="s">
        <v>125</v>
      </c>
      <c r="B31" s="25" t="s">
        <v>126</v>
      </c>
      <c r="C31" s="25" t="s">
        <v>127</v>
      </c>
      <c r="D31" s="25" t="str">
        <f>"0,6744"</f>
        <v>0,6744</v>
      </c>
      <c r="E31" s="25" t="s">
        <v>17</v>
      </c>
      <c r="F31" s="25" t="s">
        <v>18</v>
      </c>
      <c r="G31" s="27" t="s">
        <v>121</v>
      </c>
      <c r="H31" s="27" t="s">
        <v>128</v>
      </c>
      <c r="I31" s="26"/>
      <c r="J31" s="26"/>
      <c r="K31" s="32" t="str">
        <f>"142,5"</f>
        <v>142,5</v>
      </c>
      <c r="L31" s="33" t="str">
        <f>"96,1020"</f>
        <v>96,1020</v>
      </c>
      <c r="M31" s="25" t="s">
        <v>59</v>
      </c>
    </row>
    <row r="32" spans="1:13" x14ac:dyDescent="0.2">
      <c r="A32" s="25" t="s">
        <v>130</v>
      </c>
      <c r="B32" s="25" t="s">
        <v>131</v>
      </c>
      <c r="C32" s="25" t="s">
        <v>132</v>
      </c>
      <c r="D32" s="25" t="str">
        <f>"0,6774"</f>
        <v>0,6774</v>
      </c>
      <c r="E32" s="25" t="s">
        <v>17</v>
      </c>
      <c r="F32" s="25" t="s">
        <v>18</v>
      </c>
      <c r="G32" s="27" t="s">
        <v>133</v>
      </c>
      <c r="H32" s="27" t="s">
        <v>134</v>
      </c>
      <c r="I32" s="26" t="s">
        <v>120</v>
      </c>
      <c r="J32" s="26"/>
      <c r="K32" s="32" t="str">
        <f>"125,0"</f>
        <v>125,0</v>
      </c>
      <c r="L32" s="33" t="str">
        <f>"84,6750"</f>
        <v>84,6750</v>
      </c>
      <c r="M32" s="25" t="s">
        <v>135</v>
      </c>
    </row>
    <row r="33" spans="1:13" x14ac:dyDescent="0.2">
      <c r="A33" s="25" t="s">
        <v>137</v>
      </c>
      <c r="B33" s="25" t="s">
        <v>138</v>
      </c>
      <c r="C33" s="25" t="s">
        <v>139</v>
      </c>
      <c r="D33" s="25" t="str">
        <f>"0,6769"</f>
        <v>0,6769</v>
      </c>
      <c r="E33" s="25" t="s">
        <v>17</v>
      </c>
      <c r="F33" s="25" t="s">
        <v>18</v>
      </c>
      <c r="G33" s="27" t="s">
        <v>140</v>
      </c>
      <c r="H33" s="27" t="s">
        <v>133</v>
      </c>
      <c r="I33" s="27" t="s">
        <v>134</v>
      </c>
      <c r="J33" s="26"/>
      <c r="K33" s="32" t="str">
        <f>"125,0"</f>
        <v>125,0</v>
      </c>
      <c r="L33" s="33" t="str">
        <f>"84,6125"</f>
        <v>84,6125</v>
      </c>
      <c r="M33" s="25" t="s">
        <v>141</v>
      </c>
    </row>
    <row r="34" spans="1:13" x14ac:dyDescent="0.2">
      <c r="A34" s="25" t="s">
        <v>143</v>
      </c>
      <c r="B34" s="25" t="s">
        <v>144</v>
      </c>
      <c r="C34" s="25" t="s">
        <v>145</v>
      </c>
      <c r="D34" s="25" t="str">
        <f>"0,6910"</f>
        <v>0,6910</v>
      </c>
      <c r="E34" s="25" t="s">
        <v>17</v>
      </c>
      <c r="F34" s="25" t="s">
        <v>18</v>
      </c>
      <c r="G34" s="27" t="s">
        <v>146</v>
      </c>
      <c r="H34" s="27" t="s">
        <v>140</v>
      </c>
      <c r="I34" s="26" t="s">
        <v>147</v>
      </c>
      <c r="J34" s="26"/>
      <c r="K34" s="32" t="str">
        <f>"110,0"</f>
        <v>110,0</v>
      </c>
      <c r="L34" s="33" t="str">
        <f>"76,0100"</f>
        <v>76,0100</v>
      </c>
      <c r="M34" s="25" t="s">
        <v>148</v>
      </c>
    </row>
    <row r="35" spans="1:13" x14ac:dyDescent="0.2">
      <c r="A35" s="25" t="s">
        <v>150</v>
      </c>
      <c r="B35" s="25" t="s">
        <v>151</v>
      </c>
      <c r="C35" s="25" t="s">
        <v>152</v>
      </c>
      <c r="D35" s="25" t="str">
        <f>"0,6806"</f>
        <v>0,6806</v>
      </c>
      <c r="E35" s="25" t="s">
        <v>17</v>
      </c>
      <c r="F35" s="25" t="s">
        <v>18</v>
      </c>
      <c r="G35" s="27" t="s">
        <v>140</v>
      </c>
      <c r="H35" s="26" t="s">
        <v>133</v>
      </c>
      <c r="I35" s="26" t="s">
        <v>134</v>
      </c>
      <c r="J35" s="26"/>
      <c r="K35" s="32" t="str">
        <f>"110,0"</f>
        <v>110,0</v>
      </c>
      <c r="L35" s="33" t="str">
        <f>"74,8660"</f>
        <v>74,8660</v>
      </c>
      <c r="M35" s="25" t="s">
        <v>153</v>
      </c>
    </row>
    <row r="36" spans="1:13" x14ac:dyDescent="0.2">
      <c r="A36" s="25" t="s">
        <v>155</v>
      </c>
      <c r="B36" s="25" t="s">
        <v>156</v>
      </c>
      <c r="C36" s="25" t="s">
        <v>157</v>
      </c>
      <c r="D36" s="25" t="str">
        <f>"0,6795"</f>
        <v>0,6795</v>
      </c>
      <c r="E36" s="25" t="s">
        <v>17</v>
      </c>
      <c r="F36" s="25" t="s">
        <v>18</v>
      </c>
      <c r="G36" s="27" t="s">
        <v>146</v>
      </c>
      <c r="H36" s="27" t="s">
        <v>140</v>
      </c>
      <c r="I36" s="26" t="s">
        <v>158</v>
      </c>
      <c r="J36" s="26"/>
      <c r="K36" s="32" t="str">
        <f>"110,0"</f>
        <v>110,0</v>
      </c>
      <c r="L36" s="33" t="str">
        <f>"74,7450"</f>
        <v>74,7450</v>
      </c>
      <c r="M36" s="25" t="s">
        <v>46</v>
      </c>
    </row>
    <row r="37" spans="1:13" x14ac:dyDescent="0.2">
      <c r="A37" s="25" t="s">
        <v>160</v>
      </c>
      <c r="B37" s="25" t="s">
        <v>161</v>
      </c>
      <c r="C37" s="25" t="s">
        <v>162</v>
      </c>
      <c r="D37" s="25" t="str">
        <f>"0,6785"</f>
        <v>0,6785</v>
      </c>
      <c r="E37" s="25" t="s">
        <v>17</v>
      </c>
      <c r="F37" s="25" t="s">
        <v>18</v>
      </c>
      <c r="G37" s="27" t="s">
        <v>146</v>
      </c>
      <c r="H37" s="27" t="s">
        <v>163</v>
      </c>
      <c r="I37" s="26" t="s">
        <v>140</v>
      </c>
      <c r="J37" s="26"/>
      <c r="K37" s="32" t="str">
        <f>"105,0"</f>
        <v>105,0</v>
      </c>
      <c r="L37" s="33" t="str">
        <f>"71,2425"</f>
        <v>71,2425</v>
      </c>
      <c r="M37" s="25" t="s">
        <v>164</v>
      </c>
    </row>
    <row r="38" spans="1:13" x14ac:dyDescent="0.2">
      <c r="A38" s="25" t="s">
        <v>166</v>
      </c>
      <c r="B38" s="25" t="s">
        <v>167</v>
      </c>
      <c r="C38" s="25" t="s">
        <v>168</v>
      </c>
      <c r="D38" s="25" t="str">
        <f>"0,6759"</f>
        <v>0,6759</v>
      </c>
      <c r="E38" s="25" t="s">
        <v>17</v>
      </c>
      <c r="F38" s="25" t="s">
        <v>18</v>
      </c>
      <c r="G38" s="27" t="s">
        <v>169</v>
      </c>
      <c r="H38" s="27" t="s">
        <v>146</v>
      </c>
      <c r="I38" s="26" t="s">
        <v>163</v>
      </c>
      <c r="J38" s="26"/>
      <c r="K38" s="32" t="str">
        <f>"100,0"</f>
        <v>100,0</v>
      </c>
      <c r="L38" s="33" t="str">
        <f>"67,5900"</f>
        <v>67,5900</v>
      </c>
      <c r="M38" s="25" t="s">
        <v>170</v>
      </c>
    </row>
    <row r="39" spans="1:13" x14ac:dyDescent="0.2">
      <c r="A39" s="25" t="s">
        <v>171</v>
      </c>
      <c r="B39" s="25" t="s">
        <v>172</v>
      </c>
      <c r="C39" s="25" t="s">
        <v>173</v>
      </c>
      <c r="D39" s="25" t="str">
        <f>"0,6754"</f>
        <v>0,6754</v>
      </c>
      <c r="E39" s="25" t="s">
        <v>17</v>
      </c>
      <c r="F39" s="25" t="s">
        <v>18</v>
      </c>
      <c r="G39" s="27" t="s">
        <v>101</v>
      </c>
      <c r="H39" s="27" t="s">
        <v>102</v>
      </c>
      <c r="I39" s="26" t="s">
        <v>174</v>
      </c>
      <c r="J39" s="26"/>
      <c r="K39" s="32" t="str">
        <f>"90,0"</f>
        <v>90,0</v>
      </c>
      <c r="L39" s="33" t="str">
        <f>"60,7860"</f>
        <v>60,7860</v>
      </c>
      <c r="M39" s="25" t="s">
        <v>175</v>
      </c>
    </row>
    <row r="40" spans="1:13" x14ac:dyDescent="0.2">
      <c r="A40" s="25" t="s">
        <v>176</v>
      </c>
      <c r="B40" s="25" t="s">
        <v>177</v>
      </c>
      <c r="C40" s="25" t="s">
        <v>173</v>
      </c>
      <c r="D40" s="25" t="str">
        <f>"0,6754"</f>
        <v>0,6754</v>
      </c>
      <c r="E40" s="25" t="s">
        <v>17</v>
      </c>
      <c r="F40" s="25" t="s">
        <v>18</v>
      </c>
      <c r="G40" s="26" t="s">
        <v>67</v>
      </c>
      <c r="H40" s="26"/>
      <c r="I40" s="26"/>
      <c r="J40" s="26"/>
      <c r="K40" s="32" t="str">
        <f>"0.00"</f>
        <v>0.00</v>
      </c>
      <c r="L40" s="33" t="str">
        <f>"0,0000"</f>
        <v>0,0000</v>
      </c>
      <c r="M40" s="25" t="s">
        <v>178</v>
      </c>
    </row>
    <row r="41" spans="1:13" x14ac:dyDescent="0.2">
      <c r="A41" s="22" t="s">
        <v>117</v>
      </c>
      <c r="B41" s="22" t="s">
        <v>179</v>
      </c>
      <c r="C41" s="22" t="s">
        <v>119</v>
      </c>
      <c r="D41" s="22" t="str">
        <f>"0,6981"</f>
        <v>0,6981</v>
      </c>
      <c r="E41" s="22" t="s">
        <v>17</v>
      </c>
      <c r="F41" s="22" t="s">
        <v>18</v>
      </c>
      <c r="G41" s="24" t="s">
        <v>120</v>
      </c>
      <c r="H41" s="24" t="s">
        <v>121</v>
      </c>
      <c r="I41" s="24" t="s">
        <v>122</v>
      </c>
      <c r="J41" s="23"/>
      <c r="K41" s="30" t="str">
        <f>"145,0"</f>
        <v>145,0</v>
      </c>
      <c r="L41" s="31" t="str">
        <f>"152,9502"</f>
        <v>152,9502</v>
      </c>
      <c r="M41" s="22" t="s">
        <v>123</v>
      </c>
    </row>
    <row r="43" spans="1:13" ht="15" x14ac:dyDescent="0.2">
      <c r="A43" s="49" t="s">
        <v>48</v>
      </c>
      <c r="B43" s="49"/>
      <c r="C43" s="49"/>
      <c r="D43" s="49"/>
      <c r="E43" s="49"/>
      <c r="F43" s="49"/>
      <c r="G43" s="49"/>
      <c r="H43" s="49"/>
      <c r="I43" s="49"/>
      <c r="J43" s="49"/>
    </row>
    <row r="44" spans="1:13" x14ac:dyDescent="0.2">
      <c r="A44" s="19" t="s">
        <v>181</v>
      </c>
      <c r="B44" s="19" t="s">
        <v>182</v>
      </c>
      <c r="C44" s="19" t="s">
        <v>183</v>
      </c>
      <c r="D44" s="19" t="str">
        <f>"0,6615"</f>
        <v>0,6615</v>
      </c>
      <c r="E44" s="19" t="s">
        <v>17</v>
      </c>
      <c r="F44" s="19" t="s">
        <v>18</v>
      </c>
      <c r="G44" s="21" t="s">
        <v>146</v>
      </c>
      <c r="H44" s="21" t="s">
        <v>147</v>
      </c>
      <c r="I44" s="21" t="s">
        <v>120</v>
      </c>
      <c r="J44" s="20"/>
      <c r="K44" s="28" t="str">
        <f>"130,0"</f>
        <v>130,0</v>
      </c>
      <c r="L44" s="29" t="str">
        <f>"85,9950"</f>
        <v>85,9950</v>
      </c>
      <c r="M44" s="19" t="s">
        <v>184</v>
      </c>
    </row>
    <row r="45" spans="1:13" x14ac:dyDescent="0.2">
      <c r="A45" s="25" t="s">
        <v>186</v>
      </c>
      <c r="B45" s="25" t="s">
        <v>187</v>
      </c>
      <c r="C45" s="25" t="s">
        <v>188</v>
      </c>
      <c r="D45" s="25" t="str">
        <f>"0,6588"</f>
        <v>0,6588</v>
      </c>
      <c r="E45" s="25" t="s">
        <v>17</v>
      </c>
      <c r="F45" s="25" t="s">
        <v>18</v>
      </c>
      <c r="G45" s="27" t="s">
        <v>133</v>
      </c>
      <c r="H45" s="27" t="s">
        <v>134</v>
      </c>
      <c r="I45" s="26" t="s">
        <v>189</v>
      </c>
      <c r="J45" s="26"/>
      <c r="K45" s="32" t="str">
        <f>"125,0"</f>
        <v>125,0</v>
      </c>
      <c r="L45" s="33" t="str">
        <f>"82,3500"</f>
        <v>82,3500</v>
      </c>
      <c r="M45" s="25" t="s">
        <v>190</v>
      </c>
    </row>
    <row r="46" spans="1:13" x14ac:dyDescent="0.2">
      <c r="A46" s="25" t="s">
        <v>192</v>
      </c>
      <c r="B46" s="25" t="s">
        <v>193</v>
      </c>
      <c r="C46" s="25" t="s">
        <v>194</v>
      </c>
      <c r="D46" s="25" t="str">
        <f>"0,6557"</f>
        <v>0,6557</v>
      </c>
      <c r="E46" s="25" t="s">
        <v>17</v>
      </c>
      <c r="F46" s="25" t="s">
        <v>18</v>
      </c>
      <c r="G46" s="27" t="s">
        <v>140</v>
      </c>
      <c r="H46" s="27" t="s">
        <v>147</v>
      </c>
      <c r="I46" s="27" t="s">
        <v>133</v>
      </c>
      <c r="J46" s="26"/>
      <c r="K46" s="32" t="str">
        <f>"120,0"</f>
        <v>120,0</v>
      </c>
      <c r="L46" s="33" t="str">
        <f>"78,6840"</f>
        <v>78,6840</v>
      </c>
      <c r="M46" s="25" t="s">
        <v>195</v>
      </c>
    </row>
    <row r="47" spans="1:13" x14ac:dyDescent="0.2">
      <c r="A47" s="25" t="s">
        <v>197</v>
      </c>
      <c r="B47" s="25" t="s">
        <v>198</v>
      </c>
      <c r="C47" s="25" t="s">
        <v>199</v>
      </c>
      <c r="D47" s="25" t="str">
        <f>"0,6597"</f>
        <v>0,6597</v>
      </c>
      <c r="E47" s="25" t="s">
        <v>17</v>
      </c>
      <c r="F47" s="25" t="s">
        <v>18</v>
      </c>
      <c r="G47" s="27" t="s">
        <v>147</v>
      </c>
      <c r="H47" s="27" t="s">
        <v>200</v>
      </c>
      <c r="I47" s="26" t="s">
        <v>133</v>
      </c>
      <c r="J47" s="26"/>
      <c r="K47" s="32" t="str">
        <f>"117,5"</f>
        <v>117,5</v>
      </c>
      <c r="L47" s="33" t="str">
        <f>"77,5147"</f>
        <v>77,5147</v>
      </c>
      <c r="M47" s="25" t="s">
        <v>59</v>
      </c>
    </row>
    <row r="48" spans="1:13" x14ac:dyDescent="0.2">
      <c r="A48" s="25" t="s">
        <v>202</v>
      </c>
      <c r="B48" s="25" t="s">
        <v>203</v>
      </c>
      <c r="C48" s="25" t="s">
        <v>204</v>
      </c>
      <c r="D48" s="25" t="str">
        <f>"0,6413"</f>
        <v>0,6413</v>
      </c>
      <c r="E48" s="25" t="s">
        <v>17</v>
      </c>
      <c r="F48" s="25" t="s">
        <v>18</v>
      </c>
      <c r="G48" s="27" t="s">
        <v>140</v>
      </c>
      <c r="H48" s="27" t="s">
        <v>147</v>
      </c>
      <c r="I48" s="26" t="s">
        <v>158</v>
      </c>
      <c r="J48" s="26"/>
      <c r="K48" s="32" t="str">
        <f>"115,0"</f>
        <v>115,0</v>
      </c>
      <c r="L48" s="33" t="str">
        <f>"73,7495"</f>
        <v>73,7495</v>
      </c>
      <c r="M48" s="25" t="s">
        <v>205</v>
      </c>
    </row>
    <row r="49" spans="1:13" x14ac:dyDescent="0.2">
      <c r="A49" s="25" t="s">
        <v>207</v>
      </c>
      <c r="B49" s="25" t="s">
        <v>208</v>
      </c>
      <c r="C49" s="25" t="s">
        <v>209</v>
      </c>
      <c r="D49" s="25" t="str">
        <f>"0,6610"</f>
        <v>0,6610</v>
      </c>
      <c r="E49" s="25" t="s">
        <v>17</v>
      </c>
      <c r="F49" s="25" t="s">
        <v>18</v>
      </c>
      <c r="G49" s="27" t="s">
        <v>169</v>
      </c>
      <c r="H49" s="27" t="s">
        <v>163</v>
      </c>
      <c r="I49" s="26" t="s">
        <v>140</v>
      </c>
      <c r="J49" s="26"/>
      <c r="K49" s="32" t="str">
        <f>"105,0"</f>
        <v>105,0</v>
      </c>
      <c r="L49" s="33" t="str">
        <f>"69,4050"</f>
        <v>69,4050</v>
      </c>
      <c r="M49" s="25" t="s">
        <v>210</v>
      </c>
    </row>
    <row r="50" spans="1:13" x14ac:dyDescent="0.2">
      <c r="A50" s="25" t="s">
        <v>211</v>
      </c>
      <c r="B50" s="25" t="s">
        <v>212</v>
      </c>
      <c r="C50" s="25" t="s">
        <v>213</v>
      </c>
      <c r="D50" s="25" t="str">
        <f>"0,6670"</f>
        <v>0,6670</v>
      </c>
      <c r="E50" s="25" t="s">
        <v>17</v>
      </c>
      <c r="F50" s="25" t="s">
        <v>18</v>
      </c>
      <c r="G50" s="27" t="s">
        <v>101</v>
      </c>
      <c r="H50" s="27" t="s">
        <v>102</v>
      </c>
      <c r="I50" s="26" t="s">
        <v>169</v>
      </c>
      <c r="J50" s="26"/>
      <c r="K50" s="32" t="str">
        <f>"90,0"</f>
        <v>90,0</v>
      </c>
      <c r="L50" s="33" t="str">
        <f>"60,0300"</f>
        <v>60,0300</v>
      </c>
      <c r="M50" s="25" t="s">
        <v>214</v>
      </c>
    </row>
    <row r="51" spans="1:13" x14ac:dyDescent="0.2">
      <c r="A51" s="25" t="s">
        <v>215</v>
      </c>
      <c r="B51" s="25" t="s">
        <v>216</v>
      </c>
      <c r="C51" s="25" t="s">
        <v>217</v>
      </c>
      <c r="D51" s="25" t="str">
        <f>"0,6523"</f>
        <v>0,6523</v>
      </c>
      <c r="E51" s="25" t="s">
        <v>17</v>
      </c>
      <c r="F51" s="25" t="s">
        <v>18</v>
      </c>
      <c r="G51" s="26" t="s">
        <v>67</v>
      </c>
      <c r="H51" s="26"/>
      <c r="I51" s="26"/>
      <c r="J51" s="26"/>
      <c r="K51" s="32" t="str">
        <f>"0.00"</f>
        <v>0.00</v>
      </c>
      <c r="L51" s="33" t="str">
        <f>"0,0000"</f>
        <v>0,0000</v>
      </c>
      <c r="M51" s="25" t="s">
        <v>59</v>
      </c>
    </row>
    <row r="52" spans="1:13" x14ac:dyDescent="0.2">
      <c r="A52" s="22" t="s">
        <v>218</v>
      </c>
      <c r="B52" s="22" t="s">
        <v>219</v>
      </c>
      <c r="C52" s="22" t="s">
        <v>52</v>
      </c>
      <c r="D52" s="22" t="str">
        <f>"0,6459"</f>
        <v>0,6459</v>
      </c>
      <c r="E52" s="22" t="s">
        <v>17</v>
      </c>
      <c r="F52" s="22" t="s">
        <v>18</v>
      </c>
      <c r="G52" s="23" t="s">
        <v>120</v>
      </c>
      <c r="H52" s="23" t="s">
        <v>120</v>
      </c>
      <c r="I52" s="23" t="s">
        <v>120</v>
      </c>
      <c r="J52" s="23"/>
      <c r="K52" s="30" t="str">
        <f>"0.00"</f>
        <v>0.00</v>
      </c>
      <c r="L52" s="31" t="str">
        <f>"0,0000"</f>
        <v>0,0000</v>
      </c>
      <c r="M52" s="22" t="s">
        <v>220</v>
      </c>
    </row>
    <row r="54" spans="1:13" ht="15" x14ac:dyDescent="0.2">
      <c r="A54" s="49" t="s">
        <v>221</v>
      </c>
      <c r="B54" s="49"/>
      <c r="C54" s="49"/>
      <c r="D54" s="49"/>
      <c r="E54" s="49"/>
      <c r="F54" s="49"/>
      <c r="G54" s="49"/>
      <c r="H54" s="49"/>
      <c r="I54" s="49"/>
      <c r="J54" s="49"/>
    </row>
    <row r="55" spans="1:13" x14ac:dyDescent="0.2">
      <c r="A55" s="19" t="s">
        <v>223</v>
      </c>
      <c r="B55" s="19" t="s">
        <v>224</v>
      </c>
      <c r="C55" s="19" t="s">
        <v>225</v>
      </c>
      <c r="D55" s="19" t="str">
        <f>"0,6311"</f>
        <v>0,6311</v>
      </c>
      <c r="E55" s="19" t="s">
        <v>17</v>
      </c>
      <c r="F55" s="19" t="s">
        <v>18</v>
      </c>
      <c r="G55" s="21"/>
      <c r="H55" s="21" t="s">
        <v>226</v>
      </c>
      <c r="I55" s="21" t="s">
        <v>108</v>
      </c>
      <c r="J55" s="20"/>
      <c r="K55" s="28" t="str">
        <f>"55,0"</f>
        <v>55,0</v>
      </c>
      <c r="L55" s="29" t="str">
        <f>"34,7105"</f>
        <v>34,7105</v>
      </c>
      <c r="M55" s="19" t="s">
        <v>227</v>
      </c>
    </row>
    <row r="56" spans="1:13" x14ac:dyDescent="0.2">
      <c r="A56" s="25" t="s">
        <v>229</v>
      </c>
      <c r="B56" s="25" t="s">
        <v>230</v>
      </c>
      <c r="C56" s="25" t="s">
        <v>231</v>
      </c>
      <c r="D56" s="25" t="str">
        <f>"0,6335"</f>
        <v>0,6335</v>
      </c>
      <c r="E56" s="25" t="s">
        <v>17</v>
      </c>
      <c r="F56" s="25" t="s">
        <v>18</v>
      </c>
      <c r="G56" s="27" t="s">
        <v>133</v>
      </c>
      <c r="H56" s="26" t="s">
        <v>134</v>
      </c>
      <c r="I56" s="26" t="s">
        <v>134</v>
      </c>
      <c r="J56" s="26"/>
      <c r="K56" s="32" t="str">
        <f>"120,0"</f>
        <v>120,0</v>
      </c>
      <c r="L56" s="33" t="str">
        <f>"76,0200"</f>
        <v>76,0200</v>
      </c>
      <c r="M56" s="25" t="s">
        <v>21</v>
      </c>
    </row>
    <row r="57" spans="1:13" x14ac:dyDescent="0.2">
      <c r="A57" s="25" t="s">
        <v>233</v>
      </c>
      <c r="B57" s="25" t="s">
        <v>234</v>
      </c>
      <c r="C57" s="25" t="s">
        <v>235</v>
      </c>
      <c r="D57" s="25" t="str">
        <f>"0,6197"</f>
        <v>0,6197</v>
      </c>
      <c r="E57" s="25" t="s">
        <v>17</v>
      </c>
      <c r="F57" s="25" t="s">
        <v>18</v>
      </c>
      <c r="G57" s="26" t="s">
        <v>133</v>
      </c>
      <c r="H57" s="26" t="s">
        <v>133</v>
      </c>
      <c r="I57" s="26"/>
      <c r="J57" s="26"/>
      <c r="K57" s="32" t="str">
        <f>"0.00"</f>
        <v>0.00</v>
      </c>
      <c r="L57" s="33" t="str">
        <f>"0,0000"</f>
        <v>0,0000</v>
      </c>
      <c r="M57" s="25" t="s">
        <v>236</v>
      </c>
    </row>
    <row r="58" spans="1:13" x14ac:dyDescent="0.2">
      <c r="A58" s="25" t="s">
        <v>237</v>
      </c>
      <c r="B58" s="25" t="s">
        <v>238</v>
      </c>
      <c r="C58" s="25" t="s">
        <v>239</v>
      </c>
      <c r="D58" s="25" t="str">
        <f>"0,6091"</f>
        <v>0,6091</v>
      </c>
      <c r="E58" s="25" t="s">
        <v>17</v>
      </c>
      <c r="F58" s="25" t="s">
        <v>18</v>
      </c>
      <c r="G58" s="26" t="s">
        <v>102</v>
      </c>
      <c r="H58" s="26" t="s">
        <v>169</v>
      </c>
      <c r="I58" s="26" t="s">
        <v>169</v>
      </c>
      <c r="J58" s="26"/>
      <c r="K58" s="32" t="str">
        <f>"0.00"</f>
        <v>0.00</v>
      </c>
      <c r="L58" s="33" t="str">
        <f>"0,0000"</f>
        <v>0,0000</v>
      </c>
      <c r="M58" s="25" t="s">
        <v>59</v>
      </c>
    </row>
    <row r="59" spans="1:13" x14ac:dyDescent="0.2">
      <c r="A59" s="25" t="s">
        <v>241</v>
      </c>
      <c r="B59" s="25" t="s">
        <v>242</v>
      </c>
      <c r="C59" s="25" t="s">
        <v>243</v>
      </c>
      <c r="D59" s="25" t="str">
        <f>"0,6086"</f>
        <v>0,6086</v>
      </c>
      <c r="E59" s="25" t="s">
        <v>17</v>
      </c>
      <c r="F59" s="25" t="s">
        <v>18</v>
      </c>
      <c r="G59" s="27" t="s">
        <v>140</v>
      </c>
      <c r="H59" s="27" t="s">
        <v>147</v>
      </c>
      <c r="I59" s="27" t="s">
        <v>133</v>
      </c>
      <c r="J59" s="26"/>
      <c r="K59" s="32" t="str">
        <f>"120,0"</f>
        <v>120,0</v>
      </c>
      <c r="L59" s="33" t="str">
        <f>"96,0371"</f>
        <v>96,0371</v>
      </c>
      <c r="M59" s="25" t="s">
        <v>21</v>
      </c>
    </row>
    <row r="60" spans="1:13" x14ac:dyDescent="0.2">
      <c r="A60" s="22" t="s">
        <v>229</v>
      </c>
      <c r="B60" s="22" t="s">
        <v>244</v>
      </c>
      <c r="C60" s="22" t="s">
        <v>231</v>
      </c>
      <c r="D60" s="22" t="str">
        <f>"0,6335"</f>
        <v>0,6335</v>
      </c>
      <c r="E60" s="22" t="s">
        <v>17</v>
      </c>
      <c r="F60" s="22" t="s">
        <v>18</v>
      </c>
      <c r="G60" s="24" t="s">
        <v>133</v>
      </c>
      <c r="H60" s="23" t="s">
        <v>134</v>
      </c>
      <c r="I60" s="23" t="s">
        <v>134</v>
      </c>
      <c r="J60" s="23"/>
      <c r="K60" s="30" t="str">
        <f>"120,0"</f>
        <v>120,0</v>
      </c>
      <c r="L60" s="31" t="str">
        <f>"119,8075"</f>
        <v>119,8075</v>
      </c>
      <c r="M60" s="22" t="s">
        <v>21</v>
      </c>
    </row>
    <row r="62" spans="1:13" ht="15" x14ac:dyDescent="0.2">
      <c r="A62" s="49" t="s">
        <v>12</v>
      </c>
      <c r="B62" s="49"/>
      <c r="C62" s="49"/>
      <c r="D62" s="49"/>
      <c r="E62" s="49"/>
      <c r="F62" s="49"/>
      <c r="G62" s="49"/>
      <c r="H62" s="49"/>
      <c r="I62" s="49"/>
      <c r="J62" s="49"/>
    </row>
    <row r="63" spans="1:13" x14ac:dyDescent="0.2">
      <c r="A63" s="19" t="s">
        <v>246</v>
      </c>
      <c r="B63" s="19" t="s">
        <v>156</v>
      </c>
      <c r="C63" s="19" t="s">
        <v>247</v>
      </c>
      <c r="D63" s="19" t="str">
        <f>"0,5960"</f>
        <v>0,5960</v>
      </c>
      <c r="E63" s="19" t="s">
        <v>17</v>
      </c>
      <c r="F63" s="19" t="s">
        <v>248</v>
      </c>
      <c r="G63" s="21" t="s">
        <v>147</v>
      </c>
      <c r="H63" s="21" t="s">
        <v>134</v>
      </c>
      <c r="I63" s="21" t="s">
        <v>249</v>
      </c>
      <c r="J63" s="20"/>
      <c r="K63" s="28" t="str">
        <f>"135,0"</f>
        <v>135,0</v>
      </c>
      <c r="L63" s="29" t="str">
        <f>"80,4600"</f>
        <v>80,4600</v>
      </c>
      <c r="M63" s="19" t="s">
        <v>250</v>
      </c>
    </row>
    <row r="64" spans="1:13" x14ac:dyDescent="0.2">
      <c r="A64" s="25" t="s">
        <v>252</v>
      </c>
      <c r="B64" s="25" t="s">
        <v>253</v>
      </c>
      <c r="C64" s="25" t="s">
        <v>254</v>
      </c>
      <c r="D64" s="25" t="str">
        <f>"0,6021"</f>
        <v>0,6021</v>
      </c>
      <c r="E64" s="25" t="s">
        <v>17</v>
      </c>
      <c r="F64" s="25" t="s">
        <v>18</v>
      </c>
      <c r="G64" s="27" t="s">
        <v>133</v>
      </c>
      <c r="H64" s="27" t="s">
        <v>120</v>
      </c>
      <c r="I64" s="26" t="s">
        <v>255</v>
      </c>
      <c r="J64" s="26"/>
      <c r="K64" s="32" t="str">
        <f>"130,0"</f>
        <v>130,0</v>
      </c>
      <c r="L64" s="33" t="str">
        <f>"78,2730"</f>
        <v>78,2730</v>
      </c>
      <c r="M64" s="25" t="s">
        <v>256</v>
      </c>
    </row>
    <row r="65" spans="1:13" x14ac:dyDescent="0.2">
      <c r="A65" s="22" t="s">
        <v>258</v>
      </c>
      <c r="B65" s="22" t="s">
        <v>259</v>
      </c>
      <c r="C65" s="22" t="s">
        <v>260</v>
      </c>
      <c r="D65" s="22" t="str">
        <f>"0,6009"</f>
        <v>0,6009</v>
      </c>
      <c r="E65" s="22" t="s">
        <v>17</v>
      </c>
      <c r="F65" s="22" t="s">
        <v>18</v>
      </c>
      <c r="G65" s="24" t="s">
        <v>133</v>
      </c>
      <c r="H65" s="24" t="s">
        <v>158</v>
      </c>
      <c r="I65" s="23" t="s">
        <v>134</v>
      </c>
      <c r="J65" s="23"/>
      <c r="K65" s="30" t="str">
        <f>"122,5"</f>
        <v>122,5</v>
      </c>
      <c r="L65" s="31" t="str">
        <f>"73,6102"</f>
        <v>73,6102</v>
      </c>
      <c r="M65" s="22" t="s">
        <v>21</v>
      </c>
    </row>
    <row r="67" spans="1:13" ht="15" x14ac:dyDescent="0.2">
      <c r="A67" s="49" t="s">
        <v>261</v>
      </c>
      <c r="B67" s="49"/>
      <c r="C67" s="49"/>
      <c r="D67" s="49"/>
      <c r="E67" s="49"/>
      <c r="F67" s="49"/>
      <c r="G67" s="49"/>
      <c r="H67" s="49"/>
      <c r="I67" s="49"/>
      <c r="J67" s="49"/>
    </row>
    <row r="68" spans="1:13" x14ac:dyDescent="0.2">
      <c r="A68" s="7" t="s">
        <v>263</v>
      </c>
      <c r="B68" s="7" t="s">
        <v>264</v>
      </c>
      <c r="C68" s="7" t="s">
        <v>265</v>
      </c>
      <c r="D68" s="7" t="str">
        <f>"0,5583"</f>
        <v>0,5583</v>
      </c>
      <c r="E68" s="7" t="s">
        <v>17</v>
      </c>
      <c r="F68" s="7" t="s">
        <v>18</v>
      </c>
      <c r="G68" s="9" t="s">
        <v>266</v>
      </c>
      <c r="H68" s="9" t="s">
        <v>267</v>
      </c>
      <c r="I68" s="9" t="s">
        <v>268</v>
      </c>
      <c r="J68" s="8"/>
      <c r="K68" s="12" t="str">
        <f>"220,0"</f>
        <v>220,0</v>
      </c>
      <c r="L68" s="13" t="str">
        <f>"122,8260"</f>
        <v>122,8260</v>
      </c>
      <c r="M68" s="7" t="s">
        <v>59</v>
      </c>
    </row>
    <row r="70" spans="1:13" ht="15" x14ac:dyDescent="0.2">
      <c r="E70" s="10" t="s">
        <v>22</v>
      </c>
    </row>
    <row r="71" spans="1:13" ht="15" x14ac:dyDescent="0.2">
      <c r="E71" s="10" t="s">
        <v>23</v>
      </c>
    </row>
    <row r="72" spans="1:13" ht="15" x14ac:dyDescent="0.2">
      <c r="E72" s="10" t="s">
        <v>24</v>
      </c>
    </row>
    <row r="73" spans="1:13" ht="15" x14ac:dyDescent="0.2">
      <c r="E73" s="10" t="s">
        <v>25</v>
      </c>
    </row>
    <row r="74" spans="1:13" ht="15" x14ac:dyDescent="0.2">
      <c r="E74" s="10" t="s">
        <v>25</v>
      </c>
    </row>
    <row r="75" spans="1:13" ht="15" x14ac:dyDescent="0.2">
      <c r="E75" s="10" t="s">
        <v>26</v>
      </c>
    </row>
    <row r="76" spans="1:13" ht="15" x14ac:dyDescent="0.2">
      <c r="E76" s="10"/>
    </row>
    <row r="78" spans="1:13" ht="18" x14ac:dyDescent="0.25">
      <c r="A78" s="14" t="s">
        <v>27</v>
      </c>
      <c r="B78" s="14"/>
    </row>
    <row r="79" spans="1:13" ht="15" x14ac:dyDescent="0.2">
      <c r="A79" s="15" t="s">
        <v>269</v>
      </c>
      <c r="B79" s="15"/>
    </row>
    <row r="80" spans="1:13" ht="14.25" x14ac:dyDescent="0.2">
      <c r="A80" s="17"/>
      <c r="B80" s="18" t="s">
        <v>29</v>
      </c>
    </row>
    <row r="81" spans="1:5" ht="15" x14ac:dyDescent="0.2">
      <c r="A81" s="6" t="s">
        <v>30</v>
      </c>
      <c r="B81" s="6" t="s">
        <v>31</v>
      </c>
      <c r="C81" s="6" t="s">
        <v>32</v>
      </c>
      <c r="D81" s="6" t="s">
        <v>33</v>
      </c>
      <c r="E81" s="6" t="s">
        <v>34</v>
      </c>
    </row>
    <row r="82" spans="1:5" x14ac:dyDescent="0.2">
      <c r="A82" s="16" t="s">
        <v>39</v>
      </c>
      <c r="B82" s="4" t="s">
        <v>29</v>
      </c>
      <c r="C82" s="4" t="s">
        <v>270</v>
      </c>
      <c r="D82" s="4" t="s">
        <v>45</v>
      </c>
      <c r="E82" s="11" t="s">
        <v>271</v>
      </c>
    </row>
    <row r="83" spans="1:5" x14ac:dyDescent="0.2">
      <c r="A83" s="16" t="s">
        <v>49</v>
      </c>
      <c r="B83" s="4" t="s">
        <v>29</v>
      </c>
      <c r="C83" s="4" t="s">
        <v>272</v>
      </c>
      <c r="D83" s="4" t="s">
        <v>53</v>
      </c>
      <c r="E83" s="11" t="s">
        <v>273</v>
      </c>
    </row>
    <row r="84" spans="1:5" x14ac:dyDescent="0.2">
      <c r="A84" s="16" t="s">
        <v>55</v>
      </c>
      <c r="B84" s="4" t="s">
        <v>29</v>
      </c>
      <c r="C84" s="4" t="s">
        <v>272</v>
      </c>
      <c r="D84" s="4" t="s">
        <v>44</v>
      </c>
      <c r="E84" s="11" t="s">
        <v>274</v>
      </c>
    </row>
    <row r="86" spans="1:5" ht="14.25" x14ac:dyDescent="0.2">
      <c r="A86" s="17"/>
      <c r="B86" s="18" t="s">
        <v>275</v>
      </c>
    </row>
    <row r="87" spans="1:5" ht="15" x14ac:dyDescent="0.2">
      <c r="A87" s="6" t="s">
        <v>30</v>
      </c>
      <c r="B87" s="6" t="s">
        <v>31</v>
      </c>
      <c r="C87" s="6" t="s">
        <v>32</v>
      </c>
      <c r="D87" s="6" t="s">
        <v>33</v>
      </c>
      <c r="E87" s="6" t="s">
        <v>34</v>
      </c>
    </row>
    <row r="88" spans="1:5" x14ac:dyDescent="0.2">
      <c r="A88" s="16" t="s">
        <v>39</v>
      </c>
      <c r="B88" s="4" t="s">
        <v>276</v>
      </c>
      <c r="C88" s="4" t="s">
        <v>270</v>
      </c>
      <c r="D88" s="4" t="s">
        <v>45</v>
      </c>
      <c r="E88" s="11" t="s">
        <v>277</v>
      </c>
    </row>
    <row r="89" spans="1:5" x14ac:dyDescent="0.2">
      <c r="A89" s="16" t="s">
        <v>49</v>
      </c>
      <c r="B89" s="4" t="s">
        <v>278</v>
      </c>
      <c r="C89" s="4" t="s">
        <v>272</v>
      </c>
      <c r="D89" s="4" t="s">
        <v>53</v>
      </c>
      <c r="E89" s="11" t="s">
        <v>279</v>
      </c>
    </row>
    <row r="90" spans="1:5" x14ac:dyDescent="0.2">
      <c r="A90" s="16" t="s">
        <v>55</v>
      </c>
      <c r="B90" s="4" t="s">
        <v>278</v>
      </c>
      <c r="C90" s="4" t="s">
        <v>272</v>
      </c>
      <c r="D90" s="4" t="s">
        <v>44</v>
      </c>
      <c r="E90" s="11" t="s">
        <v>280</v>
      </c>
    </row>
    <row r="93" spans="1:5" ht="15" x14ac:dyDescent="0.2">
      <c r="A93" s="15" t="s">
        <v>28</v>
      </c>
      <c r="B93" s="15"/>
    </row>
    <row r="94" spans="1:5" ht="14.25" x14ac:dyDescent="0.2">
      <c r="A94" s="17"/>
      <c r="B94" s="18" t="s">
        <v>281</v>
      </c>
    </row>
    <row r="95" spans="1:5" ht="15" x14ac:dyDescent="0.2">
      <c r="A95" s="6" t="s">
        <v>30</v>
      </c>
      <c r="B95" s="6" t="s">
        <v>31</v>
      </c>
      <c r="C95" s="6" t="s">
        <v>32</v>
      </c>
      <c r="D95" s="6" t="s">
        <v>33</v>
      </c>
      <c r="E95" s="6" t="s">
        <v>34</v>
      </c>
    </row>
    <row r="96" spans="1:5" x14ac:dyDescent="0.2">
      <c r="A96" s="16" t="s">
        <v>222</v>
      </c>
      <c r="B96" s="4" t="s">
        <v>282</v>
      </c>
      <c r="C96" s="4" t="s">
        <v>283</v>
      </c>
      <c r="D96" s="4" t="s">
        <v>108</v>
      </c>
      <c r="E96" s="11" t="s">
        <v>284</v>
      </c>
    </row>
    <row r="98" spans="1:5" ht="14.25" x14ac:dyDescent="0.2">
      <c r="A98" s="17"/>
      <c r="B98" s="18" t="s">
        <v>29</v>
      </c>
    </row>
    <row r="99" spans="1:5" ht="15" x14ac:dyDescent="0.2">
      <c r="A99" s="6" t="s">
        <v>30</v>
      </c>
      <c r="B99" s="6" t="s">
        <v>31</v>
      </c>
      <c r="C99" s="6" t="s">
        <v>32</v>
      </c>
      <c r="D99" s="6" t="s">
        <v>33</v>
      </c>
      <c r="E99" s="6" t="s">
        <v>34</v>
      </c>
    </row>
    <row r="100" spans="1:5" x14ac:dyDescent="0.2">
      <c r="A100" s="16" t="s">
        <v>262</v>
      </c>
      <c r="B100" s="4" t="s">
        <v>29</v>
      </c>
      <c r="C100" s="4" t="s">
        <v>285</v>
      </c>
      <c r="D100" s="4" t="s">
        <v>268</v>
      </c>
      <c r="E100" s="11" t="s">
        <v>286</v>
      </c>
    </row>
    <row r="101" spans="1:5" x14ac:dyDescent="0.2">
      <c r="A101" s="16" t="s">
        <v>116</v>
      </c>
      <c r="B101" s="4" t="s">
        <v>29</v>
      </c>
      <c r="C101" s="4" t="s">
        <v>287</v>
      </c>
      <c r="D101" s="4" t="s">
        <v>122</v>
      </c>
      <c r="E101" s="11" t="s">
        <v>288</v>
      </c>
    </row>
    <row r="102" spans="1:5" x14ac:dyDescent="0.2">
      <c r="A102" s="16" t="s">
        <v>124</v>
      </c>
      <c r="B102" s="4" t="s">
        <v>29</v>
      </c>
      <c r="C102" s="4" t="s">
        <v>287</v>
      </c>
      <c r="D102" s="4" t="s">
        <v>128</v>
      </c>
      <c r="E102" s="11" t="s">
        <v>289</v>
      </c>
    </row>
    <row r="103" spans="1:5" x14ac:dyDescent="0.2">
      <c r="A103" s="16" t="s">
        <v>180</v>
      </c>
      <c r="B103" s="4" t="s">
        <v>29</v>
      </c>
      <c r="C103" s="4" t="s">
        <v>272</v>
      </c>
      <c r="D103" s="4" t="s">
        <v>120</v>
      </c>
      <c r="E103" s="11" t="s">
        <v>290</v>
      </c>
    </row>
    <row r="104" spans="1:5" x14ac:dyDescent="0.2">
      <c r="A104" s="16" t="s">
        <v>129</v>
      </c>
      <c r="B104" s="4" t="s">
        <v>29</v>
      </c>
      <c r="C104" s="4" t="s">
        <v>287</v>
      </c>
      <c r="D104" s="4" t="s">
        <v>134</v>
      </c>
      <c r="E104" s="11" t="s">
        <v>291</v>
      </c>
    </row>
    <row r="105" spans="1:5" x14ac:dyDescent="0.2">
      <c r="A105" s="16" t="s">
        <v>136</v>
      </c>
      <c r="B105" s="4" t="s">
        <v>29</v>
      </c>
      <c r="C105" s="4" t="s">
        <v>287</v>
      </c>
      <c r="D105" s="4" t="s">
        <v>134</v>
      </c>
      <c r="E105" s="11" t="s">
        <v>292</v>
      </c>
    </row>
    <row r="106" spans="1:5" x14ac:dyDescent="0.2">
      <c r="A106" s="16" t="s">
        <v>185</v>
      </c>
      <c r="B106" s="4" t="s">
        <v>29</v>
      </c>
      <c r="C106" s="4" t="s">
        <v>272</v>
      </c>
      <c r="D106" s="4" t="s">
        <v>134</v>
      </c>
      <c r="E106" s="11" t="s">
        <v>293</v>
      </c>
    </row>
    <row r="107" spans="1:5" x14ac:dyDescent="0.2">
      <c r="A107" s="16" t="s">
        <v>245</v>
      </c>
      <c r="B107" s="4" t="s">
        <v>29</v>
      </c>
      <c r="C107" s="4" t="s">
        <v>35</v>
      </c>
      <c r="D107" s="4" t="s">
        <v>249</v>
      </c>
      <c r="E107" s="11" t="s">
        <v>294</v>
      </c>
    </row>
    <row r="108" spans="1:5" x14ac:dyDescent="0.2">
      <c r="A108" s="16" t="s">
        <v>191</v>
      </c>
      <c r="B108" s="4" t="s">
        <v>29</v>
      </c>
      <c r="C108" s="4" t="s">
        <v>272</v>
      </c>
      <c r="D108" s="4" t="s">
        <v>133</v>
      </c>
      <c r="E108" s="11" t="s">
        <v>295</v>
      </c>
    </row>
    <row r="109" spans="1:5" x14ac:dyDescent="0.2">
      <c r="A109" s="16" t="s">
        <v>251</v>
      </c>
      <c r="B109" s="4" t="s">
        <v>29</v>
      </c>
      <c r="C109" s="4" t="s">
        <v>35</v>
      </c>
      <c r="D109" s="4" t="s">
        <v>120</v>
      </c>
      <c r="E109" s="11" t="s">
        <v>296</v>
      </c>
    </row>
    <row r="110" spans="1:5" x14ac:dyDescent="0.2">
      <c r="A110" s="16" t="s">
        <v>196</v>
      </c>
      <c r="B110" s="4" t="s">
        <v>29</v>
      </c>
      <c r="C110" s="4" t="s">
        <v>272</v>
      </c>
      <c r="D110" s="4" t="s">
        <v>200</v>
      </c>
      <c r="E110" s="11" t="s">
        <v>297</v>
      </c>
    </row>
    <row r="111" spans="1:5" x14ac:dyDescent="0.2">
      <c r="A111" s="16" t="s">
        <v>228</v>
      </c>
      <c r="B111" s="4" t="s">
        <v>29</v>
      </c>
      <c r="C111" s="4" t="s">
        <v>283</v>
      </c>
      <c r="D111" s="4" t="s">
        <v>133</v>
      </c>
      <c r="E111" s="11" t="s">
        <v>298</v>
      </c>
    </row>
    <row r="112" spans="1:5" x14ac:dyDescent="0.2">
      <c r="A112" s="16" t="s">
        <v>142</v>
      </c>
      <c r="B112" s="4" t="s">
        <v>29</v>
      </c>
      <c r="C112" s="4" t="s">
        <v>287</v>
      </c>
      <c r="D112" s="4" t="s">
        <v>140</v>
      </c>
      <c r="E112" s="11" t="s">
        <v>299</v>
      </c>
    </row>
    <row r="113" spans="1:5" x14ac:dyDescent="0.2">
      <c r="A113" s="16" t="s">
        <v>149</v>
      </c>
      <c r="B113" s="4" t="s">
        <v>29</v>
      </c>
      <c r="C113" s="4" t="s">
        <v>287</v>
      </c>
      <c r="D113" s="4" t="s">
        <v>140</v>
      </c>
      <c r="E113" s="11" t="s">
        <v>300</v>
      </c>
    </row>
    <row r="114" spans="1:5" x14ac:dyDescent="0.2">
      <c r="A114" s="16" t="s">
        <v>154</v>
      </c>
      <c r="B114" s="4" t="s">
        <v>29</v>
      </c>
      <c r="C114" s="4" t="s">
        <v>287</v>
      </c>
      <c r="D114" s="4" t="s">
        <v>140</v>
      </c>
      <c r="E114" s="11" t="s">
        <v>301</v>
      </c>
    </row>
    <row r="115" spans="1:5" x14ac:dyDescent="0.2">
      <c r="A115" s="16" t="s">
        <v>201</v>
      </c>
      <c r="B115" s="4" t="s">
        <v>29</v>
      </c>
      <c r="C115" s="4" t="s">
        <v>272</v>
      </c>
      <c r="D115" s="4" t="s">
        <v>147</v>
      </c>
      <c r="E115" s="11" t="s">
        <v>302</v>
      </c>
    </row>
    <row r="116" spans="1:5" x14ac:dyDescent="0.2">
      <c r="A116" s="16" t="s">
        <v>257</v>
      </c>
      <c r="B116" s="4" t="s">
        <v>29</v>
      </c>
      <c r="C116" s="4" t="s">
        <v>35</v>
      </c>
      <c r="D116" s="4" t="s">
        <v>158</v>
      </c>
      <c r="E116" s="11" t="s">
        <v>303</v>
      </c>
    </row>
    <row r="117" spans="1:5" x14ac:dyDescent="0.2">
      <c r="A117" s="16" t="s">
        <v>63</v>
      </c>
      <c r="B117" s="4" t="s">
        <v>29</v>
      </c>
      <c r="C117" s="4" t="s">
        <v>304</v>
      </c>
      <c r="D117" s="4" t="s">
        <v>68</v>
      </c>
      <c r="E117" s="11" t="s">
        <v>305</v>
      </c>
    </row>
    <row r="118" spans="1:5" x14ac:dyDescent="0.2">
      <c r="A118" s="16" t="s">
        <v>159</v>
      </c>
      <c r="B118" s="4" t="s">
        <v>29</v>
      </c>
      <c r="C118" s="4" t="s">
        <v>287</v>
      </c>
      <c r="D118" s="4" t="s">
        <v>163</v>
      </c>
      <c r="E118" s="11" t="s">
        <v>306</v>
      </c>
    </row>
    <row r="119" spans="1:5" x14ac:dyDescent="0.2">
      <c r="A119" s="16" t="s">
        <v>206</v>
      </c>
      <c r="B119" s="4" t="s">
        <v>29</v>
      </c>
      <c r="C119" s="4" t="s">
        <v>272</v>
      </c>
      <c r="D119" s="4" t="s">
        <v>163</v>
      </c>
      <c r="E119" s="11" t="s">
        <v>307</v>
      </c>
    </row>
    <row r="120" spans="1:5" x14ac:dyDescent="0.2">
      <c r="A120" s="16" t="s">
        <v>76</v>
      </c>
      <c r="B120" s="4" t="s">
        <v>29</v>
      </c>
      <c r="C120" s="4" t="s">
        <v>308</v>
      </c>
      <c r="D120" s="4" t="s">
        <v>82</v>
      </c>
      <c r="E120" s="11" t="s">
        <v>309</v>
      </c>
    </row>
    <row r="121" spans="1:5" x14ac:dyDescent="0.2">
      <c r="A121" s="16" t="s">
        <v>165</v>
      </c>
      <c r="B121" s="4" t="s">
        <v>29</v>
      </c>
      <c r="C121" s="4" t="s">
        <v>287</v>
      </c>
      <c r="D121" s="4" t="s">
        <v>146</v>
      </c>
      <c r="E121" s="11" t="s">
        <v>310</v>
      </c>
    </row>
    <row r="122" spans="1:5" x14ac:dyDescent="0.2">
      <c r="A122" s="16" t="s">
        <v>97</v>
      </c>
      <c r="B122" s="4" t="s">
        <v>29</v>
      </c>
      <c r="C122" s="4" t="s">
        <v>311</v>
      </c>
      <c r="D122" s="4" t="s">
        <v>102</v>
      </c>
      <c r="E122" s="11" t="s">
        <v>312</v>
      </c>
    </row>
    <row r="123" spans="1:5" x14ac:dyDescent="0.2">
      <c r="A123" s="16" t="s">
        <v>83</v>
      </c>
      <c r="B123" s="4" t="s">
        <v>29</v>
      </c>
      <c r="C123" s="4" t="s">
        <v>308</v>
      </c>
      <c r="D123" s="4" t="s">
        <v>87</v>
      </c>
      <c r="E123" s="11" t="s">
        <v>313</v>
      </c>
    </row>
    <row r="125" spans="1:5" ht="14.25" x14ac:dyDescent="0.2">
      <c r="A125" s="17"/>
      <c r="B125" s="18" t="s">
        <v>275</v>
      </c>
    </row>
    <row r="126" spans="1:5" ht="15" x14ac:dyDescent="0.2">
      <c r="A126" s="6" t="s">
        <v>30</v>
      </c>
      <c r="B126" s="6" t="s">
        <v>31</v>
      </c>
      <c r="C126" s="6" t="s">
        <v>32</v>
      </c>
      <c r="D126" s="6" t="s">
        <v>33</v>
      </c>
      <c r="E126" s="6" t="s">
        <v>34</v>
      </c>
    </row>
    <row r="127" spans="1:5" x14ac:dyDescent="0.2">
      <c r="A127" s="16" t="s">
        <v>116</v>
      </c>
      <c r="B127" s="4" t="s">
        <v>314</v>
      </c>
      <c r="C127" s="4" t="s">
        <v>287</v>
      </c>
      <c r="D127" s="4" t="s">
        <v>122</v>
      </c>
      <c r="E127" s="11" t="s">
        <v>315</v>
      </c>
    </row>
    <row r="128" spans="1:5" x14ac:dyDescent="0.2">
      <c r="A128" s="16" t="s">
        <v>228</v>
      </c>
      <c r="B128" s="4" t="s">
        <v>314</v>
      </c>
      <c r="C128" s="4" t="s">
        <v>283</v>
      </c>
      <c r="D128" s="4" t="s">
        <v>133</v>
      </c>
      <c r="E128" s="11" t="s">
        <v>316</v>
      </c>
    </row>
    <row r="129" spans="1:5" x14ac:dyDescent="0.2">
      <c r="A129" s="16" t="s">
        <v>240</v>
      </c>
      <c r="B129" s="4" t="s">
        <v>317</v>
      </c>
      <c r="C129" s="4" t="s">
        <v>283</v>
      </c>
      <c r="D129" s="4" t="s">
        <v>133</v>
      </c>
      <c r="E129" s="11" t="s">
        <v>318</v>
      </c>
    </row>
  </sheetData>
  <mergeCells count="21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54:J54"/>
    <mergeCell ref="A62:J62"/>
    <mergeCell ref="A67:J67"/>
    <mergeCell ref="A9:J9"/>
    <mergeCell ref="A15:J15"/>
    <mergeCell ref="A19:J19"/>
    <mergeCell ref="A24:J24"/>
    <mergeCell ref="A29:J29"/>
    <mergeCell ref="A43:J4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workbookViewId="0">
      <selection activeCell="O3" sqref="O3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17.28515625" style="4" bestFit="1" customWidth="1"/>
    <col min="7" max="7" width="13.140625" style="3" customWidth="1"/>
    <col min="8" max="8" width="15.28515625" style="3" customWidth="1"/>
    <col min="9" max="9" width="13.85546875" style="11" customWidth="1"/>
    <col min="10" max="10" width="9.5703125" style="2" bestFit="1" customWidth="1"/>
    <col min="11" max="11" width="17.42578125" style="4" bestFit="1" customWidth="1"/>
    <col min="12" max="16384" width="9.140625" style="3"/>
  </cols>
  <sheetData>
    <row r="1" spans="1:11" s="2" customFormat="1" ht="29.1" customHeight="1" x14ac:dyDescent="0.2">
      <c r="A1" s="40" t="s">
        <v>410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2" customFormat="1" ht="141.75" customHeight="1" x14ac:dyDescent="0.2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 x14ac:dyDescent="0.2">
      <c r="A3" s="46" t="s">
        <v>0</v>
      </c>
      <c r="B3" s="48" t="s">
        <v>5</v>
      </c>
      <c r="C3" s="48" t="s">
        <v>9</v>
      </c>
      <c r="D3" s="34" t="s">
        <v>319</v>
      </c>
      <c r="E3" s="34" t="s">
        <v>3</v>
      </c>
      <c r="F3" s="34" t="s">
        <v>6</v>
      </c>
      <c r="G3" s="34" t="s">
        <v>413</v>
      </c>
      <c r="H3" s="34"/>
      <c r="I3" s="34" t="s">
        <v>37</v>
      </c>
      <c r="J3" s="34" t="s">
        <v>2</v>
      </c>
      <c r="K3" s="36" t="s">
        <v>1</v>
      </c>
    </row>
    <row r="4" spans="1:11" s="1" customFormat="1" ht="21" customHeight="1" thickBot="1" x14ac:dyDescent="0.25">
      <c r="A4" s="47"/>
      <c r="B4" s="35"/>
      <c r="C4" s="35"/>
      <c r="D4" s="35"/>
      <c r="E4" s="35"/>
      <c r="F4" s="35"/>
      <c r="G4" s="5" t="s">
        <v>7</v>
      </c>
      <c r="H4" s="5" t="s">
        <v>8</v>
      </c>
      <c r="I4" s="35"/>
      <c r="J4" s="35"/>
      <c r="K4" s="37"/>
    </row>
    <row r="5" spans="1:11" ht="15" x14ac:dyDescent="0.2">
      <c r="A5" s="38" t="s">
        <v>336</v>
      </c>
      <c r="B5" s="39"/>
      <c r="C5" s="39"/>
      <c r="D5" s="39"/>
      <c r="E5" s="39"/>
      <c r="F5" s="39"/>
      <c r="G5" s="39"/>
      <c r="H5" s="39"/>
    </row>
    <row r="6" spans="1:11" x14ac:dyDescent="0.2">
      <c r="A6" s="7" t="s">
        <v>337</v>
      </c>
      <c r="B6" s="7" t="s">
        <v>72</v>
      </c>
      <c r="C6" s="7" t="s">
        <v>73</v>
      </c>
      <c r="D6" s="7" t="str">
        <f>"0,9811"</f>
        <v>0,9811</v>
      </c>
      <c r="E6" s="7" t="s">
        <v>17</v>
      </c>
      <c r="F6" s="7" t="s">
        <v>18</v>
      </c>
      <c r="G6" s="9" t="s">
        <v>226</v>
      </c>
      <c r="H6" s="9" t="s">
        <v>324</v>
      </c>
      <c r="I6" s="12" t="str">
        <f>"682,5"</f>
        <v>682,5</v>
      </c>
      <c r="J6" s="13" t="str">
        <f>"669,5666"</f>
        <v>669,5666</v>
      </c>
      <c r="K6" s="7" t="s">
        <v>74</v>
      </c>
    </row>
    <row r="8" spans="1:11" ht="15" x14ac:dyDescent="0.2">
      <c r="A8" s="49" t="s">
        <v>75</v>
      </c>
      <c r="B8" s="49"/>
      <c r="C8" s="49"/>
      <c r="D8" s="49"/>
      <c r="E8" s="49"/>
      <c r="F8" s="49"/>
      <c r="G8" s="49"/>
      <c r="H8" s="49"/>
    </row>
    <row r="9" spans="1:11" x14ac:dyDescent="0.2">
      <c r="A9" s="19" t="s">
        <v>77</v>
      </c>
      <c r="B9" s="19" t="s">
        <v>78</v>
      </c>
      <c r="C9" s="19" t="s">
        <v>79</v>
      </c>
      <c r="D9" s="19" t="str">
        <f>"0,7561"</f>
        <v>0,7561</v>
      </c>
      <c r="E9" s="19" t="s">
        <v>17</v>
      </c>
      <c r="F9" s="19" t="s">
        <v>18</v>
      </c>
      <c r="G9" s="21" t="s">
        <v>93</v>
      </c>
      <c r="H9" s="21" t="s">
        <v>338</v>
      </c>
      <c r="I9" s="28" t="str">
        <f>"945,0"</f>
        <v>945,0</v>
      </c>
      <c r="J9" s="29" t="str">
        <f>"714,5145"</f>
        <v>714,5145</v>
      </c>
      <c r="K9" s="19" t="s">
        <v>59</v>
      </c>
    </row>
    <row r="10" spans="1:11" x14ac:dyDescent="0.2">
      <c r="A10" s="22" t="s">
        <v>339</v>
      </c>
      <c r="B10" s="22" t="s">
        <v>91</v>
      </c>
      <c r="C10" s="22" t="s">
        <v>92</v>
      </c>
      <c r="D10" s="22" t="str">
        <f>"0,8012"</f>
        <v>0,8012</v>
      </c>
      <c r="E10" s="22" t="s">
        <v>17</v>
      </c>
      <c r="F10" s="22" t="s">
        <v>18</v>
      </c>
      <c r="G10" s="24" t="s">
        <v>340</v>
      </c>
      <c r="H10" s="24" t="s">
        <v>341</v>
      </c>
      <c r="I10" s="30" t="str">
        <f>"687,5"</f>
        <v>687,5</v>
      </c>
      <c r="J10" s="31" t="str">
        <f>"550,8594"</f>
        <v>550,8594</v>
      </c>
      <c r="K10" s="22" t="s">
        <v>95</v>
      </c>
    </row>
    <row r="12" spans="1:11" ht="15" x14ac:dyDescent="0.2">
      <c r="A12" s="49" t="s">
        <v>96</v>
      </c>
      <c r="B12" s="49"/>
      <c r="C12" s="49"/>
      <c r="D12" s="49"/>
      <c r="E12" s="49"/>
      <c r="F12" s="49"/>
      <c r="G12" s="49"/>
      <c r="H12" s="49"/>
    </row>
    <row r="13" spans="1:11" x14ac:dyDescent="0.2">
      <c r="A13" s="7" t="s">
        <v>342</v>
      </c>
      <c r="B13" s="7" t="s">
        <v>112</v>
      </c>
      <c r="C13" s="7" t="s">
        <v>113</v>
      </c>
      <c r="D13" s="7" t="str">
        <f>"0,7117"</f>
        <v>0,7117</v>
      </c>
      <c r="E13" s="7" t="s">
        <v>17</v>
      </c>
      <c r="F13" s="7" t="s">
        <v>18</v>
      </c>
      <c r="G13" s="9" t="s">
        <v>94</v>
      </c>
      <c r="H13" s="9" t="s">
        <v>343</v>
      </c>
      <c r="I13" s="12" t="str">
        <f>"725,0"</f>
        <v>725,0</v>
      </c>
      <c r="J13" s="13" t="str">
        <f>"531,9780"</f>
        <v>531,9780</v>
      </c>
      <c r="K13" s="7" t="s">
        <v>114</v>
      </c>
    </row>
    <row r="15" spans="1:11" ht="15" x14ac:dyDescent="0.2">
      <c r="A15" s="49" t="s">
        <v>115</v>
      </c>
      <c r="B15" s="49"/>
      <c r="C15" s="49"/>
      <c r="D15" s="49"/>
      <c r="E15" s="49"/>
      <c r="F15" s="49"/>
      <c r="G15" s="49"/>
      <c r="H15" s="49"/>
    </row>
    <row r="16" spans="1:11" x14ac:dyDescent="0.2">
      <c r="A16" s="19" t="s">
        <v>344</v>
      </c>
      <c r="B16" s="19" t="s">
        <v>126</v>
      </c>
      <c r="C16" s="19" t="s">
        <v>127</v>
      </c>
      <c r="D16" s="19" t="str">
        <f>"0,6492"</f>
        <v>0,6492</v>
      </c>
      <c r="E16" s="19" t="s">
        <v>17</v>
      </c>
      <c r="F16" s="19" t="s">
        <v>18</v>
      </c>
      <c r="G16" s="21" t="s">
        <v>87</v>
      </c>
      <c r="H16" s="21" t="s">
        <v>345</v>
      </c>
      <c r="I16" s="28" t="str">
        <f>"2557,5"</f>
        <v>2557,5</v>
      </c>
      <c r="J16" s="29" t="str">
        <f>"1660,4568"</f>
        <v>1660,4568</v>
      </c>
      <c r="K16" s="19" t="s">
        <v>59</v>
      </c>
    </row>
    <row r="17" spans="1:11" x14ac:dyDescent="0.2">
      <c r="A17" s="25" t="s">
        <v>346</v>
      </c>
      <c r="B17" s="25" t="s">
        <v>138</v>
      </c>
      <c r="C17" s="25" t="s">
        <v>139</v>
      </c>
      <c r="D17" s="25" t="str">
        <f>"0,6518"</f>
        <v>0,6518</v>
      </c>
      <c r="E17" s="25" t="s">
        <v>17</v>
      </c>
      <c r="F17" s="25" t="s">
        <v>18</v>
      </c>
      <c r="G17" s="27" t="s">
        <v>87</v>
      </c>
      <c r="H17" s="27" t="s">
        <v>347</v>
      </c>
      <c r="I17" s="32" t="str">
        <f>"2062,5"</f>
        <v>2062,5</v>
      </c>
      <c r="J17" s="33" t="str">
        <f>"1344,4406"</f>
        <v>1344,4406</v>
      </c>
      <c r="K17" s="25" t="s">
        <v>141</v>
      </c>
    </row>
    <row r="18" spans="1:11" x14ac:dyDescent="0.2">
      <c r="A18" s="25" t="s">
        <v>348</v>
      </c>
      <c r="B18" s="25" t="s">
        <v>118</v>
      </c>
      <c r="C18" s="25" t="s">
        <v>119</v>
      </c>
      <c r="D18" s="25" t="str">
        <f>"0,6737"</f>
        <v>0,6737</v>
      </c>
      <c r="E18" s="25" t="s">
        <v>17</v>
      </c>
      <c r="F18" s="25" t="s">
        <v>18</v>
      </c>
      <c r="G18" s="27" t="s">
        <v>68</v>
      </c>
      <c r="H18" s="27" t="s">
        <v>347</v>
      </c>
      <c r="I18" s="32" t="str">
        <f>"1937,5"</f>
        <v>1937,5</v>
      </c>
      <c r="J18" s="33" t="str">
        <f>"1305,1969"</f>
        <v>1305,1969</v>
      </c>
      <c r="K18" s="25" t="s">
        <v>123</v>
      </c>
    </row>
    <row r="19" spans="1:11" x14ac:dyDescent="0.2">
      <c r="A19" s="25" t="s">
        <v>349</v>
      </c>
      <c r="B19" s="25" t="s">
        <v>131</v>
      </c>
      <c r="C19" s="25" t="s">
        <v>132</v>
      </c>
      <c r="D19" s="25" t="str">
        <f>"0,6524"</f>
        <v>0,6524</v>
      </c>
      <c r="E19" s="25" t="s">
        <v>17</v>
      </c>
      <c r="F19" s="25" t="s">
        <v>18</v>
      </c>
      <c r="G19" s="27" t="s">
        <v>87</v>
      </c>
      <c r="H19" s="27" t="s">
        <v>350</v>
      </c>
      <c r="I19" s="32" t="str">
        <f>"1320,0"</f>
        <v>1320,0</v>
      </c>
      <c r="J19" s="33" t="str">
        <f>"861,1020"</f>
        <v>861,1020</v>
      </c>
      <c r="K19" s="25" t="s">
        <v>135</v>
      </c>
    </row>
    <row r="20" spans="1:11" x14ac:dyDescent="0.2">
      <c r="A20" s="25" t="s">
        <v>143</v>
      </c>
      <c r="B20" s="25" t="s">
        <v>144</v>
      </c>
      <c r="C20" s="25" t="s">
        <v>145</v>
      </c>
      <c r="D20" s="25" t="str">
        <f>"0,6664"</f>
        <v>0,6664</v>
      </c>
      <c r="E20" s="25" t="s">
        <v>17</v>
      </c>
      <c r="F20" s="25" t="s">
        <v>18</v>
      </c>
      <c r="G20" s="27" t="s">
        <v>81</v>
      </c>
      <c r="H20" s="27" t="s">
        <v>350</v>
      </c>
      <c r="I20" s="32" t="str">
        <f>"1280,0"</f>
        <v>1280,0</v>
      </c>
      <c r="J20" s="33" t="str">
        <f>"852,9920"</f>
        <v>852,9920</v>
      </c>
      <c r="K20" s="25" t="s">
        <v>148</v>
      </c>
    </row>
    <row r="21" spans="1:11" x14ac:dyDescent="0.2">
      <c r="A21" s="25" t="s">
        <v>150</v>
      </c>
      <c r="B21" s="25" t="s">
        <v>151</v>
      </c>
      <c r="C21" s="25" t="s">
        <v>152</v>
      </c>
      <c r="D21" s="25" t="str">
        <f>"0,6557"</f>
        <v>0,6557</v>
      </c>
      <c r="E21" s="25" t="s">
        <v>17</v>
      </c>
      <c r="F21" s="25" t="s">
        <v>18</v>
      </c>
      <c r="G21" s="27" t="s">
        <v>87</v>
      </c>
      <c r="H21" s="27" t="s">
        <v>351</v>
      </c>
      <c r="I21" s="32" t="str">
        <f>"1237,5"</f>
        <v>1237,5</v>
      </c>
      <c r="J21" s="33" t="str">
        <f>"811,3669"</f>
        <v>811,3669</v>
      </c>
      <c r="K21" s="25" t="s">
        <v>153</v>
      </c>
    </row>
    <row r="22" spans="1:11" x14ac:dyDescent="0.2">
      <c r="A22" s="25" t="s">
        <v>352</v>
      </c>
      <c r="B22" s="25" t="s">
        <v>167</v>
      </c>
      <c r="C22" s="25" t="s">
        <v>168</v>
      </c>
      <c r="D22" s="25" t="str">
        <f>"0,6508"</f>
        <v>0,6508</v>
      </c>
      <c r="E22" s="25" t="s">
        <v>17</v>
      </c>
      <c r="F22" s="25" t="s">
        <v>18</v>
      </c>
      <c r="G22" s="27" t="s">
        <v>87</v>
      </c>
      <c r="H22" s="27" t="s">
        <v>353</v>
      </c>
      <c r="I22" s="32" t="str">
        <f>"660,0"</f>
        <v>660,0</v>
      </c>
      <c r="J22" s="33" t="str">
        <f>"429,5280"</f>
        <v>429,5280</v>
      </c>
      <c r="K22" s="25" t="s">
        <v>170</v>
      </c>
    </row>
    <row r="23" spans="1:11" x14ac:dyDescent="0.2">
      <c r="A23" s="22" t="s">
        <v>117</v>
      </c>
      <c r="B23" s="22" t="s">
        <v>179</v>
      </c>
      <c r="C23" s="22" t="s">
        <v>119</v>
      </c>
      <c r="D23" s="22" t="str">
        <f>"0,6737"</f>
        <v>0,6737</v>
      </c>
      <c r="E23" s="22" t="s">
        <v>17</v>
      </c>
      <c r="F23" s="22" t="s">
        <v>18</v>
      </c>
      <c r="G23" s="24" t="s">
        <v>68</v>
      </c>
      <c r="H23" s="24" t="s">
        <v>347</v>
      </c>
      <c r="I23" s="30" t="str">
        <f>"1937,5"</f>
        <v>1937,5</v>
      </c>
      <c r="J23" s="31" t="str">
        <f>"1972,1526"</f>
        <v>1972,1526</v>
      </c>
      <c r="K23" s="22" t="s">
        <v>123</v>
      </c>
    </row>
    <row r="25" spans="1:11" ht="15" x14ac:dyDescent="0.2">
      <c r="A25" s="49" t="s">
        <v>48</v>
      </c>
      <c r="B25" s="49"/>
      <c r="C25" s="49"/>
      <c r="D25" s="49"/>
      <c r="E25" s="49"/>
      <c r="F25" s="49"/>
      <c r="G25" s="49"/>
      <c r="H25" s="49"/>
    </row>
    <row r="26" spans="1:11" x14ac:dyDescent="0.2">
      <c r="A26" s="19" t="s">
        <v>354</v>
      </c>
      <c r="B26" s="19" t="s">
        <v>198</v>
      </c>
      <c r="C26" s="19" t="s">
        <v>199</v>
      </c>
      <c r="D26" s="19" t="str">
        <f>"0,6340"</f>
        <v>0,6340</v>
      </c>
      <c r="E26" s="19" t="s">
        <v>17</v>
      </c>
      <c r="F26" s="19" t="s">
        <v>18</v>
      </c>
      <c r="G26" s="21" t="s">
        <v>101</v>
      </c>
      <c r="H26" s="21" t="s">
        <v>355</v>
      </c>
      <c r="I26" s="28" t="str">
        <f>"0.00"</f>
        <v>0.00</v>
      </c>
      <c r="J26" s="29" t="str">
        <f>"0,0000"</f>
        <v>0,0000</v>
      </c>
      <c r="K26" s="19" t="s">
        <v>59</v>
      </c>
    </row>
    <row r="27" spans="1:11" x14ac:dyDescent="0.2">
      <c r="A27" s="25" t="s">
        <v>356</v>
      </c>
      <c r="B27" s="25" t="s">
        <v>193</v>
      </c>
      <c r="C27" s="25" t="s">
        <v>194</v>
      </c>
      <c r="D27" s="25" t="str">
        <f>"0,6299"</f>
        <v>0,6299</v>
      </c>
      <c r="E27" s="25" t="s">
        <v>17</v>
      </c>
      <c r="F27" s="25" t="s">
        <v>18</v>
      </c>
      <c r="G27" s="27" t="s">
        <v>82</v>
      </c>
      <c r="H27" s="27" t="s">
        <v>355</v>
      </c>
      <c r="I27" s="32" t="str">
        <f>"0.00"</f>
        <v>0.00</v>
      </c>
      <c r="J27" s="33" t="str">
        <f>"0,0000"</f>
        <v>0,0000</v>
      </c>
      <c r="K27" s="25" t="s">
        <v>195</v>
      </c>
    </row>
    <row r="28" spans="1:11" x14ac:dyDescent="0.2">
      <c r="A28" s="25" t="s">
        <v>357</v>
      </c>
      <c r="B28" s="25" t="s">
        <v>187</v>
      </c>
      <c r="C28" s="25" t="s">
        <v>188</v>
      </c>
      <c r="D28" s="25" t="str">
        <f>"0,6331"</f>
        <v>0,6331</v>
      </c>
      <c r="E28" s="25" t="s">
        <v>17</v>
      </c>
      <c r="F28" s="25" t="s">
        <v>18</v>
      </c>
      <c r="G28" s="27" t="s">
        <v>101</v>
      </c>
      <c r="H28" s="27" t="s">
        <v>358</v>
      </c>
      <c r="I28" s="32" t="str">
        <f>"1530,0"</f>
        <v>1530,0</v>
      </c>
      <c r="J28" s="33" t="str">
        <f>"968,6430"</f>
        <v>968,6430</v>
      </c>
      <c r="K28" s="25" t="s">
        <v>190</v>
      </c>
    </row>
    <row r="29" spans="1:11" x14ac:dyDescent="0.2">
      <c r="A29" s="25" t="s">
        <v>359</v>
      </c>
      <c r="B29" s="25" t="s">
        <v>182</v>
      </c>
      <c r="C29" s="25" t="s">
        <v>183</v>
      </c>
      <c r="D29" s="25" t="str">
        <f>"0,6359"</f>
        <v>0,6359</v>
      </c>
      <c r="E29" s="25" t="s">
        <v>17</v>
      </c>
      <c r="F29" s="25" t="s">
        <v>18</v>
      </c>
      <c r="G29" s="27" t="s">
        <v>101</v>
      </c>
      <c r="H29" s="27" t="s">
        <v>350</v>
      </c>
      <c r="I29" s="32" t="str">
        <f>"1360,0"</f>
        <v>1360,0</v>
      </c>
      <c r="J29" s="33" t="str">
        <f>"864,7560"</f>
        <v>864,7560</v>
      </c>
      <c r="K29" s="25" t="s">
        <v>184</v>
      </c>
    </row>
    <row r="30" spans="1:11" x14ac:dyDescent="0.2">
      <c r="A30" s="22" t="s">
        <v>360</v>
      </c>
      <c r="B30" s="22" t="s">
        <v>208</v>
      </c>
      <c r="C30" s="22" t="s">
        <v>209</v>
      </c>
      <c r="D30" s="22" t="str">
        <f>"0,6354"</f>
        <v>0,6354</v>
      </c>
      <c r="E30" s="22" t="s">
        <v>17</v>
      </c>
      <c r="F30" s="22" t="s">
        <v>18</v>
      </c>
      <c r="G30" s="24" t="s">
        <v>101</v>
      </c>
      <c r="H30" s="24" t="s">
        <v>324</v>
      </c>
      <c r="I30" s="30" t="str">
        <f>"1105,0"</f>
        <v>1105,0</v>
      </c>
      <c r="J30" s="31" t="str">
        <f>"702,1170"</f>
        <v>702,1170</v>
      </c>
      <c r="K30" s="22" t="s">
        <v>210</v>
      </c>
    </row>
    <row r="32" spans="1:11" ht="15" x14ac:dyDescent="0.2">
      <c r="A32" s="49" t="s">
        <v>221</v>
      </c>
      <c r="B32" s="49"/>
      <c r="C32" s="49"/>
      <c r="D32" s="49"/>
      <c r="E32" s="49"/>
      <c r="F32" s="49"/>
      <c r="G32" s="49"/>
      <c r="H32" s="49"/>
    </row>
    <row r="33" spans="1:11" x14ac:dyDescent="0.2">
      <c r="A33" s="19" t="s">
        <v>229</v>
      </c>
      <c r="B33" s="19" t="s">
        <v>230</v>
      </c>
      <c r="C33" s="19" t="s">
        <v>231</v>
      </c>
      <c r="D33" s="19" t="str">
        <f>"0,6068"</f>
        <v>0,6068</v>
      </c>
      <c r="E33" s="19" t="s">
        <v>17</v>
      </c>
      <c r="F33" s="19" t="s">
        <v>18</v>
      </c>
      <c r="G33" s="21" t="s">
        <v>174</v>
      </c>
      <c r="H33" s="21" t="s">
        <v>361</v>
      </c>
      <c r="I33" s="28" t="str">
        <f>"1572,5"</f>
        <v>1572,5</v>
      </c>
      <c r="J33" s="29" t="str">
        <f>"954,1930"</f>
        <v>954,1930</v>
      </c>
      <c r="K33" s="19" t="s">
        <v>21</v>
      </c>
    </row>
    <row r="34" spans="1:11" x14ac:dyDescent="0.2">
      <c r="A34" s="25" t="s">
        <v>362</v>
      </c>
      <c r="B34" s="25" t="s">
        <v>234</v>
      </c>
      <c r="C34" s="25" t="s">
        <v>235</v>
      </c>
      <c r="D34" s="25" t="str">
        <f>"0,5925"</f>
        <v>0,5925</v>
      </c>
      <c r="E34" s="25" t="s">
        <v>17</v>
      </c>
      <c r="F34" s="25" t="s">
        <v>18</v>
      </c>
      <c r="G34" s="27" t="s">
        <v>363</v>
      </c>
      <c r="H34" s="27" t="s">
        <v>343</v>
      </c>
      <c r="I34" s="32" t="str">
        <f>"975,0"</f>
        <v>975,0</v>
      </c>
      <c r="J34" s="33" t="str">
        <f>"577,7362"</f>
        <v>577,7362</v>
      </c>
      <c r="K34" s="25" t="s">
        <v>236</v>
      </c>
    </row>
    <row r="35" spans="1:11" x14ac:dyDescent="0.2">
      <c r="A35" s="25" t="s">
        <v>241</v>
      </c>
      <c r="B35" s="25" t="s">
        <v>242</v>
      </c>
      <c r="C35" s="25" t="s">
        <v>243</v>
      </c>
      <c r="D35" s="25" t="str">
        <f>"0,5813"</f>
        <v>0,5813</v>
      </c>
      <c r="E35" s="25" t="s">
        <v>17</v>
      </c>
      <c r="F35" s="25" t="s">
        <v>18</v>
      </c>
      <c r="G35" s="27" t="s">
        <v>146</v>
      </c>
      <c r="H35" s="27" t="s">
        <v>364</v>
      </c>
      <c r="I35" s="32" t="str">
        <f>"1200,0"</f>
        <v>1200,0</v>
      </c>
      <c r="J35" s="33" t="str">
        <f>"917,2914"</f>
        <v>917,2914</v>
      </c>
      <c r="K35" s="25" t="s">
        <v>21</v>
      </c>
    </row>
    <row r="36" spans="1:11" x14ac:dyDescent="0.2">
      <c r="A36" s="22" t="s">
        <v>229</v>
      </c>
      <c r="B36" s="22" t="s">
        <v>244</v>
      </c>
      <c r="C36" s="22" t="s">
        <v>231</v>
      </c>
      <c r="D36" s="22" t="str">
        <f>"0,6068"</f>
        <v>0,6068</v>
      </c>
      <c r="E36" s="22" t="s">
        <v>17</v>
      </c>
      <c r="F36" s="22" t="s">
        <v>18</v>
      </c>
      <c r="G36" s="24" t="s">
        <v>174</v>
      </c>
      <c r="H36" s="24" t="s">
        <v>361</v>
      </c>
      <c r="I36" s="30" t="str">
        <f>"1572,5"</f>
        <v>1572,5</v>
      </c>
      <c r="J36" s="31" t="str">
        <f>"1503,8082"</f>
        <v>1503,8082</v>
      </c>
      <c r="K36" s="22" t="s">
        <v>21</v>
      </c>
    </row>
    <row r="38" spans="1:11" ht="15" x14ac:dyDescent="0.2">
      <c r="A38" s="49" t="s">
        <v>261</v>
      </c>
      <c r="B38" s="49"/>
      <c r="C38" s="49"/>
      <c r="D38" s="49"/>
      <c r="E38" s="49"/>
      <c r="F38" s="49"/>
      <c r="G38" s="49"/>
      <c r="H38" s="49"/>
    </row>
    <row r="39" spans="1:11" x14ac:dyDescent="0.2">
      <c r="A39" s="7" t="s">
        <v>263</v>
      </c>
      <c r="B39" s="7" t="s">
        <v>264</v>
      </c>
      <c r="C39" s="7" t="s">
        <v>265</v>
      </c>
      <c r="D39" s="7" t="str">
        <f>"0,5304"</f>
        <v>0,5304</v>
      </c>
      <c r="E39" s="7" t="s">
        <v>17</v>
      </c>
      <c r="F39" s="7" t="s">
        <v>18</v>
      </c>
      <c r="G39" s="9" t="s">
        <v>128</v>
      </c>
      <c r="H39" s="9" t="s">
        <v>361</v>
      </c>
      <c r="I39" s="12" t="str">
        <f>"2422,5"</f>
        <v>2422,5</v>
      </c>
      <c r="J39" s="13" t="str">
        <f>"1284,9546"</f>
        <v>1284,9546</v>
      </c>
      <c r="K39" s="7" t="s">
        <v>59</v>
      </c>
    </row>
    <row r="41" spans="1:11" ht="15" x14ac:dyDescent="0.2">
      <c r="E41" s="10" t="s">
        <v>22</v>
      </c>
    </row>
    <row r="42" spans="1:11" ht="15" x14ac:dyDescent="0.2">
      <c r="E42" s="10" t="s">
        <v>23</v>
      </c>
    </row>
    <row r="43" spans="1:11" ht="15" x14ac:dyDescent="0.2">
      <c r="E43" s="10" t="s">
        <v>24</v>
      </c>
    </row>
    <row r="44" spans="1:11" ht="15" x14ac:dyDescent="0.2">
      <c r="E44" s="10" t="s">
        <v>25</v>
      </c>
    </row>
    <row r="45" spans="1:11" ht="15" x14ac:dyDescent="0.2">
      <c r="E45" s="10" t="s">
        <v>25</v>
      </c>
    </row>
    <row r="46" spans="1:11" ht="15" x14ac:dyDescent="0.2">
      <c r="E46" s="10" t="s">
        <v>26</v>
      </c>
    </row>
    <row r="47" spans="1:11" ht="15" x14ac:dyDescent="0.2">
      <c r="E47" s="10"/>
    </row>
    <row r="49" spans="1:5" ht="18" x14ac:dyDescent="0.25">
      <c r="A49" s="14" t="s">
        <v>27</v>
      </c>
      <c r="B49" s="14"/>
    </row>
    <row r="50" spans="1:5" ht="15" x14ac:dyDescent="0.2">
      <c r="A50" s="15" t="s">
        <v>28</v>
      </c>
      <c r="B50" s="15"/>
    </row>
    <row r="51" spans="1:5" ht="14.25" x14ac:dyDescent="0.2">
      <c r="A51" s="17"/>
      <c r="B51" s="18" t="s">
        <v>29</v>
      </c>
    </row>
    <row r="52" spans="1:5" ht="15" x14ac:dyDescent="0.2">
      <c r="A52" s="6" t="s">
        <v>30</v>
      </c>
      <c r="B52" s="6" t="s">
        <v>31</v>
      </c>
      <c r="C52" s="6" t="s">
        <v>32</v>
      </c>
      <c r="D52" s="6" t="s">
        <v>33</v>
      </c>
      <c r="E52" s="6" t="s">
        <v>331</v>
      </c>
    </row>
    <row r="53" spans="1:5" x14ac:dyDescent="0.2">
      <c r="A53" s="16" t="s">
        <v>124</v>
      </c>
      <c r="B53" s="4" t="s">
        <v>29</v>
      </c>
      <c r="C53" s="4" t="s">
        <v>287</v>
      </c>
      <c r="D53" s="4" t="s">
        <v>365</v>
      </c>
      <c r="E53" s="11" t="s">
        <v>366</v>
      </c>
    </row>
    <row r="54" spans="1:5" x14ac:dyDescent="0.2">
      <c r="A54" s="16" t="s">
        <v>136</v>
      </c>
      <c r="B54" s="4" t="s">
        <v>29</v>
      </c>
      <c r="C54" s="4" t="s">
        <v>287</v>
      </c>
      <c r="D54" s="4" t="s">
        <v>367</v>
      </c>
      <c r="E54" s="11" t="s">
        <v>368</v>
      </c>
    </row>
    <row r="55" spans="1:5" x14ac:dyDescent="0.2">
      <c r="A55" s="16" t="s">
        <v>116</v>
      </c>
      <c r="B55" s="4" t="s">
        <v>29</v>
      </c>
      <c r="C55" s="4" t="s">
        <v>287</v>
      </c>
      <c r="D55" s="4" t="s">
        <v>369</v>
      </c>
      <c r="E55" s="11" t="s">
        <v>370</v>
      </c>
    </row>
    <row r="56" spans="1:5" x14ac:dyDescent="0.2">
      <c r="A56" s="16" t="s">
        <v>262</v>
      </c>
      <c r="B56" s="4" t="s">
        <v>29</v>
      </c>
      <c r="C56" s="4" t="s">
        <v>285</v>
      </c>
      <c r="D56" s="4" t="s">
        <v>371</v>
      </c>
      <c r="E56" s="11" t="s">
        <v>372</v>
      </c>
    </row>
    <row r="57" spans="1:5" x14ac:dyDescent="0.2">
      <c r="A57" s="16" t="s">
        <v>185</v>
      </c>
      <c r="B57" s="4" t="s">
        <v>29</v>
      </c>
      <c r="C57" s="4" t="s">
        <v>272</v>
      </c>
      <c r="D57" s="4" t="s">
        <v>373</v>
      </c>
      <c r="E57" s="11" t="s">
        <v>374</v>
      </c>
    </row>
    <row r="58" spans="1:5" x14ac:dyDescent="0.2">
      <c r="A58" s="16" t="s">
        <v>228</v>
      </c>
      <c r="B58" s="4" t="s">
        <v>29</v>
      </c>
      <c r="C58" s="4" t="s">
        <v>283</v>
      </c>
      <c r="D58" s="4" t="s">
        <v>375</v>
      </c>
      <c r="E58" s="11" t="s">
        <v>376</v>
      </c>
    </row>
    <row r="59" spans="1:5" x14ac:dyDescent="0.2">
      <c r="A59" s="16" t="s">
        <v>180</v>
      </c>
      <c r="B59" s="4" t="s">
        <v>29</v>
      </c>
      <c r="C59" s="4" t="s">
        <v>272</v>
      </c>
      <c r="D59" s="4" t="s">
        <v>377</v>
      </c>
      <c r="E59" s="11" t="s">
        <v>378</v>
      </c>
    </row>
    <row r="60" spans="1:5" x14ac:dyDescent="0.2">
      <c r="A60" s="16" t="s">
        <v>129</v>
      </c>
      <c r="B60" s="4" t="s">
        <v>29</v>
      </c>
      <c r="C60" s="4" t="s">
        <v>287</v>
      </c>
      <c r="D60" s="4" t="s">
        <v>379</v>
      </c>
      <c r="E60" s="11" t="s">
        <v>380</v>
      </c>
    </row>
    <row r="61" spans="1:5" x14ac:dyDescent="0.2">
      <c r="A61" s="16" t="s">
        <v>142</v>
      </c>
      <c r="B61" s="4" t="s">
        <v>29</v>
      </c>
      <c r="C61" s="4" t="s">
        <v>287</v>
      </c>
      <c r="D61" s="4" t="s">
        <v>381</v>
      </c>
      <c r="E61" s="11" t="s">
        <v>382</v>
      </c>
    </row>
    <row r="62" spans="1:5" x14ac:dyDescent="0.2">
      <c r="A62" s="16" t="s">
        <v>149</v>
      </c>
      <c r="B62" s="4" t="s">
        <v>29</v>
      </c>
      <c r="C62" s="4" t="s">
        <v>287</v>
      </c>
      <c r="D62" s="4" t="s">
        <v>383</v>
      </c>
      <c r="E62" s="11" t="s">
        <v>384</v>
      </c>
    </row>
    <row r="63" spans="1:5" x14ac:dyDescent="0.2">
      <c r="A63" s="16" t="s">
        <v>76</v>
      </c>
      <c r="B63" s="4" t="s">
        <v>29</v>
      </c>
      <c r="C63" s="4" t="s">
        <v>308</v>
      </c>
      <c r="D63" s="4" t="s">
        <v>385</v>
      </c>
      <c r="E63" s="11" t="s">
        <v>386</v>
      </c>
    </row>
    <row r="64" spans="1:5" x14ac:dyDescent="0.2">
      <c r="A64" s="16" t="s">
        <v>206</v>
      </c>
      <c r="B64" s="4" t="s">
        <v>29</v>
      </c>
      <c r="C64" s="4" t="s">
        <v>272</v>
      </c>
      <c r="D64" s="4" t="s">
        <v>387</v>
      </c>
      <c r="E64" s="11" t="s">
        <v>388</v>
      </c>
    </row>
    <row r="65" spans="1:5" x14ac:dyDescent="0.2">
      <c r="A65" s="16" t="s">
        <v>70</v>
      </c>
      <c r="B65" s="4" t="s">
        <v>29</v>
      </c>
      <c r="C65" s="4" t="s">
        <v>389</v>
      </c>
      <c r="D65" s="4" t="s">
        <v>390</v>
      </c>
      <c r="E65" s="11" t="s">
        <v>391</v>
      </c>
    </row>
    <row r="66" spans="1:5" x14ac:dyDescent="0.2">
      <c r="A66" s="16" t="s">
        <v>232</v>
      </c>
      <c r="B66" s="4" t="s">
        <v>29</v>
      </c>
      <c r="C66" s="4" t="s">
        <v>283</v>
      </c>
      <c r="D66" s="4" t="s">
        <v>392</v>
      </c>
      <c r="E66" s="11" t="s">
        <v>393</v>
      </c>
    </row>
    <row r="67" spans="1:5" x14ac:dyDescent="0.2">
      <c r="A67" s="16" t="s">
        <v>89</v>
      </c>
      <c r="B67" s="4" t="s">
        <v>29</v>
      </c>
      <c r="C67" s="4" t="s">
        <v>308</v>
      </c>
      <c r="D67" s="4" t="s">
        <v>394</v>
      </c>
      <c r="E67" s="11" t="s">
        <v>395</v>
      </c>
    </row>
    <row r="68" spans="1:5" x14ac:dyDescent="0.2">
      <c r="A68" s="16" t="s">
        <v>165</v>
      </c>
      <c r="B68" s="4" t="s">
        <v>29</v>
      </c>
      <c r="C68" s="4" t="s">
        <v>287</v>
      </c>
      <c r="D68" s="4" t="s">
        <v>396</v>
      </c>
      <c r="E68" s="11" t="s">
        <v>397</v>
      </c>
    </row>
    <row r="70" spans="1:5" ht="14.25" x14ac:dyDescent="0.2">
      <c r="A70" s="17"/>
      <c r="B70" s="18" t="s">
        <v>275</v>
      </c>
    </row>
    <row r="71" spans="1:5" ht="15" x14ac:dyDescent="0.2">
      <c r="A71" s="6" t="s">
        <v>30</v>
      </c>
      <c r="B71" s="6" t="s">
        <v>31</v>
      </c>
      <c r="C71" s="6" t="s">
        <v>32</v>
      </c>
      <c r="D71" s="6" t="s">
        <v>33</v>
      </c>
      <c r="E71" s="6" t="s">
        <v>331</v>
      </c>
    </row>
    <row r="72" spans="1:5" x14ac:dyDescent="0.2">
      <c r="A72" s="16" t="s">
        <v>116</v>
      </c>
      <c r="B72" s="4" t="s">
        <v>314</v>
      </c>
      <c r="C72" s="4" t="s">
        <v>287</v>
      </c>
      <c r="D72" s="4" t="s">
        <v>369</v>
      </c>
      <c r="E72" s="11" t="s">
        <v>398</v>
      </c>
    </row>
    <row r="73" spans="1:5" x14ac:dyDescent="0.2">
      <c r="A73" s="16" t="s">
        <v>228</v>
      </c>
      <c r="B73" s="4" t="s">
        <v>314</v>
      </c>
      <c r="C73" s="4" t="s">
        <v>283</v>
      </c>
      <c r="D73" s="4" t="s">
        <v>375</v>
      </c>
      <c r="E73" s="11" t="s">
        <v>399</v>
      </c>
    </row>
    <row r="74" spans="1:5" x14ac:dyDescent="0.2">
      <c r="A74" s="16" t="s">
        <v>240</v>
      </c>
      <c r="B74" s="4" t="s">
        <v>317</v>
      </c>
      <c r="C74" s="4" t="s">
        <v>283</v>
      </c>
      <c r="D74" s="4" t="s">
        <v>400</v>
      </c>
      <c r="E74" s="11" t="s">
        <v>401</v>
      </c>
    </row>
    <row r="75" spans="1:5" x14ac:dyDescent="0.2">
      <c r="A75" s="16" t="s">
        <v>110</v>
      </c>
      <c r="B75" s="4" t="s">
        <v>402</v>
      </c>
      <c r="C75" s="4" t="s">
        <v>311</v>
      </c>
      <c r="D75" s="4" t="s">
        <v>403</v>
      </c>
      <c r="E75" s="11" t="s">
        <v>404</v>
      </c>
    </row>
  </sheetData>
  <mergeCells count="18">
    <mergeCell ref="A1:K2"/>
    <mergeCell ref="A3:A4"/>
    <mergeCell ref="B3:B4"/>
    <mergeCell ref="C3:C4"/>
    <mergeCell ref="D3:D4"/>
    <mergeCell ref="E3:E4"/>
    <mergeCell ref="F3:F4"/>
    <mergeCell ref="A38:H38"/>
    <mergeCell ref="G3:H3"/>
    <mergeCell ref="I3:I4"/>
    <mergeCell ref="J3:J4"/>
    <mergeCell ref="K3:K4"/>
    <mergeCell ref="A5:H5"/>
    <mergeCell ref="A8:H8"/>
    <mergeCell ref="A12:H12"/>
    <mergeCell ref="A15:H15"/>
    <mergeCell ref="A25:H25"/>
    <mergeCell ref="A32:H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H17" sqref="H17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17.28515625" style="4" bestFit="1" customWidth="1"/>
    <col min="7" max="7" width="8.85546875" style="3" customWidth="1"/>
    <col min="8" max="8" width="15.7109375" style="3" customWidth="1"/>
    <col min="9" max="9" width="14.7109375" style="11" customWidth="1"/>
    <col min="10" max="10" width="8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40" t="s">
        <v>409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1" s="2" customFormat="1" ht="144.75" customHeight="1" x14ac:dyDescent="0.2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1" s="1" customFormat="1" ht="12.75" customHeight="1" x14ac:dyDescent="0.2">
      <c r="A3" s="46" t="s">
        <v>0</v>
      </c>
      <c r="B3" s="48" t="s">
        <v>5</v>
      </c>
      <c r="C3" s="48" t="s">
        <v>9</v>
      </c>
      <c r="D3" s="34" t="s">
        <v>319</v>
      </c>
      <c r="E3" s="34" t="s">
        <v>3</v>
      </c>
      <c r="F3" s="34" t="s">
        <v>6</v>
      </c>
      <c r="G3" s="34" t="s">
        <v>413</v>
      </c>
      <c r="H3" s="34"/>
      <c r="I3" s="34" t="s">
        <v>37</v>
      </c>
      <c r="J3" s="34" t="s">
        <v>2</v>
      </c>
      <c r="K3" s="36" t="s">
        <v>1</v>
      </c>
    </row>
    <row r="4" spans="1:11" s="1" customFormat="1" ht="21" customHeight="1" thickBot="1" x14ac:dyDescent="0.25">
      <c r="A4" s="47"/>
      <c r="B4" s="35"/>
      <c r="C4" s="35"/>
      <c r="D4" s="35"/>
      <c r="E4" s="35"/>
      <c r="F4" s="35"/>
      <c r="G4" s="5" t="s">
        <v>7</v>
      </c>
      <c r="H4" s="5" t="s">
        <v>8</v>
      </c>
      <c r="I4" s="35"/>
      <c r="J4" s="35"/>
      <c r="K4" s="37"/>
    </row>
    <row r="5" spans="1:11" ht="15" x14ac:dyDescent="0.2">
      <c r="A5" s="38" t="s">
        <v>38</v>
      </c>
      <c r="B5" s="39"/>
      <c r="C5" s="39"/>
      <c r="D5" s="39"/>
      <c r="E5" s="39"/>
      <c r="F5" s="39"/>
      <c r="G5" s="39"/>
      <c r="H5" s="39"/>
    </row>
    <row r="6" spans="1:11" x14ac:dyDescent="0.2">
      <c r="A6" s="19" t="s">
        <v>40</v>
      </c>
      <c r="B6" s="19" t="s">
        <v>41</v>
      </c>
      <c r="C6" s="19" t="s">
        <v>42</v>
      </c>
      <c r="D6" s="19" t="str">
        <f>"0,9997"</f>
        <v>0,9997</v>
      </c>
      <c r="E6" s="19" t="s">
        <v>17</v>
      </c>
      <c r="F6" s="19" t="s">
        <v>18</v>
      </c>
      <c r="G6" s="21" t="s">
        <v>43</v>
      </c>
      <c r="H6" s="21" t="s">
        <v>353</v>
      </c>
      <c r="I6" s="28" t="str">
        <f>"240,0"</f>
        <v>240,0</v>
      </c>
      <c r="J6" s="29" t="str">
        <f>"239,9280"</f>
        <v>239,9280</v>
      </c>
      <c r="K6" s="19" t="s">
        <v>46</v>
      </c>
    </row>
    <row r="7" spans="1:11" x14ac:dyDescent="0.2">
      <c r="A7" s="22" t="s">
        <v>40</v>
      </c>
      <c r="B7" s="22" t="s">
        <v>47</v>
      </c>
      <c r="C7" s="22" t="s">
        <v>42</v>
      </c>
      <c r="D7" s="22" t="str">
        <f>"0,9997"</f>
        <v>0,9997</v>
      </c>
      <c r="E7" s="22" t="s">
        <v>17</v>
      </c>
      <c r="F7" s="22" t="s">
        <v>18</v>
      </c>
      <c r="G7" s="24" t="s">
        <v>43</v>
      </c>
      <c r="H7" s="24" t="s">
        <v>353</v>
      </c>
      <c r="I7" s="30" t="str">
        <f>"240,0"</f>
        <v>240,0</v>
      </c>
      <c r="J7" s="31" t="str">
        <f>"267,0399"</f>
        <v>267,0399</v>
      </c>
      <c r="K7" s="22" t="s">
        <v>46</v>
      </c>
    </row>
    <row r="9" spans="1:11" ht="15" x14ac:dyDescent="0.2">
      <c r="E9" s="10" t="s">
        <v>22</v>
      </c>
    </row>
    <row r="10" spans="1:11" ht="15" x14ac:dyDescent="0.2">
      <c r="E10" s="10" t="s">
        <v>23</v>
      </c>
    </row>
    <row r="11" spans="1:11" ht="15" x14ac:dyDescent="0.2">
      <c r="E11" s="10" t="s">
        <v>24</v>
      </c>
    </row>
    <row r="12" spans="1:11" ht="15" x14ac:dyDescent="0.2">
      <c r="E12" s="10" t="s">
        <v>25</v>
      </c>
    </row>
    <row r="13" spans="1:11" ht="15" x14ac:dyDescent="0.2">
      <c r="E13" s="10" t="s">
        <v>25</v>
      </c>
    </row>
    <row r="14" spans="1:11" ht="15" x14ac:dyDescent="0.2">
      <c r="E14" s="10" t="s">
        <v>26</v>
      </c>
    </row>
    <row r="15" spans="1:11" ht="15" x14ac:dyDescent="0.2">
      <c r="E15" s="10"/>
    </row>
    <row r="17" spans="1:5" ht="18" x14ac:dyDescent="0.25">
      <c r="A17" s="14" t="s">
        <v>27</v>
      </c>
      <c r="B17" s="14"/>
    </row>
    <row r="18" spans="1:5" ht="15" x14ac:dyDescent="0.2">
      <c r="A18" s="15" t="s">
        <v>269</v>
      </c>
      <c r="B18" s="15"/>
    </row>
    <row r="19" spans="1:5" ht="14.25" x14ac:dyDescent="0.2">
      <c r="A19" s="17"/>
      <c r="B19" s="18" t="s">
        <v>29</v>
      </c>
    </row>
    <row r="20" spans="1:5" ht="15" x14ac:dyDescent="0.2">
      <c r="A20" s="6" t="s">
        <v>30</v>
      </c>
      <c r="B20" s="6" t="s">
        <v>31</v>
      </c>
      <c r="C20" s="6" t="s">
        <v>32</v>
      </c>
      <c r="D20" s="6" t="s">
        <v>33</v>
      </c>
      <c r="E20" s="6" t="s">
        <v>331</v>
      </c>
    </row>
    <row r="21" spans="1:5" x14ac:dyDescent="0.2">
      <c r="A21" s="16" t="s">
        <v>39</v>
      </c>
      <c r="B21" s="4" t="s">
        <v>29</v>
      </c>
      <c r="C21" s="4" t="s">
        <v>270</v>
      </c>
      <c r="D21" s="4" t="s">
        <v>405</v>
      </c>
      <c r="E21" s="11" t="s">
        <v>406</v>
      </c>
    </row>
    <row r="23" spans="1:5" ht="14.25" x14ac:dyDescent="0.2">
      <c r="A23" s="17"/>
      <c r="B23" s="18" t="s">
        <v>275</v>
      </c>
    </row>
    <row r="24" spans="1:5" ht="15" x14ac:dyDescent="0.2">
      <c r="A24" s="6" t="s">
        <v>30</v>
      </c>
      <c r="B24" s="6" t="s">
        <v>31</v>
      </c>
      <c r="C24" s="6" t="s">
        <v>32</v>
      </c>
      <c r="D24" s="6" t="s">
        <v>33</v>
      </c>
      <c r="E24" s="6" t="s">
        <v>331</v>
      </c>
    </row>
    <row r="25" spans="1:5" x14ac:dyDescent="0.2">
      <c r="A25" s="16" t="s">
        <v>39</v>
      </c>
      <c r="B25" s="4" t="s">
        <v>276</v>
      </c>
      <c r="C25" s="4" t="s">
        <v>270</v>
      </c>
      <c r="D25" s="4" t="s">
        <v>405</v>
      </c>
      <c r="E25" s="11" t="s">
        <v>407</v>
      </c>
    </row>
  </sheetData>
  <mergeCells count="12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WPF PRO Жим безэк.</vt:lpstr>
      <vt:lpstr>WPF PRO МПЖ 1 вес</vt:lpstr>
      <vt:lpstr>WPF AM Жим безэк.</vt:lpstr>
      <vt:lpstr>WPF AM МПЖ 1 вес</vt:lpstr>
      <vt:lpstr>WPF AM МПЖ 1_2 вес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Игорь</cp:lastModifiedBy>
  <cp:lastPrinted>2015-07-16T19:10:53Z</cp:lastPrinted>
  <dcterms:created xsi:type="dcterms:W3CDTF">2002-06-16T13:36:44Z</dcterms:created>
  <dcterms:modified xsi:type="dcterms:W3CDTF">2020-09-28T18:41:22Z</dcterms:modified>
</cp:coreProperties>
</file>