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Игорь\Google Диск\PowerLifting\1. WPF\Protocols\"/>
    </mc:Choice>
  </mc:AlternateContent>
  <bookViews>
    <workbookView xWindow="0" yWindow="0" windowWidth="30720" windowHeight="11835" tabRatio="800"/>
  </bookViews>
  <sheets>
    <sheet name="WPF PRO Жим в 1-сл. эк." sheetId="6" r:id="rId1"/>
    <sheet name="WPF PRO Жим безэк." sheetId="5" r:id="rId2"/>
    <sheet name="WPF PRO Тяга безэк." sheetId="11" r:id="rId3"/>
    <sheet name="WPF PRO МПЖ 1 вес" sheetId="17" r:id="rId4"/>
    <sheet name="WPF PRO МПЖ 1_2 вес" sheetId="18" r:id="rId5"/>
    <sheet name="WPF AM Жим безэк." sheetId="9" r:id="rId6"/>
    <sheet name="WPF AM Тяга безэк." sheetId="15" r:id="rId7"/>
    <sheet name="WPF AM МПЖ 1 вес" sheetId="19" r:id="rId8"/>
  </sheets>
  <definedNames>
    <definedName name="_FilterDatabase" localSheetId="1" hidden="1">'WPF PRO Жим безэк.'!$A$1:$K$3</definedName>
  </definedNames>
  <calcPr calcId="152511" refMode="R1C1"/>
</workbook>
</file>

<file path=xl/calcChain.xml><?xml version="1.0" encoding="utf-8"?>
<calcChain xmlns="http://schemas.openxmlformats.org/spreadsheetml/2006/main">
  <c r="J13" i="19" l="1"/>
  <c r="I13" i="19"/>
  <c r="D13" i="19"/>
  <c r="J12" i="19"/>
  <c r="I12" i="19"/>
  <c r="D12" i="19"/>
  <c r="J9" i="19"/>
  <c r="I9" i="19"/>
  <c r="D9" i="19"/>
  <c r="J6" i="19"/>
  <c r="I6" i="19"/>
  <c r="D6" i="19"/>
  <c r="J6" i="18"/>
  <c r="I6" i="18"/>
  <c r="D6" i="18"/>
  <c r="J13" i="17"/>
  <c r="I13" i="17"/>
  <c r="D13" i="17"/>
  <c r="J12" i="17"/>
  <c r="I12" i="17"/>
  <c r="D12" i="17"/>
  <c r="J9" i="17"/>
  <c r="I9" i="17"/>
  <c r="D9" i="17"/>
  <c r="J6" i="17"/>
  <c r="I6" i="17"/>
  <c r="D6" i="17"/>
  <c r="L21" i="15"/>
  <c r="K21" i="15"/>
  <c r="D21" i="15"/>
  <c r="L18" i="15"/>
  <c r="K18" i="15"/>
  <c r="D18" i="15"/>
  <c r="L15" i="15"/>
  <c r="K15" i="15"/>
  <c r="D15" i="15"/>
  <c r="L12" i="15"/>
  <c r="K12" i="15"/>
  <c r="D12" i="15"/>
  <c r="L9" i="15"/>
  <c r="K9" i="15"/>
  <c r="D9" i="15"/>
  <c r="L6" i="15"/>
  <c r="K6" i="15"/>
  <c r="D6" i="15"/>
  <c r="L6" i="11"/>
  <c r="K6" i="11"/>
  <c r="D6" i="11"/>
  <c r="L50" i="9"/>
  <c r="K50" i="9"/>
  <c r="D50" i="9"/>
  <c r="L47" i="9"/>
  <c r="K47" i="9"/>
  <c r="D47" i="9"/>
  <c r="L46" i="9"/>
  <c r="K46" i="9"/>
  <c r="D46" i="9"/>
  <c r="L45" i="9"/>
  <c r="K45" i="9"/>
  <c r="D45" i="9"/>
  <c r="L44" i="9"/>
  <c r="K44" i="9"/>
  <c r="D44" i="9"/>
  <c r="L43" i="9"/>
  <c r="K43" i="9"/>
  <c r="D43" i="9"/>
  <c r="L40" i="9"/>
  <c r="K40" i="9"/>
  <c r="D40" i="9"/>
  <c r="L39" i="9"/>
  <c r="K39" i="9"/>
  <c r="D39" i="9"/>
  <c r="L36" i="9"/>
  <c r="K36" i="9"/>
  <c r="D36" i="9"/>
  <c r="L35" i="9"/>
  <c r="K35" i="9"/>
  <c r="D35" i="9"/>
  <c r="L34" i="9"/>
  <c r="K34" i="9"/>
  <c r="D34" i="9"/>
  <c r="L33" i="9"/>
  <c r="K33" i="9"/>
  <c r="D33" i="9"/>
  <c r="L32" i="9"/>
  <c r="K32" i="9"/>
  <c r="D32" i="9"/>
  <c r="L29" i="9"/>
  <c r="K29" i="9"/>
  <c r="D29" i="9"/>
  <c r="L28" i="9"/>
  <c r="K28" i="9"/>
  <c r="D28" i="9"/>
  <c r="L27" i="9"/>
  <c r="K27" i="9"/>
  <c r="D27" i="9"/>
  <c r="L24" i="9"/>
  <c r="K24" i="9"/>
  <c r="D24" i="9"/>
  <c r="L21" i="9"/>
  <c r="K21" i="9"/>
  <c r="D21" i="9"/>
  <c r="L18" i="9"/>
  <c r="K18" i="9"/>
  <c r="D18" i="9"/>
  <c r="L17" i="9"/>
  <c r="K17" i="9"/>
  <c r="D17" i="9"/>
  <c r="L14" i="9"/>
  <c r="K14" i="9"/>
  <c r="D14" i="9"/>
  <c r="L11" i="9"/>
  <c r="K11" i="9"/>
  <c r="D11" i="9"/>
  <c r="L8" i="9"/>
  <c r="K8" i="9"/>
  <c r="D8" i="9"/>
  <c r="L7" i="9"/>
  <c r="K7" i="9"/>
  <c r="D7" i="9"/>
  <c r="L6" i="9"/>
  <c r="K6" i="9"/>
  <c r="D6" i="9"/>
  <c r="L6" i="6"/>
  <c r="K6" i="6"/>
  <c r="D6" i="6"/>
  <c r="L16" i="5"/>
  <c r="K16" i="5"/>
  <c r="D16" i="5"/>
  <c r="L15" i="5"/>
  <c r="K15" i="5"/>
  <c r="D15" i="5"/>
  <c r="L12" i="5"/>
  <c r="K12" i="5"/>
  <c r="D12" i="5"/>
  <c r="L11" i="5"/>
  <c r="K11" i="5"/>
  <c r="D11" i="5"/>
  <c r="L10" i="5"/>
  <c r="K10" i="5"/>
  <c r="D10" i="5"/>
  <c r="L7" i="5"/>
  <c r="K7" i="5"/>
  <c r="D7" i="5"/>
  <c r="L6" i="5"/>
  <c r="K6" i="5"/>
  <c r="D6" i="5"/>
</calcChain>
</file>

<file path=xl/sharedStrings.xml><?xml version="1.0" encoding="utf-8"?>
<sst xmlns="http://schemas.openxmlformats.org/spreadsheetml/2006/main" count="984" uniqueCount="406">
  <si>
    <t>ФИО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</si>
  <si>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</si>
  <si>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</si>
  <si>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</si>
  <si>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</si>
  <si>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</si>
  <si>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</si>
  <si>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</si>
  <si>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</si>
  <si>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</si>
  <si>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Wilks</t>
  </si>
  <si>
    <t>Жим лёжа</t>
  </si>
  <si>
    <t>ВЕСОВАЯ КАТЕГОРИЯ   82.5</t>
  </si>
  <si>
    <t>Кондаков Алексей</t>
  </si>
  <si>
    <t>1. Кондаков Алексей</t>
  </si>
  <si>
    <t>Ветераны 50 - 54 (22.07.1970)/50</t>
  </si>
  <si>
    <t>81,90</t>
  </si>
  <si>
    <t xml:space="preserve">Лично </t>
  </si>
  <si>
    <t xml:space="preserve">Москва/ </t>
  </si>
  <si>
    <t>150,0</t>
  </si>
  <si>
    <t>155,0</t>
  </si>
  <si>
    <t>160,0</t>
  </si>
  <si>
    <t xml:space="preserve">. </t>
  </si>
  <si>
    <t>Костев Николай</t>
  </si>
  <si>
    <t>1. Костев Николай</t>
  </si>
  <si>
    <t>Ветераны 60 - 64 (17.12.1959)/60</t>
  </si>
  <si>
    <t>82,50</t>
  </si>
  <si>
    <t xml:space="preserve">Сергиев Посад/Московская область </t>
  </si>
  <si>
    <t>130,0</t>
  </si>
  <si>
    <t>140,0</t>
  </si>
  <si>
    <t>145,0</t>
  </si>
  <si>
    <t>ВЕСОВАЯ КАТЕГОРИЯ   90</t>
  </si>
  <si>
    <t>Сосунов Антон</t>
  </si>
  <si>
    <t>1. Сосунов Антон</t>
  </si>
  <si>
    <t>Открытая (14.12.1980)/39</t>
  </si>
  <si>
    <t>85,90</t>
  </si>
  <si>
    <t>135,0</t>
  </si>
  <si>
    <t>142,5</t>
  </si>
  <si>
    <t xml:space="preserve">Ходов Г.Я. </t>
  </si>
  <si>
    <t>Фирсов Алексей</t>
  </si>
  <si>
    <t>2. Фирсов Алексей</t>
  </si>
  <si>
    <t>Открытая (29.12.1988)/31</t>
  </si>
  <si>
    <t>87,40</t>
  </si>
  <si>
    <t>125,0</t>
  </si>
  <si>
    <t xml:space="preserve"> </t>
  </si>
  <si>
    <t>Петрокович Николай</t>
  </si>
  <si>
    <t>1. Петрокович Николай</t>
  </si>
  <si>
    <t>Ветераны 40 - 44 (17.08.1979)/41</t>
  </si>
  <si>
    <t>88,30</t>
  </si>
  <si>
    <t>102,5</t>
  </si>
  <si>
    <t>107,5</t>
  </si>
  <si>
    <t>ВЕСОВАЯ КАТЕГОРИЯ   100</t>
  </si>
  <si>
    <t>Суворов Артём</t>
  </si>
  <si>
    <t>1. Суворов Артём</t>
  </si>
  <si>
    <t>Открытая (21.05.1988)/32</t>
  </si>
  <si>
    <t>98,90</t>
  </si>
  <si>
    <t xml:space="preserve">Александров/Владимирская область </t>
  </si>
  <si>
    <t>152,5</t>
  </si>
  <si>
    <t>162,5</t>
  </si>
  <si>
    <t>165,0</t>
  </si>
  <si>
    <t xml:space="preserve">Суворов А. Ю. </t>
  </si>
  <si>
    <t>Шулимов Кирилл</t>
  </si>
  <si>
    <t>1. Шулимов Кирилл</t>
  </si>
  <si>
    <t>Ветераны 40 - 44 (04.06.1980)/40</t>
  </si>
  <si>
    <t>100,00</t>
  </si>
  <si>
    <t xml:space="preserve">Опалиха/Московская область </t>
  </si>
  <si>
    <t>175,0</t>
  </si>
  <si>
    <t>180,0</t>
  </si>
  <si>
    <t>182,5</t>
  </si>
  <si>
    <t xml:space="preserve">Шулимов К.В.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</si>
  <si>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</si>
  <si>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</si>
  <si>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</si>
  <si>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</si>
  <si>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</si>
  <si>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</si>
  <si>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</si>
  <si>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</si>
  <si>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</si>
  <si>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</si>
  <si>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</si>
  <si>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Результат </t>
  </si>
  <si>
    <t xml:space="preserve">Wilks </t>
  </si>
  <si>
    <t>100</t>
  </si>
  <si>
    <t>100,8645</t>
  </si>
  <si>
    <t>90</t>
  </si>
  <si>
    <t>93,2663</t>
  </si>
  <si>
    <t>87,5205</t>
  </si>
  <si>
    <t xml:space="preserve">Ветераны </t>
  </si>
  <si>
    <t xml:space="preserve">Ветераны 60 - 64 </t>
  </si>
  <si>
    <t>82.5</t>
  </si>
  <si>
    <t>130,1616</t>
  </si>
  <si>
    <t xml:space="preserve">Ветераны 50 - 54 </t>
  </si>
  <si>
    <t>117,8584</t>
  </si>
  <si>
    <t xml:space="preserve">Ветераны 40 - 44 </t>
  </si>
  <si>
    <t>109,5480</t>
  </si>
  <si>
    <t>69,9983</t>
  </si>
  <si>
    <t>Результат</t>
  </si>
  <si>
    <t>ВЕСОВАЯ КАТЕГОРИЯ   110</t>
  </si>
  <si>
    <t>Брехов Роман</t>
  </si>
  <si>
    <t>1. Брехов Роман</t>
  </si>
  <si>
    <t>Открытая (24.02.1990)/30</t>
  </si>
  <si>
    <t>105,90</t>
  </si>
  <si>
    <t xml:space="preserve">Балашиха/Московская область </t>
  </si>
  <si>
    <t>272,5</t>
  </si>
  <si>
    <t>280,0</t>
  </si>
  <si>
    <t xml:space="preserve">Соловьёв В. </t>
  </si>
  <si>
    <t>110</t>
  </si>
  <si>
    <t>162,3555</t>
  </si>
  <si>
    <t>ВЕСОВАЯ КАТЕГОРИЯ   52</t>
  </si>
  <si>
    <t>Капинос Юлия</t>
  </si>
  <si>
    <t>1. Капинос Юлия</t>
  </si>
  <si>
    <t>Девушки 15-19 (29.07.2001)/19</t>
  </si>
  <si>
    <t>49,10</t>
  </si>
  <si>
    <t>40,0</t>
  </si>
  <si>
    <t>45,0</t>
  </si>
  <si>
    <t xml:space="preserve">Капинос Ю.В. </t>
  </si>
  <si>
    <t>Ашукова Джамиля</t>
  </si>
  <si>
    <t>1. Ашукова Джамиля</t>
  </si>
  <si>
    <t>Открытая (05.08.1991)/29</t>
  </si>
  <si>
    <t>51,30</t>
  </si>
  <si>
    <t>47,5</t>
  </si>
  <si>
    <t>50,0</t>
  </si>
  <si>
    <t xml:space="preserve">Прагин Роман </t>
  </si>
  <si>
    <t>Кузовлева Наталья</t>
  </si>
  <si>
    <t>1. Кузовлева Наталья</t>
  </si>
  <si>
    <t>Ветераны 50 - 54 (16.01.1967)/53</t>
  </si>
  <si>
    <t>50,70</t>
  </si>
  <si>
    <t>42,5</t>
  </si>
  <si>
    <t xml:space="preserve">Кузовлева Н.А. </t>
  </si>
  <si>
    <t>ВЕСОВАЯ КАТЕГОРИЯ   56</t>
  </si>
  <si>
    <t>Елманова Диана</t>
  </si>
  <si>
    <t>1. Елманова Диана</t>
  </si>
  <si>
    <t>Юниорки 20 - 23 (09.02.1999)/21</t>
  </si>
  <si>
    <t>53,50</t>
  </si>
  <si>
    <t>55,0</t>
  </si>
  <si>
    <t xml:space="preserve">Елманова Д.А. </t>
  </si>
  <si>
    <t>ВЕСОВАЯ КАТЕГОРИЯ   60</t>
  </si>
  <si>
    <t>Романова Дарья</t>
  </si>
  <si>
    <t>1. Романова Дарья</t>
  </si>
  <si>
    <t>Девушки 15-19 (30.05.2005)/15</t>
  </si>
  <si>
    <t>57,60</t>
  </si>
  <si>
    <t xml:space="preserve">Фрязино/Московская область </t>
  </si>
  <si>
    <t xml:space="preserve">Дымов О.В. </t>
  </si>
  <si>
    <t>ВЕСОВАЯ КАТЕГОРИЯ   67.5</t>
  </si>
  <si>
    <t>Федюнина Яна</t>
  </si>
  <si>
    <t>1. Федюнина Яна</t>
  </si>
  <si>
    <t>Ветераны 40 - 44 (15.11.1975)/44</t>
  </si>
  <si>
    <t>66,50</t>
  </si>
  <si>
    <t>75,0</t>
  </si>
  <si>
    <t>77,5</t>
  </si>
  <si>
    <t xml:space="preserve">Прагин Р. О. </t>
  </si>
  <si>
    <t>Груздева Анастасия</t>
  </si>
  <si>
    <t>2. Груздева Анастасия</t>
  </si>
  <si>
    <t>Ветераны 40 - 44 (12.08.1979)/41</t>
  </si>
  <si>
    <t>66,00</t>
  </si>
  <si>
    <t>Нейман Сергей</t>
  </si>
  <si>
    <t>1. Нейман Сергей</t>
  </si>
  <si>
    <t>Юноши 15-19 (21.12.2000)/19</t>
  </si>
  <si>
    <t>59,80</t>
  </si>
  <si>
    <t>90,0</t>
  </si>
  <si>
    <t>100,0</t>
  </si>
  <si>
    <t xml:space="preserve">Нейман С С </t>
  </si>
  <si>
    <t>Сердюченко Юрий</t>
  </si>
  <si>
    <t>1. Сердюченко Юрий</t>
  </si>
  <si>
    <t>Ветераны 40 - 44 (20.09.1977)/43</t>
  </si>
  <si>
    <t>63,00</t>
  </si>
  <si>
    <t>60,0</t>
  </si>
  <si>
    <t xml:space="preserve">Петрокович Николай Александров </t>
  </si>
  <si>
    <t>Халмирзаев Жахангир</t>
  </si>
  <si>
    <t>1. Халмирзаев Жахангир</t>
  </si>
  <si>
    <t>Открытая (19.03.1983)/37</t>
  </si>
  <si>
    <t>80,60</t>
  </si>
  <si>
    <t>147,5</t>
  </si>
  <si>
    <t xml:space="preserve">Халмирзаев.Ж.М </t>
  </si>
  <si>
    <t>Фурсов Константин</t>
  </si>
  <si>
    <t>2. Фурсов Константин</t>
  </si>
  <si>
    <t>Открытая (12.11.1983)/36</t>
  </si>
  <si>
    <t>79,90</t>
  </si>
  <si>
    <t xml:space="preserve">Фурсов К.Е. </t>
  </si>
  <si>
    <t>Иващенко Олег</t>
  </si>
  <si>
    <t>3. Иващенко Олег</t>
  </si>
  <si>
    <t>Открытая (18.07.1990)/30</t>
  </si>
  <si>
    <t>81,30</t>
  </si>
  <si>
    <t xml:space="preserve">Иващенко О.Б. </t>
  </si>
  <si>
    <t>Мищенко Артем</t>
  </si>
  <si>
    <t>1. Мищенко Артем</t>
  </si>
  <si>
    <t>Открытая (26.06.1984)/36</t>
  </si>
  <si>
    <t>88,40</t>
  </si>
  <si>
    <t>185,0</t>
  </si>
  <si>
    <t>187,5</t>
  </si>
  <si>
    <t xml:space="preserve">Чокаев У. </t>
  </si>
  <si>
    <t>Богоутдинов Рустам</t>
  </si>
  <si>
    <t>2. Богоутдинов Рустам</t>
  </si>
  <si>
    <t>Открытая (05.06.1982)/38</t>
  </si>
  <si>
    <t>87,80</t>
  </si>
  <si>
    <t>167,5</t>
  </si>
  <si>
    <t xml:space="preserve">Мусихин Ю.А. </t>
  </si>
  <si>
    <t>Никонов Денис</t>
  </si>
  <si>
    <t>3. Никонов Денис</t>
  </si>
  <si>
    <t>Открытая (21.03.1982)/38</t>
  </si>
  <si>
    <t>87,00</t>
  </si>
  <si>
    <t xml:space="preserve">Красногорск/Московская область </t>
  </si>
  <si>
    <t>127,5</t>
  </si>
  <si>
    <t xml:space="preserve">Никонов Денис Александрович </t>
  </si>
  <si>
    <t>Дымов Олег</t>
  </si>
  <si>
    <t>1. Дымов Олег</t>
  </si>
  <si>
    <t>Ветераны 50 - 54 (02.05.1970)/50</t>
  </si>
  <si>
    <t>88,80</t>
  </si>
  <si>
    <t>Смирнов Леонид</t>
  </si>
  <si>
    <t>1. Смирнов Леонид</t>
  </si>
  <si>
    <t>Ветераны 60 - 64 (26.09.1957)/63</t>
  </si>
  <si>
    <t>89,20</t>
  </si>
  <si>
    <t>117,5</t>
  </si>
  <si>
    <t xml:space="preserve">Смирнов Л.А. </t>
  </si>
  <si>
    <t>Мартышин Александр</t>
  </si>
  <si>
    <t>1. Мартышин Александр</t>
  </si>
  <si>
    <t>Открытая (15.10.1986)/33</t>
  </si>
  <si>
    <t>94,10</t>
  </si>
  <si>
    <t xml:space="preserve">Сергиев Посад/Московская облас </t>
  </si>
  <si>
    <t xml:space="preserve">Самост </t>
  </si>
  <si>
    <t>Рева Владислав</t>
  </si>
  <si>
    <t>2. Рева Владислав</t>
  </si>
  <si>
    <t>Открытая (01.05.1987)/33</t>
  </si>
  <si>
    <t>99,20</t>
  </si>
  <si>
    <t>137,5</t>
  </si>
  <si>
    <t xml:space="preserve">Рева В.А. </t>
  </si>
  <si>
    <t>Овечкин Арсений</t>
  </si>
  <si>
    <t>1. Овечкин Арсений</t>
  </si>
  <si>
    <t>Юноши 15-19 (25.06.2002)/18</t>
  </si>
  <si>
    <t>110,00</t>
  </si>
  <si>
    <t xml:space="preserve">Домодедово/Московская область </t>
  </si>
  <si>
    <t xml:space="preserve">Овечкин А.С </t>
  </si>
  <si>
    <t>Максимов Сергей</t>
  </si>
  <si>
    <t>1. Максимов Сергей</t>
  </si>
  <si>
    <t>Открытая (15.09.1975)/45</t>
  </si>
  <si>
    <t>101,60</t>
  </si>
  <si>
    <t>170,0</t>
  </si>
  <si>
    <t xml:space="preserve">Котов Алексей Вячеславович </t>
  </si>
  <si>
    <t>Ремин Кирилл</t>
  </si>
  <si>
    <t>1. Ремин Кирилл</t>
  </si>
  <si>
    <t>Ветераны 45 - 49 (13.08.1975)/45</t>
  </si>
  <si>
    <t>103,50</t>
  </si>
  <si>
    <t xml:space="preserve">Пушнин М. </t>
  </si>
  <si>
    <t>2. Максимов Сергей</t>
  </si>
  <si>
    <t>Ветераны 45 - 49 (15.09.1975)/45</t>
  </si>
  <si>
    <t>Буханцев Павел</t>
  </si>
  <si>
    <t>1. Буханцев Павел</t>
  </si>
  <si>
    <t>Ветераны 50 - 54 (02.08.1969)/51</t>
  </si>
  <si>
    <t>108,80</t>
  </si>
  <si>
    <t xml:space="preserve">Кондаков А. </t>
  </si>
  <si>
    <t>ВЕСОВАЯ КАТЕГОРИЯ   125</t>
  </si>
  <si>
    <t>Кузнецов Александр</t>
  </si>
  <si>
    <t>1. Кузнецов Александр</t>
  </si>
  <si>
    <t>Открытая (06.05.1987)/33</t>
  </si>
  <si>
    <t>114,00</t>
  </si>
  <si>
    <t>110,0</t>
  </si>
  <si>
    <t>120,0</t>
  </si>
  <si>
    <t xml:space="preserve">Женщины </t>
  </si>
  <si>
    <t xml:space="preserve">Девушки </t>
  </si>
  <si>
    <t xml:space="preserve">Юноши 15-19 </t>
  </si>
  <si>
    <t>52</t>
  </si>
  <si>
    <t>52,0920</t>
  </si>
  <si>
    <t>60</t>
  </si>
  <si>
    <t>48,9133</t>
  </si>
  <si>
    <t xml:space="preserve">Юниорки </t>
  </si>
  <si>
    <t xml:space="preserve">Юниоры 20 - 23 </t>
  </si>
  <si>
    <t>56</t>
  </si>
  <si>
    <t>57,9215</t>
  </si>
  <si>
    <t>62,9850</t>
  </si>
  <si>
    <t>67.5</t>
  </si>
  <si>
    <t>80,7047</t>
  </si>
  <si>
    <t>60,1993</t>
  </si>
  <si>
    <t>47,1498</t>
  </si>
  <si>
    <t xml:space="preserve">Юноши </t>
  </si>
  <si>
    <t>85,5500</t>
  </si>
  <si>
    <t>80,9188</t>
  </si>
  <si>
    <t>120,8250</t>
  </si>
  <si>
    <t>108,3223</t>
  </si>
  <si>
    <t>102,8160</t>
  </si>
  <si>
    <t>99,9520</t>
  </si>
  <si>
    <t>96,8287</t>
  </si>
  <si>
    <t>88,8160</t>
  </si>
  <si>
    <t>87,8670</t>
  </si>
  <si>
    <t>87,7365</t>
  </si>
  <si>
    <t>87,0105</t>
  </si>
  <si>
    <t>125</t>
  </si>
  <si>
    <t>69,8880</t>
  </si>
  <si>
    <t>121,9146</t>
  </si>
  <si>
    <t>119,8501</t>
  </si>
  <si>
    <t xml:space="preserve">Ветераны 45 - 49 </t>
  </si>
  <si>
    <t>110,8858</t>
  </si>
  <si>
    <t>108,4709</t>
  </si>
  <si>
    <t>107,0763</t>
  </si>
  <si>
    <t>50,5149</t>
  </si>
  <si>
    <t>Становая тяга</t>
  </si>
  <si>
    <t>ВЕСОВАЯ КАТЕГОРИЯ   140+</t>
  </si>
  <si>
    <t>Климов Вячеслав</t>
  </si>
  <si>
    <t>1. Климов Вячеслав</t>
  </si>
  <si>
    <t>Юноши 15-19 (30.09.2002)/18</t>
  </si>
  <si>
    <t>147,20</t>
  </si>
  <si>
    <t>190,0</t>
  </si>
  <si>
    <t xml:space="preserve">Кондаков АА </t>
  </si>
  <si>
    <t>140+</t>
  </si>
  <si>
    <t>105,4120</t>
  </si>
  <si>
    <t>Галкина Анастасия</t>
  </si>
  <si>
    <t>1. Галкина Анастасия</t>
  </si>
  <si>
    <t>Открытая (08.02.1989)/31</t>
  </si>
  <si>
    <t>67,50</t>
  </si>
  <si>
    <t>105,0</t>
  </si>
  <si>
    <t xml:space="preserve">Туманов А.М. </t>
  </si>
  <si>
    <t>Чобану Елена</t>
  </si>
  <si>
    <t>1. Чобану Елена</t>
  </si>
  <si>
    <t>Открытая (14.12.1990)/29</t>
  </si>
  <si>
    <t>54,60</t>
  </si>
  <si>
    <t>95,0</t>
  </si>
  <si>
    <t>ВЕСОВАЯ КАТЕГОРИЯ   75</t>
  </si>
  <si>
    <t>Брыков Сергей</t>
  </si>
  <si>
    <t>1. Брыков Сергей</t>
  </si>
  <si>
    <t>Юниоры 20 - 23 (21.04.1999)/21</t>
  </si>
  <si>
    <t>70,40</t>
  </si>
  <si>
    <t xml:space="preserve">Щелково-3/Московская </t>
  </si>
  <si>
    <t xml:space="preserve">Брыков С.А. </t>
  </si>
  <si>
    <t>Гошкевич Артем</t>
  </si>
  <si>
    <t>1. Гошкевич Артем</t>
  </si>
  <si>
    <t>Открытая (24.01.1994)/26</t>
  </si>
  <si>
    <t>81,60</t>
  </si>
  <si>
    <t>200,0</t>
  </si>
  <si>
    <t>-. Синельников Роман</t>
  </si>
  <si>
    <t>Ветераны 40 - 44 (06.06.1976)/44</t>
  </si>
  <si>
    <t>98,10</t>
  </si>
  <si>
    <t>230,0</t>
  </si>
  <si>
    <t xml:space="preserve">Благов Д.С. </t>
  </si>
  <si>
    <t>122,4720</t>
  </si>
  <si>
    <t>149,7125</t>
  </si>
  <si>
    <t xml:space="preserve">Юниоры </t>
  </si>
  <si>
    <t>75</t>
  </si>
  <si>
    <t>138,0285</t>
  </si>
  <si>
    <t>134,8800</t>
  </si>
  <si>
    <t>100,3405</t>
  </si>
  <si>
    <t>Gloss</t>
  </si>
  <si>
    <t>82,5</t>
  </si>
  <si>
    <t>35,0</t>
  </si>
  <si>
    <t>Тарасов Сергей</t>
  </si>
  <si>
    <t>1. Тарасов Сергей</t>
  </si>
  <si>
    <t>Открытая (09.10.1991)/29</t>
  </si>
  <si>
    <t>87,50</t>
  </si>
  <si>
    <t>87,5</t>
  </si>
  <si>
    <t>30,0</t>
  </si>
  <si>
    <t xml:space="preserve">Тарасов С.Г. </t>
  </si>
  <si>
    <t>Прагин Роман</t>
  </si>
  <si>
    <t>1. Прагин Роман</t>
  </si>
  <si>
    <t>Открытая (02.06.1986)/34</t>
  </si>
  <si>
    <t>93,20</t>
  </si>
  <si>
    <t>32,0</t>
  </si>
  <si>
    <t>Оводов Игорь</t>
  </si>
  <si>
    <t>1. Оводов Игорь</t>
  </si>
  <si>
    <t>Ветераны 45 - 49 (30.10.1973)/46</t>
  </si>
  <si>
    <t>98,40</t>
  </si>
  <si>
    <t>29,0</t>
  </si>
  <si>
    <t xml:space="preserve">Оводов И.В. </t>
  </si>
  <si>
    <t xml:space="preserve">Gloss </t>
  </si>
  <si>
    <t>3040,0</t>
  </si>
  <si>
    <t>1825,9760</t>
  </si>
  <si>
    <t>2625,0</t>
  </si>
  <si>
    <t>1632,0937</t>
  </si>
  <si>
    <t>2887,5</t>
  </si>
  <si>
    <t>2494,1185</t>
  </si>
  <si>
    <t>2900,0</t>
  </si>
  <si>
    <t>1812,9459</t>
  </si>
  <si>
    <t>Тресков Дмитрий</t>
  </si>
  <si>
    <t>1. Тресков Дмитрий</t>
  </si>
  <si>
    <t>Юноши 15-19 (11.10.2004)/16</t>
  </si>
  <si>
    <t>57,20</t>
  </si>
  <si>
    <t xml:space="preserve">Буханцев ПП </t>
  </si>
  <si>
    <t>1650,0</t>
  </si>
  <si>
    <t>1441,0275</t>
  </si>
  <si>
    <t>Шагайда Константин</t>
  </si>
  <si>
    <t>1. Шагайда Константин</t>
  </si>
  <si>
    <t>Открытая (15.01.1996)/24</t>
  </si>
  <si>
    <t>74,40</t>
  </si>
  <si>
    <t xml:space="preserve">Белгород/Белгородская область </t>
  </si>
  <si>
    <t xml:space="preserve">Шагайда К.В </t>
  </si>
  <si>
    <t>Дробченко Евгений</t>
  </si>
  <si>
    <t>1. Дробченко Евгений</t>
  </si>
  <si>
    <t>Открытая (05.10.1981)/39</t>
  </si>
  <si>
    <t>76,00</t>
  </si>
  <si>
    <t>31,0</t>
  </si>
  <si>
    <t xml:space="preserve">Дробченко Е.С. </t>
  </si>
  <si>
    <t>10,0</t>
  </si>
  <si>
    <t>1818,2063</t>
  </si>
  <si>
    <t>2880,0</t>
  </si>
  <si>
    <t>1780,1280</t>
  </si>
  <si>
    <t>2402,5</t>
  </si>
  <si>
    <t>1638,2648</t>
  </si>
  <si>
    <t>900,0</t>
  </si>
  <si>
    <t>786,3956</t>
  </si>
  <si>
    <t>Открытый Мастерский турнир WPF по жиму штанги лежа и становой тяге «Masters 2020»
WPF Жим лежа в однослойной экипировке
Москва / 10 - 11 октября 2020 г.</t>
  </si>
  <si>
    <t>Открытый Мастерский турнир WPF по жиму штанги лежа и становой тяге «Masters 2020»
WPF Становая тяга безэкипировочная
Москва / 10 - 11 октября 2020 г.</t>
  </si>
  <si>
    <t>Открытый Мастерский турнир WPF по жиму штанги лежа и становой тяге «Masters 2020»
WPF Жим лежа безэкипировочный
Москва / 10 - 11 октября 2020 г.</t>
  </si>
  <si>
    <t>Многоповторный жим</t>
  </si>
  <si>
    <t>Открытый Мастерский турнир WPF по жиму штанги лежа и становой тяге «Masters 2020»
WPF с ДК Жим лежа безэкипировочный
Москва / 10 - 11 октября 2020 г.</t>
  </si>
  <si>
    <t>Открытый Мастерский турнир WPF по жиму штанги лежа и становой тяге «Masters 2020»
WPF с ДК Становая тяга безэкипировочная
Москва / 10 - 11 октября 2020 г.</t>
  </si>
  <si>
    <t>Открытый Мастерский турнир WPF по жиму штанги лежа и становой тяге «Masters 2020»
WPF с ДК Многоповторный жим лежа (1 вес)
Москва / 10 - 11 октября 2020 г.</t>
  </si>
  <si>
    <t>Открытый Мастерский турнир WPF по жиму штанги лежа и становой тяге «Masters 2020»
WPF Многоповторный жим лежа (1/2 вес)
Москва / 10 - 11 октября 2020 г.</t>
  </si>
  <si>
    <t>Открытый Мастерский турнир WPF по жиму штанги лежа и становой тяге «Masters 2020»
WPF Многоповторный жим лежа (1 вес)
Москва / 10 - 11 октября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</si>
</sst>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B26" sqref="B26"/>
    </sheetView>
  </sheetViews>
  <sheetFormatPr defaultColWidth="9.140625" defaultRowHeight="12.75" x14ac:dyDescent="0.2"/>
  <cols>
    <col min="1" max="1" width="24.7109375" style="4" bestFit="1" customWidth="1"/>
    <col min="2" max="2" width="25.28515625" style="4" bestFit="1" customWidth="1"/>
    <col min="3" max="3" width="18.5703125" style="4" customWidth="1"/>
    <col min="4" max="4" width="11.85546875" style="4" bestFit="1" customWidth="1"/>
    <col min="5" max="5" width="21.7109375" style="4" bestFit="1" customWidth="1"/>
    <col min="6" max="6" width="28.7109375" style="4" bestFit="1" customWidth="1"/>
    <col min="7" max="9" width="5.5703125" style="3" customWidth="1"/>
    <col min="10" max="10" width="4.5703125" style="3" customWidth="1"/>
    <col min="11" max="11" width="11.28515625" style="16" bestFit="1" customWidth="1"/>
    <col min="12" max="12" width="8.5703125" style="2" bestFit="1" customWidth="1"/>
    <col min="13" max="13" width="12.28515625" style="4" bestFit="1" customWidth="1"/>
    <col min="14" max="16384" width="9.140625" style="3"/>
  </cols>
  <sheetData>
    <row r="1" spans="1:13" s="2" customFormat="1" ht="28.9" customHeight="1" x14ac:dyDescent="0.2">
      <c r="A1" s="41" t="s">
        <v>397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93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8.75" customHeight="1" x14ac:dyDescent="0.2">
      <c r="A3" s="47" t="s">
        <v>0</v>
      </c>
      <c r="B3" s="49" t="s">
        <v>5</v>
      </c>
      <c r="C3" s="49" t="s">
        <v>9</v>
      </c>
      <c r="D3" s="35" t="s">
        <v>10</v>
      </c>
      <c r="E3" s="35" t="s">
        <v>3</v>
      </c>
      <c r="F3" s="35" t="s">
        <v>6</v>
      </c>
      <c r="G3" s="35" t="s">
        <v>11</v>
      </c>
      <c r="H3" s="35"/>
      <c r="I3" s="35"/>
      <c r="J3" s="35"/>
      <c r="K3" s="35" t="s">
        <v>97</v>
      </c>
      <c r="L3" s="35" t="s">
        <v>2</v>
      </c>
      <c r="M3" s="37" t="s">
        <v>1</v>
      </c>
    </row>
    <row r="4" spans="1:13" s="1" customFormat="1" ht="44.25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4</v>
      </c>
      <c r="K4" s="36"/>
      <c r="L4" s="36"/>
      <c r="M4" s="38"/>
    </row>
    <row r="5" spans="1:13" ht="15" x14ac:dyDescent="0.2">
      <c r="A5" s="39" t="s">
        <v>98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28" t="s">
        <v>100</v>
      </c>
      <c r="B6" s="28" t="s">
        <v>101</v>
      </c>
      <c r="C6" s="28" t="s">
        <v>102</v>
      </c>
      <c r="D6" s="28" t="str">
        <f>"0,5958"</f>
        <v>0,5958</v>
      </c>
      <c r="E6" s="28" t="s">
        <v>17</v>
      </c>
      <c r="F6" s="28" t="s">
        <v>103</v>
      </c>
      <c r="G6" s="31" t="s">
        <v>104</v>
      </c>
      <c r="H6" s="30" t="s">
        <v>105</v>
      </c>
      <c r="I6" s="30" t="s">
        <v>105</v>
      </c>
      <c r="J6" s="30"/>
      <c r="K6" s="32" t="str">
        <f>"272,5"</f>
        <v>272,5</v>
      </c>
      <c r="L6" s="33" t="str">
        <f>"162,3555"</f>
        <v>162,3555</v>
      </c>
      <c r="M6" s="28" t="s">
        <v>106</v>
      </c>
    </row>
    <row r="8" spans="1:13" ht="15" x14ac:dyDescent="0.2">
      <c r="E8" s="15" t="s">
        <v>70</v>
      </c>
    </row>
    <row r="9" spans="1:13" ht="15" x14ac:dyDescent="0.2">
      <c r="E9" s="15" t="s">
        <v>71</v>
      </c>
    </row>
    <row r="10" spans="1:13" ht="15" x14ac:dyDescent="0.2">
      <c r="E10" s="15" t="s">
        <v>72</v>
      </c>
    </row>
    <row r="11" spans="1:13" ht="15" x14ac:dyDescent="0.2">
      <c r="E11" s="15" t="s">
        <v>73</v>
      </c>
    </row>
    <row r="12" spans="1:13" ht="15" x14ac:dyDescent="0.2">
      <c r="E12" s="15" t="s">
        <v>73</v>
      </c>
    </row>
    <row r="13" spans="1:13" ht="15" x14ac:dyDescent="0.2">
      <c r="E13" s="15" t="s">
        <v>74</v>
      </c>
    </row>
    <row r="14" spans="1:13" ht="15" x14ac:dyDescent="0.2">
      <c r="E14" s="15"/>
    </row>
    <row r="16" spans="1:13" ht="18" x14ac:dyDescent="0.25">
      <c r="A16" s="23" t="s">
        <v>75</v>
      </c>
      <c r="B16" s="23"/>
    </row>
    <row r="17" spans="1:5" ht="15" x14ac:dyDescent="0.2">
      <c r="A17" s="24" t="s">
        <v>76</v>
      </c>
      <c r="B17" s="24"/>
    </row>
    <row r="18" spans="1:5" ht="14.25" x14ac:dyDescent="0.2">
      <c r="A18" s="26"/>
      <c r="B18" s="27" t="s">
        <v>77</v>
      </c>
    </row>
    <row r="19" spans="1:5" ht="15" x14ac:dyDescent="0.2">
      <c r="A19" s="29" t="s">
        <v>78</v>
      </c>
      <c r="B19" s="29" t="s">
        <v>79</v>
      </c>
      <c r="C19" s="29" t="s">
        <v>80</v>
      </c>
      <c r="D19" s="29" t="s">
        <v>81</v>
      </c>
      <c r="E19" s="29" t="s">
        <v>82</v>
      </c>
    </row>
    <row r="20" spans="1:5" x14ac:dyDescent="0.2">
      <c r="A20" s="25" t="s">
        <v>99</v>
      </c>
      <c r="B20" s="4" t="s">
        <v>77</v>
      </c>
      <c r="C20" s="4" t="s">
        <v>107</v>
      </c>
      <c r="D20" s="4" t="s">
        <v>104</v>
      </c>
      <c r="E20" s="16" t="s">
        <v>108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M39"/>
  <sheetViews>
    <sheetView workbookViewId="0">
      <selection activeCell="Q2" sqref="Q2"/>
    </sheetView>
  </sheetViews>
  <sheetFormatPr defaultColWidth="9.140625" defaultRowHeight="12.75" x14ac:dyDescent="0.2"/>
  <cols>
    <col min="1" max="1" width="24.7109375" style="4" bestFit="1" customWidth="1"/>
    <col min="2" max="2" width="32.5703125" style="4" customWidth="1"/>
    <col min="3" max="3" width="18.28515625" style="4" customWidth="1"/>
    <col min="4" max="4" width="11.85546875" style="4" bestFit="1" customWidth="1"/>
    <col min="5" max="5" width="21.7109375" style="4" bestFit="1" customWidth="1"/>
    <col min="6" max="6" width="34" style="4" bestFit="1" customWidth="1"/>
    <col min="7" max="9" width="5.5703125" style="3" customWidth="1"/>
    <col min="10" max="10" width="4.5703125" style="3" customWidth="1"/>
    <col min="11" max="11" width="12.28515625" style="16" customWidth="1"/>
    <col min="12" max="12" width="8.5703125" style="2" bestFit="1" customWidth="1"/>
    <col min="13" max="13" width="19" style="4" customWidth="1"/>
    <col min="14" max="16384" width="9.140625" style="3"/>
  </cols>
  <sheetData>
    <row r="1" spans="1:13" s="2" customFormat="1" ht="28.9" customHeight="1" x14ac:dyDescent="0.2">
      <c r="A1" s="41" t="s">
        <v>399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101.25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5</v>
      </c>
      <c r="C3" s="49" t="s">
        <v>9</v>
      </c>
      <c r="D3" s="35" t="s">
        <v>10</v>
      </c>
      <c r="E3" s="35" t="s">
        <v>3</v>
      </c>
      <c r="F3" s="35" t="s">
        <v>6</v>
      </c>
      <c r="G3" s="35" t="s">
        <v>11</v>
      </c>
      <c r="H3" s="35"/>
      <c r="I3" s="35"/>
      <c r="J3" s="35"/>
      <c r="K3" s="35" t="s">
        <v>97</v>
      </c>
      <c r="L3" s="35" t="s">
        <v>2</v>
      </c>
      <c r="M3" s="37" t="s">
        <v>1</v>
      </c>
    </row>
    <row r="4" spans="1:13" s="1" customFormat="1" ht="34.5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4</v>
      </c>
      <c r="K4" s="36"/>
      <c r="L4" s="36"/>
      <c r="M4" s="38"/>
    </row>
    <row r="5" spans="1:13" ht="15" x14ac:dyDescent="0.2">
      <c r="A5" s="39" t="s">
        <v>12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14</v>
      </c>
      <c r="B6" s="6" t="s">
        <v>15</v>
      </c>
      <c r="C6" s="6" t="s">
        <v>16</v>
      </c>
      <c r="D6" s="6" t="str">
        <f>"0,6729"</f>
        <v>0,6729</v>
      </c>
      <c r="E6" s="6" t="s">
        <v>17</v>
      </c>
      <c r="F6" s="6" t="s">
        <v>18</v>
      </c>
      <c r="G6" s="8" t="s">
        <v>19</v>
      </c>
      <c r="H6" s="8" t="s">
        <v>20</v>
      </c>
      <c r="I6" s="7" t="s">
        <v>21</v>
      </c>
      <c r="J6" s="7"/>
      <c r="K6" s="17" t="str">
        <f>"155,0"</f>
        <v>155,0</v>
      </c>
      <c r="L6" s="18" t="str">
        <f>"117,8584"</f>
        <v>117,8584</v>
      </c>
      <c r="M6" s="6" t="s">
        <v>22</v>
      </c>
    </row>
    <row r="7" spans="1:13" x14ac:dyDescent="0.2">
      <c r="A7" s="9" t="s">
        <v>24</v>
      </c>
      <c r="B7" s="9" t="s">
        <v>25</v>
      </c>
      <c r="C7" s="9" t="s">
        <v>26</v>
      </c>
      <c r="D7" s="9" t="str">
        <f>"0,6699"</f>
        <v>0,6699</v>
      </c>
      <c r="E7" s="9" t="s">
        <v>17</v>
      </c>
      <c r="F7" s="9" t="s">
        <v>27</v>
      </c>
      <c r="G7" s="11" t="s">
        <v>28</v>
      </c>
      <c r="H7" s="11" t="s">
        <v>29</v>
      </c>
      <c r="I7" s="11" t="s">
        <v>30</v>
      </c>
      <c r="J7" s="10"/>
      <c r="K7" s="19" t="str">
        <f>"145,0"</f>
        <v>145,0</v>
      </c>
      <c r="L7" s="20" t="str">
        <f>"130,1616"</f>
        <v>130,1616</v>
      </c>
      <c r="M7" s="9" t="s">
        <v>22</v>
      </c>
    </row>
    <row r="9" spans="1:13" ht="15" x14ac:dyDescent="0.2">
      <c r="A9" s="34" t="s">
        <v>31</v>
      </c>
      <c r="B9" s="34"/>
      <c r="C9" s="34"/>
      <c r="D9" s="34"/>
      <c r="E9" s="34"/>
      <c r="F9" s="34"/>
      <c r="G9" s="34"/>
      <c r="H9" s="34"/>
      <c r="I9" s="34"/>
      <c r="J9" s="34"/>
    </row>
    <row r="10" spans="1:13" x14ac:dyDescent="0.2">
      <c r="A10" s="6" t="s">
        <v>33</v>
      </c>
      <c r="B10" s="6" t="s">
        <v>34</v>
      </c>
      <c r="C10" s="6" t="s">
        <v>35</v>
      </c>
      <c r="D10" s="6" t="str">
        <f>"0,6545"</f>
        <v>0,6545</v>
      </c>
      <c r="E10" s="6" t="s">
        <v>17</v>
      </c>
      <c r="F10" s="6" t="s">
        <v>18</v>
      </c>
      <c r="G10" s="8" t="s">
        <v>36</v>
      </c>
      <c r="H10" s="8" t="s">
        <v>29</v>
      </c>
      <c r="I10" s="8" t="s">
        <v>37</v>
      </c>
      <c r="J10" s="7"/>
      <c r="K10" s="17" t="str">
        <f>"142,5"</f>
        <v>142,5</v>
      </c>
      <c r="L10" s="18" t="str">
        <f>"93,2663"</f>
        <v>93,2663</v>
      </c>
      <c r="M10" s="6" t="s">
        <v>38</v>
      </c>
    </row>
    <row r="11" spans="1:13" x14ac:dyDescent="0.2">
      <c r="A11" s="12" t="s">
        <v>40</v>
      </c>
      <c r="B11" s="12" t="s">
        <v>41</v>
      </c>
      <c r="C11" s="12" t="s">
        <v>42</v>
      </c>
      <c r="D11" s="12" t="str">
        <f>"0,6483"</f>
        <v>0,6483</v>
      </c>
      <c r="E11" s="12" t="s">
        <v>17</v>
      </c>
      <c r="F11" s="12" t="s">
        <v>18</v>
      </c>
      <c r="G11" s="14" t="s">
        <v>43</v>
      </c>
      <c r="H11" s="14" t="s">
        <v>36</v>
      </c>
      <c r="I11" s="13" t="s">
        <v>30</v>
      </c>
      <c r="J11" s="13"/>
      <c r="K11" s="21" t="str">
        <f>"135,0"</f>
        <v>135,0</v>
      </c>
      <c r="L11" s="22" t="str">
        <f>"87,5205"</f>
        <v>87,5205</v>
      </c>
      <c r="M11" s="12" t="s">
        <v>44</v>
      </c>
    </row>
    <row r="12" spans="1:13" x14ac:dyDescent="0.2">
      <c r="A12" s="9" t="s">
        <v>46</v>
      </c>
      <c r="B12" s="9" t="s">
        <v>47</v>
      </c>
      <c r="C12" s="9" t="s">
        <v>48</v>
      </c>
      <c r="D12" s="9" t="str">
        <f>"0,6447"</f>
        <v>0,6447</v>
      </c>
      <c r="E12" s="9" t="s">
        <v>17</v>
      </c>
      <c r="F12" s="9" t="s">
        <v>18</v>
      </c>
      <c r="G12" s="10" t="s">
        <v>49</v>
      </c>
      <c r="H12" s="11" t="s">
        <v>49</v>
      </c>
      <c r="I12" s="11" t="s">
        <v>50</v>
      </c>
      <c r="J12" s="10"/>
      <c r="K12" s="19" t="str">
        <f>"107,5"</f>
        <v>107,5</v>
      </c>
      <c r="L12" s="20" t="str">
        <f>"69,9983"</f>
        <v>69,9983</v>
      </c>
      <c r="M12" s="9" t="s">
        <v>22</v>
      </c>
    </row>
    <row r="14" spans="1:13" ht="15" x14ac:dyDescent="0.2">
      <c r="A14" s="34" t="s">
        <v>51</v>
      </c>
      <c r="B14" s="34"/>
      <c r="C14" s="34"/>
      <c r="D14" s="34"/>
      <c r="E14" s="34"/>
      <c r="F14" s="34"/>
      <c r="G14" s="34"/>
      <c r="H14" s="34"/>
      <c r="I14" s="34"/>
      <c r="J14" s="34"/>
    </row>
    <row r="15" spans="1:13" x14ac:dyDescent="0.2">
      <c r="A15" s="6" t="s">
        <v>53</v>
      </c>
      <c r="B15" s="6" t="s">
        <v>54</v>
      </c>
      <c r="C15" s="6" t="s">
        <v>55</v>
      </c>
      <c r="D15" s="6" t="str">
        <f>"0,6113"</f>
        <v>0,6113</v>
      </c>
      <c r="E15" s="6" t="s">
        <v>17</v>
      </c>
      <c r="F15" s="6" t="s">
        <v>56</v>
      </c>
      <c r="G15" s="8" t="s">
        <v>57</v>
      </c>
      <c r="H15" s="8" t="s">
        <v>58</v>
      </c>
      <c r="I15" s="8" t="s">
        <v>59</v>
      </c>
      <c r="J15" s="7"/>
      <c r="K15" s="17" t="str">
        <f>"165,0"</f>
        <v>165,0</v>
      </c>
      <c r="L15" s="18" t="str">
        <f>"100,8645"</f>
        <v>100,8645</v>
      </c>
      <c r="M15" s="6" t="s">
        <v>60</v>
      </c>
    </row>
    <row r="16" spans="1:13" x14ac:dyDescent="0.2">
      <c r="A16" s="9" t="s">
        <v>62</v>
      </c>
      <c r="B16" s="9" t="s">
        <v>63</v>
      </c>
      <c r="C16" s="9" t="s">
        <v>64</v>
      </c>
      <c r="D16" s="9" t="str">
        <f>"0,6086"</f>
        <v>0,6086</v>
      </c>
      <c r="E16" s="9" t="s">
        <v>17</v>
      </c>
      <c r="F16" s="9" t="s">
        <v>65</v>
      </c>
      <c r="G16" s="11" t="s">
        <v>66</v>
      </c>
      <c r="H16" s="11" t="s">
        <v>67</v>
      </c>
      <c r="I16" s="10" t="s">
        <v>68</v>
      </c>
      <c r="J16" s="10"/>
      <c r="K16" s="19" t="str">
        <f>"180,0"</f>
        <v>180,0</v>
      </c>
      <c r="L16" s="20" t="str">
        <f>"109,5480"</f>
        <v>109,5480</v>
      </c>
      <c r="M16" s="9" t="s">
        <v>69</v>
      </c>
    </row>
    <row r="18" spans="1:5" ht="15" x14ac:dyDescent="0.2">
      <c r="E18" s="15" t="s">
        <v>70</v>
      </c>
    </row>
    <row r="19" spans="1:5" ht="15" x14ac:dyDescent="0.2">
      <c r="E19" s="15" t="s">
        <v>71</v>
      </c>
    </row>
    <row r="20" spans="1:5" ht="15" x14ac:dyDescent="0.2">
      <c r="E20" s="15" t="s">
        <v>72</v>
      </c>
    </row>
    <row r="21" spans="1:5" ht="15" x14ac:dyDescent="0.2">
      <c r="E21" s="15" t="s">
        <v>73</v>
      </c>
    </row>
    <row r="22" spans="1:5" ht="15" x14ac:dyDescent="0.2">
      <c r="E22" s="15" t="s">
        <v>73</v>
      </c>
    </row>
    <row r="23" spans="1:5" ht="15" x14ac:dyDescent="0.2">
      <c r="E23" s="15" t="s">
        <v>74</v>
      </c>
    </row>
    <row r="24" spans="1:5" ht="15" x14ac:dyDescent="0.2">
      <c r="E24" s="15"/>
    </row>
    <row r="26" spans="1:5" ht="18" x14ac:dyDescent="0.25">
      <c r="A26" s="23" t="s">
        <v>75</v>
      </c>
      <c r="B26" s="23"/>
    </row>
    <row r="27" spans="1:5" ht="15" x14ac:dyDescent="0.2">
      <c r="A27" s="24" t="s">
        <v>76</v>
      </c>
      <c r="B27" s="24"/>
    </row>
    <row r="28" spans="1:5" ht="14.25" x14ac:dyDescent="0.2">
      <c r="A28" s="26"/>
      <c r="B28" s="27" t="s">
        <v>77</v>
      </c>
    </row>
    <row r="29" spans="1:5" ht="15" x14ac:dyDescent="0.2">
      <c r="A29" s="29" t="s">
        <v>78</v>
      </c>
      <c r="B29" s="29" t="s">
        <v>79</v>
      </c>
      <c r="C29" s="29" t="s">
        <v>80</v>
      </c>
      <c r="D29" s="29" t="s">
        <v>81</v>
      </c>
      <c r="E29" s="29" t="s">
        <v>82</v>
      </c>
    </row>
    <row r="30" spans="1:5" x14ac:dyDescent="0.2">
      <c r="A30" s="25" t="s">
        <v>52</v>
      </c>
      <c r="B30" s="4" t="s">
        <v>77</v>
      </c>
      <c r="C30" s="4" t="s">
        <v>83</v>
      </c>
      <c r="D30" s="4" t="s">
        <v>59</v>
      </c>
      <c r="E30" s="16" t="s">
        <v>84</v>
      </c>
    </row>
    <row r="31" spans="1:5" x14ac:dyDescent="0.2">
      <c r="A31" s="25" t="s">
        <v>32</v>
      </c>
      <c r="B31" s="4" t="s">
        <v>77</v>
      </c>
      <c r="C31" s="4" t="s">
        <v>85</v>
      </c>
      <c r="D31" s="4" t="s">
        <v>37</v>
      </c>
      <c r="E31" s="16" t="s">
        <v>86</v>
      </c>
    </row>
    <row r="32" spans="1:5" x14ac:dyDescent="0.2">
      <c r="A32" s="25" t="s">
        <v>39</v>
      </c>
      <c r="B32" s="4" t="s">
        <v>77</v>
      </c>
      <c r="C32" s="4" t="s">
        <v>85</v>
      </c>
      <c r="D32" s="4" t="s">
        <v>36</v>
      </c>
      <c r="E32" s="16" t="s">
        <v>87</v>
      </c>
    </row>
    <row r="34" spans="1:5" ht="14.25" x14ac:dyDescent="0.2">
      <c r="A34" s="26"/>
      <c r="B34" s="27" t="s">
        <v>88</v>
      </c>
    </row>
    <row r="35" spans="1:5" ht="15" x14ac:dyDescent="0.2">
      <c r="A35" s="29" t="s">
        <v>78</v>
      </c>
      <c r="B35" s="29" t="s">
        <v>79</v>
      </c>
      <c r="C35" s="29" t="s">
        <v>80</v>
      </c>
      <c r="D35" s="29" t="s">
        <v>81</v>
      </c>
      <c r="E35" s="29" t="s">
        <v>82</v>
      </c>
    </row>
    <row r="36" spans="1:5" x14ac:dyDescent="0.2">
      <c r="A36" s="25" t="s">
        <v>23</v>
      </c>
      <c r="B36" s="4" t="s">
        <v>89</v>
      </c>
      <c r="C36" s="4" t="s">
        <v>90</v>
      </c>
      <c r="D36" s="4" t="s">
        <v>30</v>
      </c>
      <c r="E36" s="16" t="s">
        <v>91</v>
      </c>
    </row>
    <row r="37" spans="1:5" x14ac:dyDescent="0.2">
      <c r="A37" s="25" t="s">
        <v>13</v>
      </c>
      <c r="B37" s="4" t="s">
        <v>92</v>
      </c>
      <c r="C37" s="4" t="s">
        <v>90</v>
      </c>
      <c r="D37" s="4" t="s">
        <v>20</v>
      </c>
      <c r="E37" s="16" t="s">
        <v>93</v>
      </c>
    </row>
    <row r="38" spans="1:5" x14ac:dyDescent="0.2">
      <c r="A38" s="25" t="s">
        <v>61</v>
      </c>
      <c r="B38" s="4" t="s">
        <v>94</v>
      </c>
      <c r="C38" s="4" t="s">
        <v>83</v>
      </c>
      <c r="D38" s="4" t="s">
        <v>67</v>
      </c>
      <c r="E38" s="16" t="s">
        <v>95</v>
      </c>
    </row>
    <row r="39" spans="1:5" x14ac:dyDescent="0.2">
      <c r="A39" s="25" t="s">
        <v>45</v>
      </c>
      <c r="B39" s="4" t="s">
        <v>94</v>
      </c>
      <c r="C39" s="4" t="s">
        <v>85</v>
      </c>
      <c r="D39" s="4" t="s">
        <v>50</v>
      </c>
      <c r="E39" s="16" t="s">
        <v>96</v>
      </c>
    </row>
  </sheetData>
  <mergeCells count="14">
    <mergeCell ref="L3:L4"/>
    <mergeCell ref="A1:M2"/>
    <mergeCell ref="G3:J3"/>
    <mergeCell ref="A3:A4"/>
    <mergeCell ref="B3:B4"/>
    <mergeCell ref="C3:C4"/>
    <mergeCell ref="M3:M4"/>
    <mergeCell ref="F3:F4"/>
    <mergeCell ref="E3:E4"/>
    <mergeCell ref="A5:J5"/>
    <mergeCell ref="A9:J9"/>
    <mergeCell ref="A14:J14"/>
    <mergeCell ref="D3:D4"/>
    <mergeCell ref="K3:K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M2"/>
    </sheetView>
  </sheetViews>
  <sheetFormatPr defaultColWidth="9.140625" defaultRowHeight="12.75" x14ac:dyDescent="0.2"/>
  <cols>
    <col min="1" max="1" width="24.7109375" style="4" bestFit="1" customWidth="1"/>
    <col min="2" max="2" width="26.5703125" style="4" bestFit="1" customWidth="1"/>
    <col min="3" max="3" width="19.140625" style="4" customWidth="1"/>
    <col min="4" max="4" width="11.85546875" style="4" bestFit="1" customWidth="1"/>
    <col min="5" max="5" width="21.7109375" style="4" bestFit="1" customWidth="1"/>
    <col min="6" max="6" width="17.42578125" style="4" customWidth="1"/>
    <col min="7" max="9" width="5.5703125" style="3" customWidth="1"/>
    <col min="10" max="10" width="4.5703125" style="3" customWidth="1"/>
    <col min="11" max="11" width="15.7109375" style="16" customWidth="1"/>
    <col min="12" max="12" width="8.5703125" style="2" bestFit="1" customWidth="1"/>
    <col min="13" max="13" width="12.5703125" style="4" bestFit="1" customWidth="1"/>
    <col min="14" max="16384" width="9.140625" style="3"/>
  </cols>
  <sheetData>
    <row r="1" spans="1:13" s="2" customFormat="1" ht="28.9" customHeight="1" x14ac:dyDescent="0.2">
      <c r="A1" s="41" t="s">
        <v>398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94.5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5</v>
      </c>
      <c r="C3" s="49" t="s">
        <v>9</v>
      </c>
      <c r="D3" s="35" t="s">
        <v>10</v>
      </c>
      <c r="E3" s="35" t="s">
        <v>3</v>
      </c>
      <c r="F3" s="35" t="s">
        <v>6</v>
      </c>
      <c r="G3" s="35" t="s">
        <v>295</v>
      </c>
      <c r="H3" s="35"/>
      <c r="I3" s="35"/>
      <c r="J3" s="35"/>
      <c r="K3" s="35" t="s">
        <v>97</v>
      </c>
      <c r="L3" s="35" t="s">
        <v>2</v>
      </c>
      <c r="M3" s="37" t="s">
        <v>1</v>
      </c>
    </row>
    <row r="4" spans="1:13" s="1" customFormat="1" ht="33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4</v>
      </c>
      <c r="K4" s="36"/>
      <c r="L4" s="36"/>
      <c r="M4" s="38"/>
    </row>
    <row r="5" spans="1:13" ht="15" x14ac:dyDescent="0.2">
      <c r="A5" s="39" t="s">
        <v>296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28" t="s">
        <v>298</v>
      </c>
      <c r="B6" s="28" t="s">
        <v>299</v>
      </c>
      <c r="C6" s="28" t="s">
        <v>300</v>
      </c>
      <c r="D6" s="28" t="str">
        <f>"0,5548"</f>
        <v>0,5548</v>
      </c>
      <c r="E6" s="28" t="s">
        <v>17</v>
      </c>
      <c r="F6" s="28" t="s">
        <v>18</v>
      </c>
      <c r="G6" s="31" t="s">
        <v>237</v>
      </c>
      <c r="H6" s="31" t="s">
        <v>67</v>
      </c>
      <c r="I6" s="31" t="s">
        <v>301</v>
      </c>
      <c r="J6" s="30"/>
      <c r="K6" s="32" t="str">
        <f>"190,0"</f>
        <v>190,0</v>
      </c>
      <c r="L6" s="33" t="str">
        <f>"105,4120"</f>
        <v>105,4120</v>
      </c>
      <c r="M6" s="28" t="s">
        <v>302</v>
      </c>
    </row>
    <row r="8" spans="1:13" ht="15" x14ac:dyDescent="0.2">
      <c r="E8" s="15" t="s">
        <v>70</v>
      </c>
    </row>
    <row r="9" spans="1:13" ht="15" x14ac:dyDescent="0.2">
      <c r="E9" s="15" t="s">
        <v>71</v>
      </c>
    </row>
    <row r="10" spans="1:13" ht="15" x14ac:dyDescent="0.2">
      <c r="E10" s="15" t="s">
        <v>72</v>
      </c>
    </row>
    <row r="11" spans="1:13" ht="15" x14ac:dyDescent="0.2">
      <c r="E11" s="15" t="s">
        <v>73</v>
      </c>
    </row>
    <row r="12" spans="1:13" ht="15" x14ac:dyDescent="0.2">
      <c r="E12" s="15" t="s">
        <v>73</v>
      </c>
    </row>
    <row r="13" spans="1:13" ht="15" x14ac:dyDescent="0.2">
      <c r="E13" s="15" t="s">
        <v>74</v>
      </c>
    </row>
    <row r="14" spans="1:13" ht="15" x14ac:dyDescent="0.2">
      <c r="E14" s="15"/>
    </row>
    <row r="16" spans="1:13" ht="18" x14ac:dyDescent="0.25">
      <c r="A16" s="23" t="s">
        <v>75</v>
      </c>
      <c r="B16" s="23"/>
    </row>
    <row r="17" spans="1:5" ht="15" x14ac:dyDescent="0.2">
      <c r="A17" s="24" t="s">
        <v>76</v>
      </c>
      <c r="B17" s="24"/>
    </row>
    <row r="18" spans="1:5" ht="14.25" x14ac:dyDescent="0.2">
      <c r="A18" s="26"/>
      <c r="B18" s="27" t="s">
        <v>274</v>
      </c>
    </row>
    <row r="19" spans="1:5" ht="15" x14ac:dyDescent="0.2">
      <c r="A19" s="29" t="s">
        <v>78</v>
      </c>
      <c r="B19" s="29" t="s">
        <v>79</v>
      </c>
      <c r="C19" s="29" t="s">
        <v>80</v>
      </c>
      <c r="D19" s="29" t="s">
        <v>81</v>
      </c>
      <c r="E19" s="29" t="s">
        <v>82</v>
      </c>
    </row>
    <row r="20" spans="1:5" x14ac:dyDescent="0.2">
      <c r="A20" s="25" t="s">
        <v>297</v>
      </c>
      <c r="B20" s="4" t="s">
        <v>260</v>
      </c>
      <c r="C20" s="4" t="s">
        <v>303</v>
      </c>
      <c r="D20" s="4" t="s">
        <v>301</v>
      </c>
      <c r="E20" s="16" t="s">
        <v>304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I16" sqref="I16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7.5703125" style="4" customWidth="1"/>
    <col min="4" max="4" width="15.5703125" style="4" customWidth="1"/>
    <col min="5" max="5" width="20.7109375" style="4" customWidth="1"/>
    <col min="6" max="6" width="33.140625" style="4" bestFit="1" customWidth="1"/>
    <col min="7" max="7" width="11.140625" style="3" customWidth="1"/>
    <col min="8" max="8" width="16.28515625" style="3" customWidth="1"/>
    <col min="9" max="9" width="12.140625" style="16" customWidth="1"/>
    <col min="10" max="10" width="9.5703125" style="2" bestFit="1" customWidth="1"/>
    <col min="11" max="11" width="12.5703125" style="4" bestFit="1" customWidth="1"/>
    <col min="12" max="16384" width="9.140625" style="3"/>
  </cols>
  <sheetData>
    <row r="1" spans="1:11" s="2" customFormat="1" ht="28.9" customHeight="1" x14ac:dyDescent="0.2">
      <c r="A1" s="41" t="s">
        <v>405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2" customFormat="1" ht="97.15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1" customFormat="1" ht="12.75" customHeight="1" x14ac:dyDescent="0.2">
      <c r="A3" s="47" t="s">
        <v>0</v>
      </c>
      <c r="B3" s="49" t="s">
        <v>5</v>
      </c>
      <c r="C3" s="49" t="s">
        <v>9</v>
      </c>
      <c r="D3" s="35" t="s">
        <v>340</v>
      </c>
      <c r="E3" s="35" t="s">
        <v>3</v>
      </c>
      <c r="F3" s="35" t="s">
        <v>6</v>
      </c>
      <c r="G3" s="35" t="s">
        <v>400</v>
      </c>
      <c r="H3" s="35"/>
      <c r="I3" s="35" t="s">
        <v>97</v>
      </c>
      <c r="J3" s="35" t="s">
        <v>2</v>
      </c>
      <c r="K3" s="37" t="s">
        <v>1</v>
      </c>
    </row>
    <row r="4" spans="1:11" s="1" customFormat="1" ht="21" customHeight="1" thickBot="1" x14ac:dyDescent="0.25">
      <c r="A4" s="48"/>
      <c r="B4" s="36"/>
      <c r="C4" s="36"/>
      <c r="D4" s="36"/>
      <c r="E4" s="36"/>
      <c r="F4" s="36"/>
      <c r="G4" s="5" t="s">
        <v>7</v>
      </c>
      <c r="H4" s="5" t="s">
        <v>8</v>
      </c>
      <c r="I4" s="36"/>
      <c r="J4" s="36"/>
      <c r="K4" s="38"/>
    </row>
    <row r="5" spans="1:11" ht="15" x14ac:dyDescent="0.2">
      <c r="A5" s="39" t="s">
        <v>12</v>
      </c>
      <c r="B5" s="40"/>
      <c r="C5" s="40"/>
      <c r="D5" s="40"/>
      <c r="E5" s="40"/>
      <c r="F5" s="40"/>
      <c r="G5" s="40"/>
      <c r="H5" s="40"/>
    </row>
    <row r="6" spans="1:11" x14ac:dyDescent="0.2">
      <c r="A6" s="28" t="s">
        <v>24</v>
      </c>
      <c r="B6" s="28" t="s">
        <v>25</v>
      </c>
      <c r="C6" s="28" t="s">
        <v>26</v>
      </c>
      <c r="D6" s="28" t="str">
        <f>"0,6446"</f>
        <v>0,6446</v>
      </c>
      <c r="E6" s="28" t="s">
        <v>17</v>
      </c>
      <c r="F6" s="28" t="s">
        <v>27</v>
      </c>
      <c r="G6" s="31" t="s">
        <v>341</v>
      </c>
      <c r="H6" s="31" t="s">
        <v>342</v>
      </c>
      <c r="I6" s="32" t="str">
        <f>"2887,5"</f>
        <v>2887,5</v>
      </c>
      <c r="J6" s="33" t="str">
        <f>"2494,1185"</f>
        <v>2494,1185</v>
      </c>
      <c r="K6" s="28" t="s">
        <v>22</v>
      </c>
    </row>
    <row r="8" spans="1:11" ht="15" x14ac:dyDescent="0.2">
      <c r="A8" s="34" t="s">
        <v>31</v>
      </c>
      <c r="B8" s="34"/>
      <c r="C8" s="34"/>
      <c r="D8" s="34"/>
      <c r="E8" s="34"/>
      <c r="F8" s="34"/>
      <c r="G8" s="34"/>
      <c r="H8" s="34"/>
    </row>
    <row r="9" spans="1:11" x14ac:dyDescent="0.2">
      <c r="A9" s="28" t="s">
        <v>344</v>
      </c>
      <c r="B9" s="28" t="s">
        <v>345</v>
      </c>
      <c r="C9" s="28" t="s">
        <v>346</v>
      </c>
      <c r="D9" s="28" t="str">
        <f>"0,6217"</f>
        <v>0,6217</v>
      </c>
      <c r="E9" s="28" t="s">
        <v>17</v>
      </c>
      <c r="F9" s="28" t="s">
        <v>231</v>
      </c>
      <c r="G9" s="31" t="s">
        <v>347</v>
      </c>
      <c r="H9" s="31" t="s">
        <v>348</v>
      </c>
      <c r="I9" s="32" t="str">
        <f>"2625,0"</f>
        <v>2625,0</v>
      </c>
      <c r="J9" s="33" t="str">
        <f>"1632,0937"</f>
        <v>1632,0937</v>
      </c>
      <c r="K9" s="28" t="s">
        <v>349</v>
      </c>
    </row>
    <row r="11" spans="1:11" ht="15" x14ac:dyDescent="0.2">
      <c r="A11" s="34" t="s">
        <v>51</v>
      </c>
      <c r="B11" s="34"/>
      <c r="C11" s="34"/>
      <c r="D11" s="34"/>
      <c r="E11" s="34"/>
      <c r="F11" s="34"/>
      <c r="G11" s="34"/>
      <c r="H11" s="34"/>
    </row>
    <row r="12" spans="1:11" x14ac:dyDescent="0.2">
      <c r="A12" s="6" t="s">
        <v>351</v>
      </c>
      <c r="B12" s="6" t="s">
        <v>352</v>
      </c>
      <c r="C12" s="6" t="s">
        <v>353</v>
      </c>
      <c r="D12" s="6" t="str">
        <f>"0,6007"</f>
        <v>0,6007</v>
      </c>
      <c r="E12" s="6" t="s">
        <v>17</v>
      </c>
      <c r="F12" s="6" t="s">
        <v>18</v>
      </c>
      <c r="G12" s="8" t="s">
        <v>315</v>
      </c>
      <c r="H12" s="8" t="s">
        <v>354</v>
      </c>
      <c r="I12" s="17" t="str">
        <f>"3040,0"</f>
        <v>3040,0</v>
      </c>
      <c r="J12" s="18" t="str">
        <f>"1825,9760"</f>
        <v>1825,9760</v>
      </c>
      <c r="K12" s="6" t="s">
        <v>22</v>
      </c>
    </row>
    <row r="13" spans="1:11" x14ac:dyDescent="0.2">
      <c r="A13" s="9" t="s">
        <v>356</v>
      </c>
      <c r="B13" s="9" t="s">
        <v>357</v>
      </c>
      <c r="C13" s="9" t="s">
        <v>358</v>
      </c>
      <c r="D13" s="9" t="str">
        <f>"0,5853"</f>
        <v>0,5853</v>
      </c>
      <c r="E13" s="9" t="s">
        <v>17</v>
      </c>
      <c r="F13" s="9" t="s">
        <v>231</v>
      </c>
      <c r="G13" s="11" t="s">
        <v>161</v>
      </c>
      <c r="H13" s="11" t="s">
        <v>359</v>
      </c>
      <c r="I13" s="19" t="str">
        <f>"2900,0"</f>
        <v>2900,0</v>
      </c>
      <c r="J13" s="20" t="str">
        <f>"1812,9459"</f>
        <v>1812,9459</v>
      </c>
      <c r="K13" s="9" t="s">
        <v>360</v>
      </c>
    </row>
    <row r="15" spans="1:11" ht="15" x14ac:dyDescent="0.2">
      <c r="E15" s="15" t="s">
        <v>70</v>
      </c>
    </row>
    <row r="16" spans="1:11" ht="15" x14ac:dyDescent="0.2">
      <c r="E16" s="15" t="s">
        <v>71</v>
      </c>
    </row>
    <row r="17" spans="1:5" ht="15" x14ac:dyDescent="0.2">
      <c r="E17" s="15" t="s">
        <v>72</v>
      </c>
    </row>
    <row r="18" spans="1:5" ht="15" x14ac:dyDescent="0.2">
      <c r="E18" s="15" t="s">
        <v>73</v>
      </c>
    </row>
    <row r="19" spans="1:5" ht="15" x14ac:dyDescent="0.2">
      <c r="E19" s="15" t="s">
        <v>73</v>
      </c>
    </row>
    <row r="20" spans="1:5" ht="15" x14ac:dyDescent="0.2">
      <c r="E20" s="15" t="s">
        <v>74</v>
      </c>
    </row>
    <row r="21" spans="1:5" ht="15" x14ac:dyDescent="0.2">
      <c r="E21" s="15"/>
    </row>
    <row r="23" spans="1:5" ht="18" x14ac:dyDescent="0.25">
      <c r="A23" s="23" t="s">
        <v>75</v>
      </c>
      <c r="B23" s="23"/>
    </row>
    <row r="24" spans="1:5" ht="15" x14ac:dyDescent="0.2">
      <c r="A24" s="24" t="s">
        <v>76</v>
      </c>
      <c r="B24" s="24"/>
    </row>
    <row r="25" spans="1:5" ht="14.25" x14ac:dyDescent="0.2">
      <c r="A25" s="26"/>
      <c r="B25" s="27" t="s">
        <v>77</v>
      </c>
    </row>
    <row r="26" spans="1:5" ht="15" x14ac:dyDescent="0.2">
      <c r="A26" s="29" t="s">
        <v>78</v>
      </c>
      <c r="B26" s="29" t="s">
        <v>79</v>
      </c>
      <c r="C26" s="29" t="s">
        <v>80</v>
      </c>
      <c r="D26" s="29" t="s">
        <v>81</v>
      </c>
      <c r="E26" s="29" t="s">
        <v>361</v>
      </c>
    </row>
    <row r="27" spans="1:5" x14ac:dyDescent="0.2">
      <c r="A27" s="25" t="s">
        <v>350</v>
      </c>
      <c r="B27" s="4" t="s">
        <v>77</v>
      </c>
      <c r="C27" s="4" t="s">
        <v>83</v>
      </c>
      <c r="D27" s="4" t="s">
        <v>362</v>
      </c>
      <c r="E27" s="16" t="s">
        <v>363</v>
      </c>
    </row>
    <row r="28" spans="1:5" x14ac:dyDescent="0.2">
      <c r="A28" s="25" t="s">
        <v>343</v>
      </c>
      <c r="B28" s="4" t="s">
        <v>77</v>
      </c>
      <c r="C28" s="4" t="s">
        <v>85</v>
      </c>
      <c r="D28" s="4" t="s">
        <v>364</v>
      </c>
      <c r="E28" s="16" t="s">
        <v>365</v>
      </c>
    </row>
    <row r="30" spans="1:5" ht="14.25" x14ac:dyDescent="0.2">
      <c r="A30" s="26"/>
      <c r="B30" s="27" t="s">
        <v>88</v>
      </c>
    </row>
    <row r="31" spans="1:5" ht="15" x14ac:dyDescent="0.2">
      <c r="A31" s="29" t="s">
        <v>78</v>
      </c>
      <c r="B31" s="29" t="s">
        <v>79</v>
      </c>
      <c r="C31" s="29" t="s">
        <v>80</v>
      </c>
      <c r="D31" s="29" t="s">
        <v>81</v>
      </c>
      <c r="E31" s="29" t="s">
        <v>361</v>
      </c>
    </row>
    <row r="32" spans="1:5" x14ac:dyDescent="0.2">
      <c r="A32" s="25" t="s">
        <v>23</v>
      </c>
      <c r="B32" s="4" t="s">
        <v>89</v>
      </c>
      <c r="C32" s="4" t="s">
        <v>90</v>
      </c>
      <c r="D32" s="4" t="s">
        <v>366</v>
      </c>
      <c r="E32" s="16" t="s">
        <v>367</v>
      </c>
    </row>
    <row r="33" spans="1:5" x14ac:dyDescent="0.2">
      <c r="A33" s="25" t="s">
        <v>355</v>
      </c>
      <c r="B33" s="4" t="s">
        <v>290</v>
      </c>
      <c r="C33" s="4" t="s">
        <v>83</v>
      </c>
      <c r="D33" s="4" t="s">
        <v>368</v>
      </c>
      <c r="E33" s="16" t="s">
        <v>369</v>
      </c>
    </row>
  </sheetData>
  <mergeCells count="14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A8:H8"/>
    <mergeCell ref="A11:H11"/>
    <mergeCell ref="G3:H3"/>
    <mergeCell ref="I3:I4"/>
    <mergeCell ref="J3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K2"/>
    </sheetView>
  </sheetViews>
  <sheetFormatPr defaultColWidth="9.140625" defaultRowHeight="12.75" x14ac:dyDescent="0.2"/>
  <cols>
    <col min="1" max="1" width="24.7109375" style="4" bestFit="1" customWidth="1"/>
    <col min="2" max="2" width="26.5703125" style="4" bestFit="1" customWidth="1"/>
    <col min="3" max="3" width="22.7109375" style="4" customWidth="1"/>
    <col min="4" max="4" width="11.85546875" style="4" bestFit="1" customWidth="1"/>
    <col min="5" max="5" width="21.7109375" style="4" bestFit="1" customWidth="1"/>
    <col min="6" max="6" width="16.140625" style="4" bestFit="1" customWidth="1"/>
    <col min="7" max="7" width="12.5703125" style="3" customWidth="1"/>
    <col min="8" max="8" width="18.140625" style="3" customWidth="1"/>
    <col min="9" max="9" width="15.7109375" style="16" customWidth="1"/>
    <col min="10" max="10" width="9.5703125" style="2" bestFit="1" customWidth="1"/>
    <col min="11" max="11" width="23.5703125" style="4" customWidth="1"/>
    <col min="12" max="16384" width="9.140625" style="3"/>
  </cols>
  <sheetData>
    <row r="1" spans="1:11" s="2" customFormat="1" ht="28.9" customHeight="1" x14ac:dyDescent="0.2">
      <c r="A1" s="41" t="s">
        <v>404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2" customFormat="1" ht="117.6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1" customFormat="1" ht="12.75" customHeight="1" x14ac:dyDescent="0.2">
      <c r="A3" s="47" t="s">
        <v>0</v>
      </c>
      <c r="B3" s="49" t="s">
        <v>5</v>
      </c>
      <c r="C3" s="49" t="s">
        <v>9</v>
      </c>
      <c r="D3" s="35" t="s">
        <v>340</v>
      </c>
      <c r="E3" s="35" t="s">
        <v>3</v>
      </c>
      <c r="F3" s="35" t="s">
        <v>6</v>
      </c>
      <c r="G3" s="35" t="s">
        <v>400</v>
      </c>
      <c r="H3" s="35"/>
      <c r="I3" s="35" t="s">
        <v>97</v>
      </c>
      <c r="J3" s="35" t="s">
        <v>2</v>
      </c>
      <c r="K3" s="37" t="s">
        <v>1</v>
      </c>
    </row>
    <row r="4" spans="1:11" s="1" customFormat="1" ht="40.5" customHeight="1" thickBot="1" x14ac:dyDescent="0.25">
      <c r="A4" s="48"/>
      <c r="B4" s="36"/>
      <c r="C4" s="36"/>
      <c r="D4" s="36"/>
      <c r="E4" s="36"/>
      <c r="F4" s="36"/>
      <c r="G4" s="5" t="s">
        <v>7</v>
      </c>
      <c r="H4" s="5" t="s">
        <v>8</v>
      </c>
      <c r="I4" s="36"/>
      <c r="J4" s="36"/>
      <c r="K4" s="38"/>
    </row>
    <row r="5" spans="1:11" ht="15" x14ac:dyDescent="0.2">
      <c r="A5" s="39" t="s">
        <v>137</v>
      </c>
      <c r="B5" s="40"/>
      <c r="C5" s="40"/>
      <c r="D5" s="40"/>
      <c r="E5" s="40"/>
      <c r="F5" s="40"/>
      <c r="G5" s="40"/>
      <c r="H5" s="40"/>
    </row>
    <row r="6" spans="1:11" x14ac:dyDescent="0.2">
      <c r="A6" s="28" t="s">
        <v>371</v>
      </c>
      <c r="B6" s="28" t="s">
        <v>372</v>
      </c>
      <c r="C6" s="28" t="s">
        <v>373</v>
      </c>
      <c r="D6" s="28" t="str">
        <f>"0,8734"</f>
        <v>0,8734</v>
      </c>
      <c r="E6" s="28" t="s">
        <v>17</v>
      </c>
      <c r="F6" s="28" t="s">
        <v>18</v>
      </c>
      <c r="G6" s="31" t="s">
        <v>348</v>
      </c>
      <c r="H6" s="31" t="s">
        <v>135</v>
      </c>
      <c r="I6" s="32" t="str">
        <f>"1650,0"</f>
        <v>1650,0</v>
      </c>
      <c r="J6" s="33" t="str">
        <f>"1441,0275"</f>
        <v>1441,0275</v>
      </c>
      <c r="K6" s="28" t="s">
        <v>374</v>
      </c>
    </row>
    <row r="8" spans="1:11" ht="15" x14ac:dyDescent="0.2">
      <c r="E8" s="15" t="s">
        <v>70</v>
      </c>
    </row>
    <row r="9" spans="1:11" ht="15" x14ac:dyDescent="0.2">
      <c r="E9" s="15" t="s">
        <v>71</v>
      </c>
    </row>
    <row r="10" spans="1:11" ht="15" x14ac:dyDescent="0.2">
      <c r="E10" s="15" t="s">
        <v>72</v>
      </c>
    </row>
    <row r="11" spans="1:11" ht="15" x14ac:dyDescent="0.2">
      <c r="E11" s="15" t="s">
        <v>73</v>
      </c>
    </row>
    <row r="12" spans="1:11" ht="15" x14ac:dyDescent="0.2">
      <c r="E12" s="15" t="s">
        <v>73</v>
      </c>
    </row>
    <row r="13" spans="1:11" ht="15" x14ac:dyDescent="0.2">
      <c r="E13" s="15" t="s">
        <v>74</v>
      </c>
    </row>
    <row r="14" spans="1:11" ht="15" x14ac:dyDescent="0.2">
      <c r="E14" s="15"/>
    </row>
    <row r="16" spans="1:11" ht="18" x14ac:dyDescent="0.25">
      <c r="A16" s="23" t="s">
        <v>75</v>
      </c>
      <c r="B16" s="23"/>
    </row>
    <row r="17" spans="1:5" ht="15" x14ac:dyDescent="0.2">
      <c r="A17" s="24" t="s">
        <v>76</v>
      </c>
      <c r="B17" s="24"/>
    </row>
    <row r="18" spans="1:5" ht="14.25" x14ac:dyDescent="0.2">
      <c r="A18" s="26"/>
      <c r="B18" s="27" t="s">
        <v>274</v>
      </c>
    </row>
    <row r="19" spans="1:5" ht="15" x14ac:dyDescent="0.2">
      <c r="A19" s="29" t="s">
        <v>78</v>
      </c>
      <c r="B19" s="29" t="s">
        <v>79</v>
      </c>
      <c r="C19" s="29" t="s">
        <v>80</v>
      </c>
      <c r="D19" s="29" t="s">
        <v>81</v>
      </c>
      <c r="E19" s="29" t="s">
        <v>361</v>
      </c>
    </row>
    <row r="20" spans="1:5" x14ac:dyDescent="0.2">
      <c r="A20" s="25" t="s">
        <v>370</v>
      </c>
      <c r="B20" s="4" t="s">
        <v>260</v>
      </c>
      <c r="C20" s="4" t="s">
        <v>263</v>
      </c>
      <c r="D20" s="4" t="s">
        <v>375</v>
      </c>
      <c r="E20" s="16" t="s">
        <v>376</v>
      </c>
    </row>
  </sheetData>
  <mergeCells count="12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workbookViewId="0">
      <selection sqref="A1:M2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9.42578125" style="4" customWidth="1"/>
    <col min="4" max="4" width="11.85546875" style="4" bestFit="1" customWidth="1"/>
    <col min="5" max="5" width="21.7109375" style="4" bestFit="1" customWidth="1"/>
    <col min="6" max="6" width="33.140625" style="4" bestFit="1" customWidth="1"/>
    <col min="7" max="9" width="5.5703125" style="3" customWidth="1"/>
    <col min="10" max="10" width="4.5703125" style="3" customWidth="1"/>
    <col min="11" max="11" width="12.85546875" style="16" customWidth="1"/>
    <col min="12" max="12" width="8.5703125" style="2" bestFit="1" customWidth="1"/>
    <col min="13" max="13" width="31.42578125" style="4" bestFit="1" customWidth="1"/>
    <col min="14" max="16384" width="9.140625" style="3"/>
  </cols>
  <sheetData>
    <row r="1" spans="1:13" s="2" customFormat="1" ht="28.9" customHeight="1" x14ac:dyDescent="0.2">
      <c r="A1" s="41" t="s">
        <v>401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1.9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5</v>
      </c>
      <c r="C3" s="49" t="s">
        <v>9</v>
      </c>
      <c r="D3" s="35" t="s">
        <v>10</v>
      </c>
      <c r="E3" s="35" t="s">
        <v>3</v>
      </c>
      <c r="F3" s="35" t="s">
        <v>6</v>
      </c>
      <c r="G3" s="35" t="s">
        <v>11</v>
      </c>
      <c r="H3" s="35"/>
      <c r="I3" s="35"/>
      <c r="J3" s="35"/>
      <c r="K3" s="35" t="s">
        <v>97</v>
      </c>
      <c r="L3" s="35" t="s">
        <v>2</v>
      </c>
      <c r="M3" s="37" t="s">
        <v>1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4</v>
      </c>
      <c r="K4" s="36"/>
      <c r="L4" s="36"/>
      <c r="M4" s="38"/>
    </row>
    <row r="5" spans="1:13" ht="15" x14ac:dyDescent="0.2">
      <c r="A5" s="39" t="s">
        <v>109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6" t="s">
        <v>111</v>
      </c>
      <c r="B6" s="6" t="s">
        <v>112</v>
      </c>
      <c r="C6" s="6" t="s">
        <v>113</v>
      </c>
      <c r="D6" s="6" t="str">
        <f>"1,3023"</f>
        <v>1,3023</v>
      </c>
      <c r="E6" s="6" t="s">
        <v>17</v>
      </c>
      <c r="F6" s="6" t="s">
        <v>18</v>
      </c>
      <c r="G6" s="8" t="s">
        <v>114</v>
      </c>
      <c r="H6" s="7" t="s">
        <v>115</v>
      </c>
      <c r="I6" s="7" t="s">
        <v>115</v>
      </c>
      <c r="J6" s="7"/>
      <c r="K6" s="17" t="str">
        <f>"40,0"</f>
        <v>40,0</v>
      </c>
      <c r="L6" s="18" t="str">
        <f>"52,0920"</f>
        <v>52,0920</v>
      </c>
      <c r="M6" s="6" t="s">
        <v>116</v>
      </c>
    </row>
    <row r="7" spans="1:13" x14ac:dyDescent="0.2">
      <c r="A7" s="12" t="s">
        <v>118</v>
      </c>
      <c r="B7" s="12" t="s">
        <v>119</v>
      </c>
      <c r="C7" s="12" t="s">
        <v>120</v>
      </c>
      <c r="D7" s="12" t="str">
        <f>"1,2597"</f>
        <v>1,2597</v>
      </c>
      <c r="E7" s="12" t="s">
        <v>17</v>
      </c>
      <c r="F7" s="12" t="s">
        <v>18</v>
      </c>
      <c r="G7" s="14" t="s">
        <v>115</v>
      </c>
      <c r="H7" s="14" t="s">
        <v>121</v>
      </c>
      <c r="I7" s="14" t="s">
        <v>122</v>
      </c>
      <c r="J7" s="13"/>
      <c r="K7" s="21" t="str">
        <f>"50,0"</f>
        <v>50,0</v>
      </c>
      <c r="L7" s="22" t="str">
        <f>"62,9850"</f>
        <v>62,9850</v>
      </c>
      <c r="M7" s="12" t="s">
        <v>123</v>
      </c>
    </row>
    <row r="8" spans="1:13" x14ac:dyDescent="0.2">
      <c r="A8" s="9" t="s">
        <v>125</v>
      </c>
      <c r="B8" s="9" t="s">
        <v>126</v>
      </c>
      <c r="C8" s="9" t="s">
        <v>127</v>
      </c>
      <c r="D8" s="9" t="str">
        <f>"1,2711"</f>
        <v>1,2711</v>
      </c>
      <c r="E8" s="9" t="s">
        <v>17</v>
      </c>
      <c r="F8" s="9" t="s">
        <v>18</v>
      </c>
      <c r="G8" s="11" t="s">
        <v>114</v>
      </c>
      <c r="H8" s="10" t="s">
        <v>128</v>
      </c>
      <c r="I8" s="10" t="s">
        <v>115</v>
      </c>
      <c r="J8" s="10"/>
      <c r="K8" s="19" t="str">
        <f>"40,0"</f>
        <v>40,0</v>
      </c>
      <c r="L8" s="20" t="str">
        <f>"60,1993"</f>
        <v>60,1993</v>
      </c>
      <c r="M8" s="9" t="s">
        <v>129</v>
      </c>
    </row>
    <row r="10" spans="1:13" ht="15" x14ac:dyDescent="0.2">
      <c r="A10" s="34" t="s">
        <v>130</v>
      </c>
      <c r="B10" s="34"/>
      <c r="C10" s="34"/>
      <c r="D10" s="34"/>
      <c r="E10" s="34"/>
      <c r="F10" s="34"/>
      <c r="G10" s="34"/>
      <c r="H10" s="34"/>
      <c r="I10" s="34"/>
      <c r="J10" s="34"/>
    </row>
    <row r="11" spans="1:13" x14ac:dyDescent="0.2">
      <c r="A11" s="28" t="s">
        <v>132</v>
      </c>
      <c r="B11" s="28" t="s">
        <v>133</v>
      </c>
      <c r="C11" s="28" t="s">
        <v>134</v>
      </c>
      <c r="D11" s="28" t="str">
        <f>"1,2194"</f>
        <v>1,2194</v>
      </c>
      <c r="E11" s="28" t="s">
        <v>17</v>
      </c>
      <c r="F11" s="28" t="s">
        <v>18</v>
      </c>
      <c r="G11" s="30" t="s">
        <v>121</v>
      </c>
      <c r="H11" s="31" t="s">
        <v>121</v>
      </c>
      <c r="I11" s="30" t="s">
        <v>135</v>
      </c>
      <c r="J11" s="30"/>
      <c r="K11" s="32" t="str">
        <f>"47,5"</f>
        <v>47,5</v>
      </c>
      <c r="L11" s="33" t="str">
        <f>"57,9215"</f>
        <v>57,9215</v>
      </c>
      <c r="M11" s="28" t="s">
        <v>136</v>
      </c>
    </row>
    <row r="13" spans="1:13" ht="15" x14ac:dyDescent="0.2">
      <c r="A13" s="34" t="s">
        <v>137</v>
      </c>
      <c r="B13" s="34"/>
      <c r="C13" s="34"/>
      <c r="D13" s="34"/>
      <c r="E13" s="34"/>
      <c r="F13" s="34"/>
      <c r="G13" s="34"/>
      <c r="H13" s="34"/>
      <c r="I13" s="34"/>
      <c r="J13" s="34"/>
    </row>
    <row r="14" spans="1:13" x14ac:dyDescent="0.2">
      <c r="A14" s="28" t="s">
        <v>139</v>
      </c>
      <c r="B14" s="28" t="s">
        <v>140</v>
      </c>
      <c r="C14" s="28" t="s">
        <v>141</v>
      </c>
      <c r="D14" s="28" t="str">
        <f>"1,1509"</f>
        <v>1,1509</v>
      </c>
      <c r="E14" s="28" t="s">
        <v>17</v>
      </c>
      <c r="F14" s="28" t="s">
        <v>142</v>
      </c>
      <c r="G14" s="31" t="s">
        <v>128</v>
      </c>
      <c r="H14" s="30" t="s">
        <v>115</v>
      </c>
      <c r="I14" s="30" t="s">
        <v>121</v>
      </c>
      <c r="J14" s="30"/>
      <c r="K14" s="32" t="str">
        <f>"42,5"</f>
        <v>42,5</v>
      </c>
      <c r="L14" s="33" t="str">
        <f>"48,9133"</f>
        <v>48,9133</v>
      </c>
      <c r="M14" s="28" t="s">
        <v>143</v>
      </c>
    </row>
    <row r="16" spans="1:13" ht="15" x14ac:dyDescent="0.2">
      <c r="A16" s="34" t="s">
        <v>144</v>
      </c>
      <c r="B16" s="34"/>
      <c r="C16" s="34"/>
      <c r="D16" s="34"/>
      <c r="E16" s="34"/>
      <c r="F16" s="34"/>
      <c r="G16" s="34"/>
      <c r="H16" s="34"/>
      <c r="I16" s="34"/>
      <c r="J16" s="34"/>
    </row>
    <row r="17" spans="1:13" x14ac:dyDescent="0.2">
      <c r="A17" s="6" t="s">
        <v>146</v>
      </c>
      <c r="B17" s="6" t="s">
        <v>147</v>
      </c>
      <c r="C17" s="6" t="s">
        <v>148</v>
      </c>
      <c r="D17" s="6" t="str">
        <f>"1,0317"</f>
        <v>1,0317</v>
      </c>
      <c r="E17" s="6" t="s">
        <v>17</v>
      </c>
      <c r="F17" s="6" t="s">
        <v>18</v>
      </c>
      <c r="G17" s="8" t="s">
        <v>149</v>
      </c>
      <c r="H17" s="7" t="s">
        <v>150</v>
      </c>
      <c r="I17" s="7" t="s">
        <v>150</v>
      </c>
      <c r="J17" s="7"/>
      <c r="K17" s="17" t="str">
        <f>"75,0"</f>
        <v>75,0</v>
      </c>
      <c r="L17" s="18" t="str">
        <f>"80,7047"</f>
        <v>80,7047</v>
      </c>
      <c r="M17" s="6" t="s">
        <v>151</v>
      </c>
    </row>
    <row r="18" spans="1:13" x14ac:dyDescent="0.2">
      <c r="A18" s="9" t="s">
        <v>153</v>
      </c>
      <c r="B18" s="9" t="s">
        <v>154</v>
      </c>
      <c r="C18" s="9" t="s">
        <v>155</v>
      </c>
      <c r="D18" s="9" t="str">
        <f>"1,0374"</f>
        <v>1,0374</v>
      </c>
      <c r="E18" s="9" t="s">
        <v>17</v>
      </c>
      <c r="F18" s="9" t="s">
        <v>142</v>
      </c>
      <c r="G18" s="11" t="s">
        <v>128</v>
      </c>
      <c r="H18" s="11" t="s">
        <v>115</v>
      </c>
      <c r="I18" s="10" t="s">
        <v>121</v>
      </c>
      <c r="J18" s="10"/>
      <c r="K18" s="19" t="str">
        <f>"45,0"</f>
        <v>45,0</v>
      </c>
      <c r="L18" s="20" t="str">
        <f>"47,1498"</f>
        <v>47,1498</v>
      </c>
      <c r="M18" s="9" t="s">
        <v>143</v>
      </c>
    </row>
    <row r="20" spans="1:13" ht="15" x14ac:dyDescent="0.2">
      <c r="A20" s="34" t="s">
        <v>137</v>
      </c>
      <c r="B20" s="34"/>
      <c r="C20" s="34"/>
      <c r="D20" s="34"/>
      <c r="E20" s="34"/>
      <c r="F20" s="34"/>
      <c r="G20" s="34"/>
      <c r="H20" s="34"/>
      <c r="I20" s="34"/>
      <c r="J20" s="34"/>
    </row>
    <row r="21" spans="1:13" x14ac:dyDescent="0.2">
      <c r="A21" s="28" t="s">
        <v>157</v>
      </c>
      <c r="B21" s="28" t="s">
        <v>158</v>
      </c>
      <c r="C21" s="28" t="s">
        <v>159</v>
      </c>
      <c r="D21" s="28" t="str">
        <f>"0,8555"</f>
        <v>0,8555</v>
      </c>
      <c r="E21" s="28" t="s">
        <v>17</v>
      </c>
      <c r="F21" s="28" t="s">
        <v>18</v>
      </c>
      <c r="G21" s="30" t="s">
        <v>160</v>
      </c>
      <c r="H21" s="31" t="s">
        <v>160</v>
      </c>
      <c r="I21" s="31" t="s">
        <v>161</v>
      </c>
      <c r="J21" s="30"/>
      <c r="K21" s="32" t="str">
        <f>"100,0"</f>
        <v>100,0</v>
      </c>
      <c r="L21" s="33" t="str">
        <f>"85,5500"</f>
        <v>85,5500</v>
      </c>
      <c r="M21" s="28" t="s">
        <v>162</v>
      </c>
    </row>
    <row r="23" spans="1:13" ht="15" x14ac:dyDescent="0.2">
      <c r="A23" s="34" t="s">
        <v>144</v>
      </c>
      <c r="B23" s="34"/>
      <c r="C23" s="34"/>
      <c r="D23" s="34"/>
      <c r="E23" s="34"/>
      <c r="F23" s="34"/>
      <c r="G23" s="34"/>
      <c r="H23" s="34"/>
      <c r="I23" s="34"/>
      <c r="J23" s="34"/>
    </row>
    <row r="24" spans="1:13" x14ac:dyDescent="0.2">
      <c r="A24" s="28" t="s">
        <v>164</v>
      </c>
      <c r="B24" s="28" t="s">
        <v>165</v>
      </c>
      <c r="C24" s="28" t="s">
        <v>166</v>
      </c>
      <c r="D24" s="28" t="str">
        <f>"0,8166"</f>
        <v>0,8166</v>
      </c>
      <c r="E24" s="28" t="s">
        <v>17</v>
      </c>
      <c r="F24" s="28" t="s">
        <v>18</v>
      </c>
      <c r="G24" s="31" t="s">
        <v>122</v>
      </c>
      <c r="H24" s="31" t="s">
        <v>135</v>
      </c>
      <c r="I24" s="31" t="s">
        <v>167</v>
      </c>
      <c r="J24" s="30"/>
      <c r="K24" s="32" t="str">
        <f>"60,0"</f>
        <v>60,0</v>
      </c>
      <c r="L24" s="33" t="str">
        <f>"50,5149"</f>
        <v>50,5149</v>
      </c>
      <c r="M24" s="28" t="s">
        <v>168</v>
      </c>
    </row>
    <row r="26" spans="1:13" ht="15" x14ac:dyDescent="0.2">
      <c r="A26" s="34" t="s">
        <v>12</v>
      </c>
      <c r="B26" s="34"/>
      <c r="C26" s="34"/>
      <c r="D26" s="34"/>
      <c r="E26" s="34"/>
      <c r="F26" s="34"/>
      <c r="G26" s="34"/>
      <c r="H26" s="34"/>
      <c r="I26" s="34"/>
      <c r="J26" s="34"/>
    </row>
    <row r="27" spans="1:13" x14ac:dyDescent="0.2">
      <c r="A27" s="6" t="s">
        <v>170</v>
      </c>
      <c r="B27" s="6" t="s">
        <v>171</v>
      </c>
      <c r="C27" s="6" t="s">
        <v>172</v>
      </c>
      <c r="D27" s="6" t="str">
        <f>"0,6795"</f>
        <v>0,6795</v>
      </c>
      <c r="E27" s="6" t="s">
        <v>17</v>
      </c>
      <c r="F27" s="6" t="s">
        <v>18</v>
      </c>
      <c r="G27" s="8" t="s">
        <v>37</v>
      </c>
      <c r="H27" s="7" t="s">
        <v>173</v>
      </c>
      <c r="I27" s="7" t="s">
        <v>173</v>
      </c>
      <c r="J27" s="7"/>
      <c r="K27" s="17" t="str">
        <f>"142,5"</f>
        <v>142,5</v>
      </c>
      <c r="L27" s="18" t="str">
        <f>"96,8287"</f>
        <v>96,8287</v>
      </c>
      <c r="M27" s="6" t="s">
        <v>174</v>
      </c>
    </row>
    <row r="28" spans="1:13" x14ac:dyDescent="0.2">
      <c r="A28" s="12" t="s">
        <v>176</v>
      </c>
      <c r="B28" s="12" t="s">
        <v>177</v>
      </c>
      <c r="C28" s="12" t="s">
        <v>178</v>
      </c>
      <c r="D28" s="12" t="str">
        <f>"0,6832"</f>
        <v>0,6832</v>
      </c>
      <c r="E28" s="12" t="s">
        <v>17</v>
      </c>
      <c r="F28" s="12" t="s">
        <v>18</v>
      </c>
      <c r="G28" s="14" t="s">
        <v>43</v>
      </c>
      <c r="H28" s="14" t="s">
        <v>28</v>
      </c>
      <c r="I28" s="13" t="s">
        <v>36</v>
      </c>
      <c r="J28" s="13"/>
      <c r="K28" s="21" t="str">
        <f>"130,0"</f>
        <v>130,0</v>
      </c>
      <c r="L28" s="22" t="str">
        <f>"88,8160"</f>
        <v>88,8160</v>
      </c>
      <c r="M28" s="12" t="s">
        <v>179</v>
      </c>
    </row>
    <row r="29" spans="1:13" x14ac:dyDescent="0.2">
      <c r="A29" s="9" t="s">
        <v>181</v>
      </c>
      <c r="B29" s="9" t="s">
        <v>182</v>
      </c>
      <c r="C29" s="9" t="s">
        <v>183</v>
      </c>
      <c r="D29" s="9" t="str">
        <f>"0,6759"</f>
        <v>0,6759</v>
      </c>
      <c r="E29" s="9" t="s">
        <v>17</v>
      </c>
      <c r="F29" s="9" t="s">
        <v>18</v>
      </c>
      <c r="G29" s="11" t="s">
        <v>28</v>
      </c>
      <c r="H29" s="10" t="s">
        <v>36</v>
      </c>
      <c r="I29" s="10" t="s">
        <v>36</v>
      </c>
      <c r="J29" s="10"/>
      <c r="K29" s="19" t="str">
        <f>"130,0"</f>
        <v>130,0</v>
      </c>
      <c r="L29" s="20" t="str">
        <f>"87,8670"</f>
        <v>87,8670</v>
      </c>
      <c r="M29" s="9" t="s">
        <v>184</v>
      </c>
    </row>
    <row r="31" spans="1:13" ht="15" x14ac:dyDescent="0.2">
      <c r="A31" s="34" t="s">
        <v>31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3" x14ac:dyDescent="0.2">
      <c r="A32" s="6" t="s">
        <v>186</v>
      </c>
      <c r="B32" s="6" t="s">
        <v>187</v>
      </c>
      <c r="C32" s="6" t="s">
        <v>188</v>
      </c>
      <c r="D32" s="6" t="str">
        <f>"0,6444"</f>
        <v>0,6444</v>
      </c>
      <c r="E32" s="6" t="s">
        <v>17</v>
      </c>
      <c r="F32" s="6" t="s">
        <v>18</v>
      </c>
      <c r="G32" s="8" t="s">
        <v>68</v>
      </c>
      <c r="H32" s="8" t="s">
        <v>189</v>
      </c>
      <c r="I32" s="8" t="s">
        <v>190</v>
      </c>
      <c r="J32" s="7"/>
      <c r="K32" s="17" t="str">
        <f>"187,5"</f>
        <v>187,5</v>
      </c>
      <c r="L32" s="18" t="str">
        <f>"120,8250"</f>
        <v>120,8250</v>
      </c>
      <c r="M32" s="6" t="s">
        <v>191</v>
      </c>
    </row>
    <row r="33" spans="1:13" x14ac:dyDescent="0.2">
      <c r="A33" s="12" t="s">
        <v>193</v>
      </c>
      <c r="B33" s="12" t="s">
        <v>194</v>
      </c>
      <c r="C33" s="12" t="s">
        <v>195</v>
      </c>
      <c r="D33" s="12" t="str">
        <f>"0,6467"</f>
        <v>0,6467</v>
      </c>
      <c r="E33" s="12" t="s">
        <v>17</v>
      </c>
      <c r="F33" s="12" t="s">
        <v>18</v>
      </c>
      <c r="G33" s="13" t="s">
        <v>21</v>
      </c>
      <c r="H33" s="14" t="s">
        <v>21</v>
      </c>
      <c r="I33" s="14" t="s">
        <v>196</v>
      </c>
      <c r="J33" s="13"/>
      <c r="K33" s="21" t="str">
        <f>"167,5"</f>
        <v>167,5</v>
      </c>
      <c r="L33" s="22" t="str">
        <f>"108,3223"</f>
        <v>108,3223</v>
      </c>
      <c r="M33" s="12" t="s">
        <v>197</v>
      </c>
    </row>
    <row r="34" spans="1:13" x14ac:dyDescent="0.2">
      <c r="A34" s="12" t="s">
        <v>199</v>
      </c>
      <c r="B34" s="12" t="s">
        <v>200</v>
      </c>
      <c r="C34" s="12" t="s">
        <v>201</v>
      </c>
      <c r="D34" s="12" t="str">
        <f>"0,6499"</f>
        <v>0,6499</v>
      </c>
      <c r="E34" s="12" t="s">
        <v>17</v>
      </c>
      <c r="F34" s="12" t="s">
        <v>202</v>
      </c>
      <c r="G34" s="14" t="s">
        <v>203</v>
      </c>
      <c r="H34" s="13" t="s">
        <v>36</v>
      </c>
      <c r="I34" s="14" t="s">
        <v>36</v>
      </c>
      <c r="J34" s="13"/>
      <c r="K34" s="21" t="str">
        <f>"135,0"</f>
        <v>135,0</v>
      </c>
      <c r="L34" s="22" t="str">
        <f>"87,7365"</f>
        <v>87,7365</v>
      </c>
      <c r="M34" s="12" t="s">
        <v>204</v>
      </c>
    </row>
    <row r="35" spans="1:13" x14ac:dyDescent="0.2">
      <c r="A35" s="12" t="s">
        <v>206</v>
      </c>
      <c r="B35" s="12" t="s">
        <v>207</v>
      </c>
      <c r="C35" s="12" t="s">
        <v>208</v>
      </c>
      <c r="D35" s="12" t="str">
        <f>"0,6428"</f>
        <v>0,6428</v>
      </c>
      <c r="E35" s="12" t="s">
        <v>17</v>
      </c>
      <c r="F35" s="12" t="s">
        <v>142</v>
      </c>
      <c r="G35" s="14" t="s">
        <v>19</v>
      </c>
      <c r="H35" s="14" t="s">
        <v>21</v>
      </c>
      <c r="I35" s="14" t="s">
        <v>59</v>
      </c>
      <c r="J35" s="13"/>
      <c r="K35" s="21" t="str">
        <f>"165,0"</f>
        <v>165,0</v>
      </c>
      <c r="L35" s="22" t="str">
        <f>"119,8501"</f>
        <v>119,8501</v>
      </c>
      <c r="M35" s="12" t="s">
        <v>22</v>
      </c>
    </row>
    <row r="36" spans="1:13" x14ac:dyDescent="0.2">
      <c r="A36" s="9" t="s">
        <v>210</v>
      </c>
      <c r="B36" s="9" t="s">
        <v>211</v>
      </c>
      <c r="C36" s="9" t="s">
        <v>212</v>
      </c>
      <c r="D36" s="9" t="str">
        <f>"0,6413"</f>
        <v>0,6413</v>
      </c>
      <c r="E36" s="9" t="s">
        <v>17</v>
      </c>
      <c r="F36" s="9" t="s">
        <v>18</v>
      </c>
      <c r="G36" s="10" t="s">
        <v>213</v>
      </c>
      <c r="H36" s="11" t="s">
        <v>213</v>
      </c>
      <c r="I36" s="10" t="s">
        <v>43</v>
      </c>
      <c r="J36" s="10"/>
      <c r="K36" s="19" t="str">
        <f>"117,5"</f>
        <v>117,5</v>
      </c>
      <c r="L36" s="20" t="str">
        <f>"107,0763"</f>
        <v>107,0763</v>
      </c>
      <c r="M36" s="9" t="s">
        <v>214</v>
      </c>
    </row>
    <row r="38" spans="1:13" ht="15" x14ac:dyDescent="0.2">
      <c r="A38" s="34" t="s">
        <v>51</v>
      </c>
      <c r="B38" s="34"/>
      <c r="C38" s="34"/>
      <c r="D38" s="34"/>
      <c r="E38" s="34"/>
      <c r="F38" s="34"/>
      <c r="G38" s="34"/>
      <c r="H38" s="34"/>
      <c r="I38" s="34"/>
      <c r="J38" s="34"/>
    </row>
    <row r="39" spans="1:13" x14ac:dyDescent="0.2">
      <c r="A39" s="6" t="s">
        <v>216</v>
      </c>
      <c r="B39" s="6" t="s">
        <v>217</v>
      </c>
      <c r="C39" s="6" t="s">
        <v>218</v>
      </c>
      <c r="D39" s="6" t="str">
        <f>"0,6247"</f>
        <v>0,6247</v>
      </c>
      <c r="E39" s="6" t="s">
        <v>17</v>
      </c>
      <c r="F39" s="6" t="s">
        <v>219</v>
      </c>
      <c r="G39" s="8" t="s">
        <v>20</v>
      </c>
      <c r="H39" s="8" t="s">
        <v>21</v>
      </c>
      <c r="I39" s="7" t="s">
        <v>59</v>
      </c>
      <c r="J39" s="7"/>
      <c r="K39" s="17" t="str">
        <f>"160,0"</f>
        <v>160,0</v>
      </c>
      <c r="L39" s="18" t="str">
        <f>"99,9520"</f>
        <v>99,9520</v>
      </c>
      <c r="M39" s="6" t="s">
        <v>220</v>
      </c>
    </row>
    <row r="40" spans="1:13" x14ac:dyDescent="0.2">
      <c r="A40" s="9" t="s">
        <v>222</v>
      </c>
      <c r="B40" s="9" t="s">
        <v>223</v>
      </c>
      <c r="C40" s="9" t="s">
        <v>224</v>
      </c>
      <c r="D40" s="9" t="str">
        <f>"0,6106"</f>
        <v>0,6106</v>
      </c>
      <c r="E40" s="9" t="s">
        <v>17</v>
      </c>
      <c r="F40" s="9" t="s">
        <v>18</v>
      </c>
      <c r="G40" s="11" t="s">
        <v>225</v>
      </c>
      <c r="H40" s="10" t="s">
        <v>37</v>
      </c>
      <c r="I40" s="11" t="s">
        <v>37</v>
      </c>
      <c r="J40" s="10"/>
      <c r="K40" s="19" t="str">
        <f>"142,5"</f>
        <v>142,5</v>
      </c>
      <c r="L40" s="20" t="str">
        <f>"87,0105"</f>
        <v>87,0105</v>
      </c>
      <c r="M40" s="9" t="s">
        <v>226</v>
      </c>
    </row>
    <row r="42" spans="1:13" ht="15" x14ac:dyDescent="0.2">
      <c r="A42" s="34" t="s">
        <v>98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3" x14ac:dyDescent="0.2">
      <c r="A43" s="6" t="s">
        <v>228</v>
      </c>
      <c r="B43" s="6" t="s">
        <v>229</v>
      </c>
      <c r="C43" s="6" t="s">
        <v>230</v>
      </c>
      <c r="D43" s="6" t="str">
        <f>"0,5885"</f>
        <v>0,5885</v>
      </c>
      <c r="E43" s="6" t="s">
        <v>17</v>
      </c>
      <c r="F43" s="6" t="s">
        <v>231</v>
      </c>
      <c r="G43" s="8" t="s">
        <v>225</v>
      </c>
      <c r="H43" s="7" t="s">
        <v>30</v>
      </c>
      <c r="I43" s="7" t="s">
        <v>30</v>
      </c>
      <c r="J43" s="7"/>
      <c r="K43" s="17" t="str">
        <f>"137,5"</f>
        <v>137,5</v>
      </c>
      <c r="L43" s="18" t="str">
        <f>"80,9188"</f>
        <v>80,9188</v>
      </c>
      <c r="M43" s="6" t="s">
        <v>232</v>
      </c>
    </row>
    <row r="44" spans="1:13" x14ac:dyDescent="0.2">
      <c r="A44" s="12" t="s">
        <v>234</v>
      </c>
      <c r="B44" s="12" t="s">
        <v>235</v>
      </c>
      <c r="C44" s="12" t="s">
        <v>236</v>
      </c>
      <c r="D44" s="12" t="str">
        <f>"0,6048"</f>
        <v>0,6048</v>
      </c>
      <c r="E44" s="12" t="s">
        <v>17</v>
      </c>
      <c r="F44" s="12" t="s">
        <v>18</v>
      </c>
      <c r="G44" s="14" t="s">
        <v>59</v>
      </c>
      <c r="H44" s="14" t="s">
        <v>237</v>
      </c>
      <c r="I44" s="13" t="s">
        <v>66</v>
      </c>
      <c r="J44" s="13"/>
      <c r="K44" s="21" t="str">
        <f>"170,0"</f>
        <v>170,0</v>
      </c>
      <c r="L44" s="22" t="str">
        <f>"102,8160"</f>
        <v>102,8160</v>
      </c>
      <c r="M44" s="12" t="s">
        <v>238</v>
      </c>
    </row>
    <row r="45" spans="1:13" x14ac:dyDescent="0.2">
      <c r="A45" s="12" t="s">
        <v>240</v>
      </c>
      <c r="B45" s="12" t="s">
        <v>241</v>
      </c>
      <c r="C45" s="12" t="s">
        <v>242</v>
      </c>
      <c r="D45" s="12" t="str">
        <f>"0,6006"</f>
        <v>0,6006</v>
      </c>
      <c r="E45" s="12" t="s">
        <v>17</v>
      </c>
      <c r="F45" s="12" t="s">
        <v>18</v>
      </c>
      <c r="G45" s="14" t="s">
        <v>237</v>
      </c>
      <c r="H45" s="14" t="s">
        <v>66</v>
      </c>
      <c r="I45" s="13" t="s">
        <v>67</v>
      </c>
      <c r="J45" s="13"/>
      <c r="K45" s="21" t="str">
        <f>"175,0"</f>
        <v>175,0</v>
      </c>
      <c r="L45" s="22" t="str">
        <f>"110,8858"</f>
        <v>110,8858</v>
      </c>
      <c r="M45" s="12" t="s">
        <v>243</v>
      </c>
    </row>
    <row r="46" spans="1:13" x14ac:dyDescent="0.2">
      <c r="A46" s="12" t="s">
        <v>244</v>
      </c>
      <c r="B46" s="12" t="s">
        <v>245</v>
      </c>
      <c r="C46" s="12" t="s">
        <v>236</v>
      </c>
      <c r="D46" s="12" t="str">
        <f>"0,6048"</f>
        <v>0,6048</v>
      </c>
      <c r="E46" s="12" t="s">
        <v>17</v>
      </c>
      <c r="F46" s="12" t="s">
        <v>18</v>
      </c>
      <c r="G46" s="14" t="s">
        <v>59</v>
      </c>
      <c r="H46" s="14" t="s">
        <v>237</v>
      </c>
      <c r="I46" s="13" t="s">
        <v>66</v>
      </c>
      <c r="J46" s="13"/>
      <c r="K46" s="21" t="str">
        <f>"170,0"</f>
        <v>170,0</v>
      </c>
      <c r="L46" s="22" t="str">
        <f>"108,4709"</f>
        <v>108,4709</v>
      </c>
      <c r="M46" s="12" t="s">
        <v>238</v>
      </c>
    </row>
    <row r="47" spans="1:13" x14ac:dyDescent="0.2">
      <c r="A47" s="9" t="s">
        <v>247</v>
      </c>
      <c r="B47" s="9" t="s">
        <v>248</v>
      </c>
      <c r="C47" s="9" t="s">
        <v>249</v>
      </c>
      <c r="D47" s="9" t="str">
        <f>"0,5905"</f>
        <v>0,5905</v>
      </c>
      <c r="E47" s="9" t="s">
        <v>17</v>
      </c>
      <c r="F47" s="9" t="s">
        <v>18</v>
      </c>
      <c r="G47" s="11" t="s">
        <v>66</v>
      </c>
      <c r="H47" s="11" t="s">
        <v>67</v>
      </c>
      <c r="I47" s="10" t="s">
        <v>189</v>
      </c>
      <c r="J47" s="10"/>
      <c r="K47" s="19" t="str">
        <f>"180,0"</f>
        <v>180,0</v>
      </c>
      <c r="L47" s="20" t="str">
        <f>"121,9146"</f>
        <v>121,9146</v>
      </c>
      <c r="M47" s="9" t="s">
        <v>250</v>
      </c>
    </row>
    <row r="49" spans="1:13" ht="15" x14ac:dyDescent="0.2">
      <c r="A49" s="34" t="s">
        <v>251</v>
      </c>
      <c r="B49" s="34"/>
      <c r="C49" s="34"/>
      <c r="D49" s="34"/>
      <c r="E49" s="34"/>
      <c r="F49" s="34"/>
      <c r="G49" s="34"/>
      <c r="H49" s="34"/>
      <c r="I49" s="34"/>
      <c r="J49" s="34"/>
    </row>
    <row r="50" spans="1:13" x14ac:dyDescent="0.2">
      <c r="A50" s="28" t="s">
        <v>253</v>
      </c>
      <c r="B50" s="28" t="s">
        <v>254</v>
      </c>
      <c r="C50" s="28" t="s">
        <v>255</v>
      </c>
      <c r="D50" s="28" t="str">
        <f>"0,5824"</f>
        <v>0,5824</v>
      </c>
      <c r="E50" s="28" t="s">
        <v>17</v>
      </c>
      <c r="F50" s="28" t="s">
        <v>27</v>
      </c>
      <c r="G50" s="31" t="s">
        <v>256</v>
      </c>
      <c r="H50" s="31" t="s">
        <v>257</v>
      </c>
      <c r="I50" s="30" t="s">
        <v>36</v>
      </c>
      <c r="J50" s="30"/>
      <c r="K50" s="32" t="str">
        <f>"120,0"</f>
        <v>120,0</v>
      </c>
      <c r="L50" s="33" t="str">
        <f>"69,8880"</f>
        <v>69,8880</v>
      </c>
      <c r="M50" s="28" t="s">
        <v>44</v>
      </c>
    </row>
    <row r="52" spans="1:13" ht="15" x14ac:dyDescent="0.2">
      <c r="E52" s="15" t="s">
        <v>70</v>
      </c>
    </row>
    <row r="53" spans="1:13" ht="15" x14ac:dyDescent="0.2">
      <c r="E53" s="15" t="s">
        <v>71</v>
      </c>
    </row>
    <row r="54" spans="1:13" ht="15" x14ac:dyDescent="0.2">
      <c r="E54" s="15" t="s">
        <v>72</v>
      </c>
    </row>
    <row r="55" spans="1:13" ht="15" x14ac:dyDescent="0.2">
      <c r="E55" s="15" t="s">
        <v>73</v>
      </c>
    </row>
    <row r="56" spans="1:13" ht="15" x14ac:dyDescent="0.2">
      <c r="E56" s="15" t="s">
        <v>73</v>
      </c>
    </row>
    <row r="57" spans="1:13" ht="15" x14ac:dyDescent="0.2">
      <c r="E57" s="15" t="s">
        <v>74</v>
      </c>
    </row>
    <row r="58" spans="1:13" ht="15" x14ac:dyDescent="0.2">
      <c r="E58" s="15"/>
    </row>
    <row r="60" spans="1:13" ht="18" x14ac:dyDescent="0.25">
      <c r="A60" s="23" t="s">
        <v>75</v>
      </c>
      <c r="B60" s="23"/>
    </row>
    <row r="61" spans="1:13" ht="15" x14ac:dyDescent="0.2">
      <c r="A61" s="24" t="s">
        <v>258</v>
      </c>
      <c r="B61" s="24"/>
    </row>
    <row r="62" spans="1:13" ht="14.25" x14ac:dyDescent="0.2">
      <c r="A62" s="26"/>
      <c r="B62" s="27" t="s">
        <v>259</v>
      </c>
    </row>
    <row r="63" spans="1:13" ht="15" x14ac:dyDescent="0.2">
      <c r="A63" s="29" t="s">
        <v>78</v>
      </c>
      <c r="B63" s="29" t="s">
        <v>79</v>
      </c>
      <c r="C63" s="29" t="s">
        <v>80</v>
      </c>
      <c r="D63" s="29" t="s">
        <v>81</v>
      </c>
      <c r="E63" s="29" t="s">
        <v>82</v>
      </c>
    </row>
    <row r="64" spans="1:13" x14ac:dyDescent="0.2">
      <c r="A64" s="25" t="s">
        <v>110</v>
      </c>
      <c r="B64" s="4" t="s">
        <v>260</v>
      </c>
      <c r="C64" s="4" t="s">
        <v>261</v>
      </c>
      <c r="D64" s="4" t="s">
        <v>114</v>
      </c>
      <c r="E64" s="16" t="s">
        <v>262</v>
      </c>
    </row>
    <row r="65" spans="1:5" x14ac:dyDescent="0.2">
      <c r="A65" s="25" t="s">
        <v>138</v>
      </c>
      <c r="B65" s="4" t="s">
        <v>260</v>
      </c>
      <c r="C65" s="4" t="s">
        <v>263</v>
      </c>
      <c r="D65" s="4" t="s">
        <v>128</v>
      </c>
      <c r="E65" s="16" t="s">
        <v>264</v>
      </c>
    </row>
    <row r="67" spans="1:5" ht="14.25" x14ac:dyDescent="0.2">
      <c r="A67" s="26"/>
      <c r="B67" s="27" t="s">
        <v>265</v>
      </c>
    </row>
    <row r="68" spans="1:5" ht="15" x14ac:dyDescent="0.2">
      <c r="A68" s="29" t="s">
        <v>78</v>
      </c>
      <c r="B68" s="29" t="s">
        <v>79</v>
      </c>
      <c r="C68" s="29" t="s">
        <v>80</v>
      </c>
      <c r="D68" s="29" t="s">
        <v>81</v>
      </c>
      <c r="E68" s="29" t="s">
        <v>82</v>
      </c>
    </row>
    <row r="69" spans="1:5" x14ac:dyDescent="0.2">
      <c r="A69" s="25" t="s">
        <v>131</v>
      </c>
      <c r="B69" s="4" t="s">
        <v>266</v>
      </c>
      <c r="C69" s="4" t="s">
        <v>267</v>
      </c>
      <c r="D69" s="4" t="s">
        <v>121</v>
      </c>
      <c r="E69" s="16" t="s">
        <v>268</v>
      </c>
    </row>
    <row r="71" spans="1:5" ht="14.25" x14ac:dyDescent="0.2">
      <c r="A71" s="26"/>
      <c r="B71" s="27" t="s">
        <v>77</v>
      </c>
    </row>
    <row r="72" spans="1:5" ht="15" x14ac:dyDescent="0.2">
      <c r="A72" s="29" t="s">
        <v>78</v>
      </c>
      <c r="B72" s="29" t="s">
        <v>79</v>
      </c>
      <c r="C72" s="29" t="s">
        <v>80</v>
      </c>
      <c r="D72" s="29" t="s">
        <v>81</v>
      </c>
      <c r="E72" s="29" t="s">
        <v>82</v>
      </c>
    </row>
    <row r="73" spans="1:5" x14ac:dyDescent="0.2">
      <c r="A73" s="25" t="s">
        <v>117</v>
      </c>
      <c r="B73" s="4" t="s">
        <v>77</v>
      </c>
      <c r="C73" s="4" t="s">
        <v>261</v>
      </c>
      <c r="D73" s="4" t="s">
        <v>122</v>
      </c>
      <c r="E73" s="16" t="s">
        <v>269</v>
      </c>
    </row>
    <row r="75" spans="1:5" ht="14.25" x14ac:dyDescent="0.2">
      <c r="A75" s="26"/>
      <c r="B75" s="27" t="s">
        <v>88</v>
      </c>
    </row>
    <row r="76" spans="1:5" ht="15" x14ac:dyDescent="0.2">
      <c r="A76" s="29" t="s">
        <v>78</v>
      </c>
      <c r="B76" s="29" t="s">
        <v>79</v>
      </c>
      <c r="C76" s="29" t="s">
        <v>80</v>
      </c>
      <c r="D76" s="29" t="s">
        <v>81</v>
      </c>
      <c r="E76" s="29" t="s">
        <v>82</v>
      </c>
    </row>
    <row r="77" spans="1:5" x14ac:dyDescent="0.2">
      <c r="A77" s="25" t="s">
        <v>145</v>
      </c>
      <c r="B77" s="4" t="s">
        <v>94</v>
      </c>
      <c r="C77" s="4" t="s">
        <v>270</v>
      </c>
      <c r="D77" s="4" t="s">
        <v>149</v>
      </c>
      <c r="E77" s="16" t="s">
        <v>271</v>
      </c>
    </row>
    <row r="78" spans="1:5" x14ac:dyDescent="0.2">
      <c r="A78" s="25" t="s">
        <v>124</v>
      </c>
      <c r="B78" s="4" t="s">
        <v>92</v>
      </c>
      <c r="C78" s="4" t="s">
        <v>261</v>
      </c>
      <c r="D78" s="4" t="s">
        <v>114</v>
      </c>
      <c r="E78" s="16" t="s">
        <v>272</v>
      </c>
    </row>
    <row r="79" spans="1:5" x14ac:dyDescent="0.2">
      <c r="A79" s="25" t="s">
        <v>152</v>
      </c>
      <c r="B79" s="4" t="s">
        <v>94</v>
      </c>
      <c r="C79" s="4" t="s">
        <v>270</v>
      </c>
      <c r="D79" s="4" t="s">
        <v>115</v>
      </c>
      <c r="E79" s="16" t="s">
        <v>273</v>
      </c>
    </row>
    <row r="82" spans="1:5" ht="15" x14ac:dyDescent="0.2">
      <c r="A82" s="24" t="s">
        <v>76</v>
      </c>
      <c r="B82" s="24"/>
    </row>
    <row r="83" spans="1:5" ht="14.25" x14ac:dyDescent="0.2">
      <c r="A83" s="26"/>
      <c r="B83" s="27" t="s">
        <v>274</v>
      </c>
    </row>
    <row r="84" spans="1:5" ht="15" x14ac:dyDescent="0.2">
      <c r="A84" s="29" t="s">
        <v>78</v>
      </c>
      <c r="B84" s="29" t="s">
        <v>79</v>
      </c>
      <c r="C84" s="29" t="s">
        <v>80</v>
      </c>
      <c r="D84" s="29" t="s">
        <v>81</v>
      </c>
      <c r="E84" s="29" t="s">
        <v>82</v>
      </c>
    </row>
    <row r="85" spans="1:5" x14ac:dyDescent="0.2">
      <c r="A85" s="25" t="s">
        <v>156</v>
      </c>
      <c r="B85" s="4" t="s">
        <v>260</v>
      </c>
      <c r="C85" s="4" t="s">
        <v>263</v>
      </c>
      <c r="D85" s="4" t="s">
        <v>161</v>
      </c>
      <c r="E85" s="16" t="s">
        <v>275</v>
      </c>
    </row>
    <row r="86" spans="1:5" x14ac:dyDescent="0.2">
      <c r="A86" s="25" t="s">
        <v>227</v>
      </c>
      <c r="B86" s="4" t="s">
        <v>260</v>
      </c>
      <c r="C86" s="4" t="s">
        <v>107</v>
      </c>
      <c r="D86" s="4" t="s">
        <v>225</v>
      </c>
      <c r="E86" s="16" t="s">
        <v>276</v>
      </c>
    </row>
    <row r="88" spans="1:5" ht="14.25" x14ac:dyDescent="0.2">
      <c r="A88" s="26"/>
      <c r="B88" s="27" t="s">
        <v>77</v>
      </c>
    </row>
    <row r="89" spans="1:5" ht="15" x14ac:dyDescent="0.2">
      <c r="A89" s="29" t="s">
        <v>78</v>
      </c>
      <c r="B89" s="29" t="s">
        <v>79</v>
      </c>
      <c r="C89" s="29" t="s">
        <v>80</v>
      </c>
      <c r="D89" s="29" t="s">
        <v>81</v>
      </c>
      <c r="E89" s="29" t="s">
        <v>82</v>
      </c>
    </row>
    <row r="90" spans="1:5" x14ac:dyDescent="0.2">
      <c r="A90" s="25" t="s">
        <v>185</v>
      </c>
      <c r="B90" s="4" t="s">
        <v>77</v>
      </c>
      <c r="C90" s="4" t="s">
        <v>85</v>
      </c>
      <c r="D90" s="4" t="s">
        <v>190</v>
      </c>
      <c r="E90" s="16" t="s">
        <v>277</v>
      </c>
    </row>
    <row r="91" spans="1:5" x14ac:dyDescent="0.2">
      <c r="A91" s="25" t="s">
        <v>192</v>
      </c>
      <c r="B91" s="4" t="s">
        <v>77</v>
      </c>
      <c r="C91" s="4" t="s">
        <v>85</v>
      </c>
      <c r="D91" s="4" t="s">
        <v>196</v>
      </c>
      <c r="E91" s="16" t="s">
        <v>278</v>
      </c>
    </row>
    <row r="92" spans="1:5" x14ac:dyDescent="0.2">
      <c r="A92" s="25" t="s">
        <v>233</v>
      </c>
      <c r="B92" s="4" t="s">
        <v>77</v>
      </c>
      <c r="C92" s="4" t="s">
        <v>107</v>
      </c>
      <c r="D92" s="4" t="s">
        <v>237</v>
      </c>
      <c r="E92" s="16" t="s">
        <v>279</v>
      </c>
    </row>
    <row r="93" spans="1:5" x14ac:dyDescent="0.2">
      <c r="A93" s="25" t="s">
        <v>215</v>
      </c>
      <c r="B93" s="4" t="s">
        <v>77</v>
      </c>
      <c r="C93" s="4" t="s">
        <v>83</v>
      </c>
      <c r="D93" s="4" t="s">
        <v>21</v>
      </c>
      <c r="E93" s="16" t="s">
        <v>280</v>
      </c>
    </row>
    <row r="94" spans="1:5" x14ac:dyDescent="0.2">
      <c r="A94" s="25" t="s">
        <v>169</v>
      </c>
      <c r="B94" s="4" t="s">
        <v>77</v>
      </c>
      <c r="C94" s="4" t="s">
        <v>90</v>
      </c>
      <c r="D94" s="4" t="s">
        <v>37</v>
      </c>
      <c r="E94" s="16" t="s">
        <v>281</v>
      </c>
    </row>
    <row r="95" spans="1:5" x14ac:dyDescent="0.2">
      <c r="A95" s="25" t="s">
        <v>175</v>
      </c>
      <c r="B95" s="4" t="s">
        <v>77</v>
      </c>
      <c r="C95" s="4" t="s">
        <v>90</v>
      </c>
      <c r="D95" s="4" t="s">
        <v>28</v>
      </c>
      <c r="E95" s="16" t="s">
        <v>282</v>
      </c>
    </row>
    <row r="96" spans="1:5" x14ac:dyDescent="0.2">
      <c r="A96" s="25" t="s">
        <v>180</v>
      </c>
      <c r="B96" s="4" t="s">
        <v>77</v>
      </c>
      <c r="C96" s="4" t="s">
        <v>90</v>
      </c>
      <c r="D96" s="4" t="s">
        <v>28</v>
      </c>
      <c r="E96" s="16" t="s">
        <v>283</v>
      </c>
    </row>
    <row r="97" spans="1:5" x14ac:dyDescent="0.2">
      <c r="A97" s="25" t="s">
        <v>198</v>
      </c>
      <c r="B97" s="4" t="s">
        <v>77</v>
      </c>
      <c r="C97" s="4" t="s">
        <v>85</v>
      </c>
      <c r="D97" s="4" t="s">
        <v>36</v>
      </c>
      <c r="E97" s="16" t="s">
        <v>284</v>
      </c>
    </row>
    <row r="98" spans="1:5" x14ac:dyDescent="0.2">
      <c r="A98" s="25" t="s">
        <v>221</v>
      </c>
      <c r="B98" s="4" t="s">
        <v>77</v>
      </c>
      <c r="C98" s="4" t="s">
        <v>83</v>
      </c>
      <c r="D98" s="4" t="s">
        <v>37</v>
      </c>
      <c r="E98" s="16" t="s">
        <v>285</v>
      </c>
    </row>
    <row r="99" spans="1:5" x14ac:dyDescent="0.2">
      <c r="A99" s="25" t="s">
        <v>252</v>
      </c>
      <c r="B99" s="4" t="s">
        <v>77</v>
      </c>
      <c r="C99" s="4" t="s">
        <v>286</v>
      </c>
      <c r="D99" s="4" t="s">
        <v>257</v>
      </c>
      <c r="E99" s="16" t="s">
        <v>287</v>
      </c>
    </row>
    <row r="101" spans="1:5" ht="14.25" x14ac:dyDescent="0.2">
      <c r="A101" s="26"/>
      <c r="B101" s="27" t="s">
        <v>88</v>
      </c>
    </row>
    <row r="102" spans="1:5" ht="15" x14ac:dyDescent="0.2">
      <c r="A102" s="29" t="s">
        <v>78</v>
      </c>
      <c r="B102" s="29" t="s">
        <v>79</v>
      </c>
      <c r="C102" s="29" t="s">
        <v>80</v>
      </c>
      <c r="D102" s="29" t="s">
        <v>81</v>
      </c>
      <c r="E102" s="29" t="s">
        <v>82</v>
      </c>
    </row>
    <row r="103" spans="1:5" x14ac:dyDescent="0.2">
      <c r="A103" s="25" t="s">
        <v>246</v>
      </c>
      <c r="B103" s="4" t="s">
        <v>92</v>
      </c>
      <c r="C103" s="4" t="s">
        <v>107</v>
      </c>
      <c r="D103" s="4" t="s">
        <v>67</v>
      </c>
      <c r="E103" s="16" t="s">
        <v>288</v>
      </c>
    </row>
    <row r="104" spans="1:5" x14ac:dyDescent="0.2">
      <c r="A104" s="25" t="s">
        <v>205</v>
      </c>
      <c r="B104" s="4" t="s">
        <v>92</v>
      </c>
      <c r="C104" s="4" t="s">
        <v>85</v>
      </c>
      <c r="D104" s="4" t="s">
        <v>59</v>
      </c>
      <c r="E104" s="16" t="s">
        <v>289</v>
      </c>
    </row>
    <row r="105" spans="1:5" x14ac:dyDescent="0.2">
      <c r="A105" s="25" t="s">
        <v>239</v>
      </c>
      <c r="B105" s="4" t="s">
        <v>290</v>
      </c>
      <c r="C105" s="4" t="s">
        <v>107</v>
      </c>
      <c r="D105" s="4" t="s">
        <v>66</v>
      </c>
      <c r="E105" s="16" t="s">
        <v>291</v>
      </c>
    </row>
    <row r="106" spans="1:5" x14ac:dyDescent="0.2">
      <c r="A106" s="25" t="s">
        <v>233</v>
      </c>
      <c r="B106" s="4" t="s">
        <v>290</v>
      </c>
      <c r="C106" s="4" t="s">
        <v>107</v>
      </c>
      <c r="D106" s="4" t="s">
        <v>237</v>
      </c>
      <c r="E106" s="16" t="s">
        <v>292</v>
      </c>
    </row>
    <row r="107" spans="1:5" x14ac:dyDescent="0.2">
      <c r="A107" s="25" t="s">
        <v>209</v>
      </c>
      <c r="B107" s="4" t="s">
        <v>89</v>
      </c>
      <c r="C107" s="4" t="s">
        <v>85</v>
      </c>
      <c r="D107" s="4" t="s">
        <v>213</v>
      </c>
      <c r="E107" s="16" t="s">
        <v>293</v>
      </c>
    </row>
    <row r="108" spans="1:5" x14ac:dyDescent="0.2">
      <c r="A108" s="25" t="s">
        <v>163</v>
      </c>
      <c r="B108" s="4" t="s">
        <v>94</v>
      </c>
      <c r="C108" s="4" t="s">
        <v>270</v>
      </c>
      <c r="D108" s="4" t="s">
        <v>167</v>
      </c>
      <c r="E108" s="16" t="s">
        <v>294</v>
      </c>
    </row>
  </sheetData>
  <mergeCells count="2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31:J31"/>
    <mergeCell ref="A38:J38"/>
    <mergeCell ref="A42:J42"/>
    <mergeCell ref="A49:J49"/>
    <mergeCell ref="A10:J10"/>
    <mergeCell ref="A13:J13"/>
    <mergeCell ref="A16:J16"/>
    <mergeCell ref="A20:J20"/>
    <mergeCell ref="A23:J23"/>
    <mergeCell ref="A26:J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sqref="A1:M2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20.7109375" style="4" customWidth="1"/>
    <col min="4" max="4" width="11.85546875" style="4" bestFit="1" customWidth="1"/>
    <col min="5" max="6" width="21.7109375" style="4" bestFit="1" customWidth="1"/>
    <col min="7" max="9" width="5.5703125" style="3" customWidth="1"/>
    <col min="10" max="10" width="4.5703125" style="3" customWidth="1"/>
    <col min="11" max="11" width="13.28515625" style="16" customWidth="1"/>
    <col min="12" max="12" width="8.5703125" style="2" bestFit="1" customWidth="1"/>
    <col min="13" max="13" width="13.28515625" style="4" bestFit="1" customWidth="1"/>
    <col min="14" max="16384" width="9.140625" style="3"/>
  </cols>
  <sheetData>
    <row r="1" spans="1:13" s="2" customFormat="1" ht="28.9" customHeight="1" x14ac:dyDescent="0.2">
      <c r="A1" s="41" t="s">
        <v>402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87.75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12.75" customHeight="1" x14ac:dyDescent="0.2">
      <c r="A3" s="47" t="s">
        <v>0</v>
      </c>
      <c r="B3" s="49" t="s">
        <v>5</v>
      </c>
      <c r="C3" s="49" t="s">
        <v>9</v>
      </c>
      <c r="D3" s="35" t="s">
        <v>10</v>
      </c>
      <c r="E3" s="35" t="s">
        <v>3</v>
      </c>
      <c r="F3" s="35" t="s">
        <v>6</v>
      </c>
      <c r="G3" s="35" t="s">
        <v>295</v>
      </c>
      <c r="H3" s="35"/>
      <c r="I3" s="35"/>
      <c r="J3" s="35"/>
      <c r="K3" s="35" t="s">
        <v>97</v>
      </c>
      <c r="L3" s="35" t="s">
        <v>2</v>
      </c>
      <c r="M3" s="37" t="s">
        <v>1</v>
      </c>
    </row>
    <row r="4" spans="1:13" s="1" customFormat="1" ht="21" customHeight="1" thickBot="1" x14ac:dyDescent="0.25">
      <c r="A4" s="48"/>
      <c r="B4" s="36"/>
      <c r="C4" s="36"/>
      <c r="D4" s="36"/>
      <c r="E4" s="36"/>
      <c r="F4" s="36"/>
      <c r="G4" s="5">
        <v>1</v>
      </c>
      <c r="H4" s="5">
        <v>2</v>
      </c>
      <c r="I4" s="5">
        <v>3</v>
      </c>
      <c r="J4" s="5" t="s">
        <v>4</v>
      </c>
      <c r="K4" s="36"/>
      <c r="L4" s="36"/>
      <c r="M4" s="38"/>
    </row>
    <row r="5" spans="1:13" ht="15" x14ac:dyDescent="0.2">
      <c r="A5" s="39" t="s">
        <v>144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">
      <c r="A6" s="28" t="s">
        <v>306</v>
      </c>
      <c r="B6" s="28" t="s">
        <v>307</v>
      </c>
      <c r="C6" s="28" t="s">
        <v>308</v>
      </c>
      <c r="D6" s="28" t="str">
        <f>"1,0206"</f>
        <v>1,0206</v>
      </c>
      <c r="E6" s="28" t="s">
        <v>17</v>
      </c>
      <c r="F6" s="28" t="s">
        <v>18</v>
      </c>
      <c r="G6" s="31" t="s">
        <v>309</v>
      </c>
      <c r="H6" s="31" t="s">
        <v>257</v>
      </c>
      <c r="I6" s="30" t="s">
        <v>43</v>
      </c>
      <c r="J6" s="30"/>
      <c r="K6" s="32" t="str">
        <f>"120,0"</f>
        <v>120,0</v>
      </c>
      <c r="L6" s="33" t="str">
        <f>"122,4720"</f>
        <v>122,4720</v>
      </c>
      <c r="M6" s="28" t="s">
        <v>310</v>
      </c>
    </row>
    <row r="8" spans="1:13" ht="15" x14ac:dyDescent="0.2">
      <c r="A8" s="34" t="s">
        <v>130</v>
      </c>
      <c r="B8" s="34"/>
      <c r="C8" s="34"/>
      <c r="D8" s="34"/>
      <c r="E8" s="34"/>
      <c r="F8" s="34"/>
      <c r="G8" s="34"/>
      <c r="H8" s="34"/>
      <c r="I8" s="34"/>
      <c r="J8" s="34"/>
    </row>
    <row r="9" spans="1:13" x14ac:dyDescent="0.2">
      <c r="A9" s="28" t="s">
        <v>312</v>
      </c>
      <c r="B9" s="28" t="s">
        <v>313</v>
      </c>
      <c r="C9" s="28" t="s">
        <v>314</v>
      </c>
      <c r="D9" s="28" t="str">
        <f>"0,9334"</f>
        <v>0,9334</v>
      </c>
      <c r="E9" s="28" t="s">
        <v>17</v>
      </c>
      <c r="F9" s="28" t="s">
        <v>18</v>
      </c>
      <c r="G9" s="31" t="s">
        <v>315</v>
      </c>
      <c r="H9" s="31" t="s">
        <v>50</v>
      </c>
      <c r="I9" s="30" t="s">
        <v>256</v>
      </c>
      <c r="J9" s="30"/>
      <c r="K9" s="32" t="str">
        <f>"107,5"</f>
        <v>107,5</v>
      </c>
      <c r="L9" s="33" t="str">
        <f>"100,3405"</f>
        <v>100,3405</v>
      </c>
      <c r="M9" s="28" t="s">
        <v>220</v>
      </c>
    </row>
    <row r="11" spans="1:13" ht="15" x14ac:dyDescent="0.2">
      <c r="A11" s="34" t="s">
        <v>137</v>
      </c>
      <c r="B11" s="34"/>
      <c r="C11" s="34"/>
      <c r="D11" s="34"/>
      <c r="E11" s="34"/>
      <c r="F11" s="34"/>
      <c r="G11" s="34"/>
      <c r="H11" s="34"/>
      <c r="I11" s="34"/>
      <c r="J11" s="34"/>
    </row>
    <row r="12" spans="1:13" x14ac:dyDescent="0.2">
      <c r="A12" s="28" t="s">
        <v>157</v>
      </c>
      <c r="B12" s="28" t="s">
        <v>158</v>
      </c>
      <c r="C12" s="28" t="s">
        <v>159</v>
      </c>
      <c r="D12" s="28" t="str">
        <f>"0,8555"</f>
        <v>0,8555</v>
      </c>
      <c r="E12" s="28" t="s">
        <v>17</v>
      </c>
      <c r="F12" s="28" t="s">
        <v>18</v>
      </c>
      <c r="G12" s="30" t="s">
        <v>57</v>
      </c>
      <c r="H12" s="31" t="s">
        <v>57</v>
      </c>
      <c r="I12" s="31" t="s">
        <v>66</v>
      </c>
      <c r="J12" s="30"/>
      <c r="K12" s="32" t="str">
        <f>"175,0"</f>
        <v>175,0</v>
      </c>
      <c r="L12" s="33" t="str">
        <f>"149,7125"</f>
        <v>149,7125</v>
      </c>
      <c r="M12" s="28" t="s">
        <v>162</v>
      </c>
    </row>
    <row r="14" spans="1:13" ht="15" x14ac:dyDescent="0.2">
      <c r="A14" s="34" t="s">
        <v>316</v>
      </c>
      <c r="B14" s="34"/>
      <c r="C14" s="34"/>
      <c r="D14" s="34"/>
      <c r="E14" s="34"/>
      <c r="F14" s="34"/>
      <c r="G14" s="34"/>
      <c r="H14" s="34"/>
      <c r="I14" s="34"/>
      <c r="J14" s="34"/>
    </row>
    <row r="15" spans="1:13" x14ac:dyDescent="0.2">
      <c r="A15" s="28" t="s">
        <v>318</v>
      </c>
      <c r="B15" s="28" t="s">
        <v>319</v>
      </c>
      <c r="C15" s="28" t="s">
        <v>320</v>
      </c>
      <c r="D15" s="28" t="str">
        <f>"0,7461"</f>
        <v>0,7461</v>
      </c>
      <c r="E15" s="28" t="s">
        <v>17</v>
      </c>
      <c r="F15" s="28" t="s">
        <v>321</v>
      </c>
      <c r="G15" s="31" t="s">
        <v>237</v>
      </c>
      <c r="H15" s="31" t="s">
        <v>67</v>
      </c>
      <c r="I15" s="31" t="s">
        <v>189</v>
      </c>
      <c r="J15" s="30"/>
      <c r="K15" s="32" t="str">
        <f>"185,0"</f>
        <v>185,0</v>
      </c>
      <c r="L15" s="33" t="str">
        <f>"138,0285"</f>
        <v>138,0285</v>
      </c>
      <c r="M15" s="28" t="s">
        <v>322</v>
      </c>
    </row>
    <row r="17" spans="1:13" ht="15" x14ac:dyDescent="0.2">
      <c r="A17" s="34" t="s">
        <v>12</v>
      </c>
      <c r="B17" s="34"/>
      <c r="C17" s="34"/>
      <c r="D17" s="34"/>
      <c r="E17" s="34"/>
      <c r="F17" s="34"/>
      <c r="G17" s="34"/>
      <c r="H17" s="34"/>
      <c r="I17" s="34"/>
      <c r="J17" s="34"/>
    </row>
    <row r="18" spans="1:13" x14ac:dyDescent="0.2">
      <c r="A18" s="28" t="s">
        <v>324</v>
      </c>
      <c r="B18" s="28" t="s">
        <v>325</v>
      </c>
      <c r="C18" s="28" t="s">
        <v>326</v>
      </c>
      <c r="D18" s="28" t="str">
        <f>"0,6744"</f>
        <v>0,6744</v>
      </c>
      <c r="E18" s="28" t="s">
        <v>17</v>
      </c>
      <c r="F18" s="28" t="s">
        <v>18</v>
      </c>
      <c r="G18" s="31" t="s">
        <v>67</v>
      </c>
      <c r="H18" s="31" t="s">
        <v>301</v>
      </c>
      <c r="I18" s="31" t="s">
        <v>327</v>
      </c>
      <c r="J18" s="30"/>
      <c r="K18" s="32" t="str">
        <f>"200,0"</f>
        <v>200,0</v>
      </c>
      <c r="L18" s="33" t="str">
        <f>"134,8800"</f>
        <v>134,8800</v>
      </c>
      <c r="M18" s="28" t="s">
        <v>22</v>
      </c>
    </row>
    <row r="20" spans="1:13" ht="15" x14ac:dyDescent="0.2">
      <c r="A20" s="34" t="s">
        <v>51</v>
      </c>
      <c r="B20" s="34"/>
      <c r="C20" s="34"/>
      <c r="D20" s="34"/>
      <c r="E20" s="34"/>
      <c r="F20" s="34"/>
      <c r="G20" s="34"/>
      <c r="H20" s="34"/>
      <c r="I20" s="34"/>
      <c r="J20" s="34"/>
    </row>
    <row r="21" spans="1:13" x14ac:dyDescent="0.2">
      <c r="A21" s="28" t="s">
        <v>328</v>
      </c>
      <c r="B21" s="28" t="s">
        <v>329</v>
      </c>
      <c r="C21" s="28" t="s">
        <v>330</v>
      </c>
      <c r="D21" s="28" t="str">
        <f>"0,6134"</f>
        <v>0,6134</v>
      </c>
      <c r="E21" s="28" t="s">
        <v>17</v>
      </c>
      <c r="F21" s="28" t="s">
        <v>18</v>
      </c>
      <c r="G21" s="30" t="s">
        <v>331</v>
      </c>
      <c r="H21" s="30"/>
      <c r="I21" s="30"/>
      <c r="J21" s="30"/>
      <c r="K21" s="32" t="str">
        <f>"0.00"</f>
        <v>0.00</v>
      </c>
      <c r="L21" s="33" t="str">
        <f>"0,0000"</f>
        <v>0,0000</v>
      </c>
      <c r="M21" s="28" t="s">
        <v>332</v>
      </c>
    </row>
    <row r="23" spans="1:13" ht="15" x14ac:dyDescent="0.2">
      <c r="E23" s="15" t="s">
        <v>70</v>
      </c>
    </row>
    <row r="24" spans="1:13" ht="15" x14ac:dyDescent="0.2">
      <c r="E24" s="15" t="s">
        <v>71</v>
      </c>
    </row>
    <row r="25" spans="1:13" ht="15" x14ac:dyDescent="0.2">
      <c r="E25" s="15" t="s">
        <v>72</v>
      </c>
    </row>
    <row r="26" spans="1:13" ht="15" x14ac:dyDescent="0.2">
      <c r="E26" s="15" t="s">
        <v>73</v>
      </c>
    </row>
    <row r="27" spans="1:13" ht="15" x14ac:dyDescent="0.2">
      <c r="E27" s="15" t="s">
        <v>73</v>
      </c>
    </row>
    <row r="28" spans="1:13" ht="15" x14ac:dyDescent="0.2">
      <c r="E28" s="15" t="s">
        <v>74</v>
      </c>
    </row>
    <row r="29" spans="1:13" ht="15" x14ac:dyDescent="0.2">
      <c r="E29" s="15"/>
    </row>
    <row r="31" spans="1:13" ht="18" x14ac:dyDescent="0.25">
      <c r="A31" s="23" t="s">
        <v>75</v>
      </c>
      <c r="B31" s="23"/>
    </row>
    <row r="32" spans="1:13" ht="15" x14ac:dyDescent="0.2">
      <c r="A32" s="24" t="s">
        <v>258</v>
      </c>
      <c r="B32" s="24"/>
    </row>
    <row r="33" spans="1:5" ht="14.25" x14ac:dyDescent="0.2">
      <c r="A33" s="26"/>
      <c r="B33" s="27" t="s">
        <v>77</v>
      </c>
    </row>
    <row r="34" spans="1:5" ht="15" x14ac:dyDescent="0.2">
      <c r="A34" s="29" t="s">
        <v>78</v>
      </c>
      <c r="B34" s="29" t="s">
        <v>79</v>
      </c>
      <c r="C34" s="29" t="s">
        <v>80</v>
      </c>
      <c r="D34" s="29" t="s">
        <v>81</v>
      </c>
      <c r="E34" s="29" t="s">
        <v>82</v>
      </c>
    </row>
    <row r="35" spans="1:5" x14ac:dyDescent="0.2">
      <c r="A35" s="25" t="s">
        <v>305</v>
      </c>
      <c r="B35" s="4" t="s">
        <v>77</v>
      </c>
      <c r="C35" s="4" t="s">
        <v>270</v>
      </c>
      <c r="D35" s="4" t="s">
        <v>257</v>
      </c>
      <c r="E35" s="16" t="s">
        <v>333</v>
      </c>
    </row>
    <row r="38" spans="1:5" ht="15" x14ac:dyDescent="0.2">
      <c r="A38" s="24" t="s">
        <v>76</v>
      </c>
      <c r="B38" s="24"/>
    </row>
    <row r="39" spans="1:5" ht="14.25" x14ac:dyDescent="0.2">
      <c r="A39" s="26"/>
      <c r="B39" s="27" t="s">
        <v>274</v>
      </c>
    </row>
    <row r="40" spans="1:5" ht="15" x14ac:dyDescent="0.2">
      <c r="A40" s="29" t="s">
        <v>78</v>
      </c>
      <c r="B40" s="29" t="s">
        <v>79</v>
      </c>
      <c r="C40" s="29" t="s">
        <v>80</v>
      </c>
      <c r="D40" s="29" t="s">
        <v>81</v>
      </c>
      <c r="E40" s="29" t="s">
        <v>82</v>
      </c>
    </row>
    <row r="41" spans="1:5" x14ac:dyDescent="0.2">
      <c r="A41" s="25" t="s">
        <v>156</v>
      </c>
      <c r="B41" s="4" t="s">
        <v>260</v>
      </c>
      <c r="C41" s="4" t="s">
        <v>263</v>
      </c>
      <c r="D41" s="4" t="s">
        <v>66</v>
      </c>
      <c r="E41" s="16" t="s">
        <v>334</v>
      </c>
    </row>
    <row r="43" spans="1:5" ht="14.25" x14ac:dyDescent="0.2">
      <c r="A43" s="26"/>
      <c r="B43" s="27" t="s">
        <v>335</v>
      </c>
    </row>
    <row r="44" spans="1:5" ht="15" x14ac:dyDescent="0.2">
      <c r="A44" s="29" t="s">
        <v>78</v>
      </c>
      <c r="B44" s="29" t="s">
        <v>79</v>
      </c>
      <c r="C44" s="29" t="s">
        <v>80</v>
      </c>
      <c r="D44" s="29" t="s">
        <v>81</v>
      </c>
      <c r="E44" s="29" t="s">
        <v>82</v>
      </c>
    </row>
    <row r="45" spans="1:5" x14ac:dyDescent="0.2">
      <c r="A45" s="25" t="s">
        <v>317</v>
      </c>
      <c r="B45" s="4" t="s">
        <v>266</v>
      </c>
      <c r="C45" s="4" t="s">
        <v>336</v>
      </c>
      <c r="D45" s="4" t="s">
        <v>189</v>
      </c>
      <c r="E45" s="16" t="s">
        <v>337</v>
      </c>
    </row>
    <row r="47" spans="1:5" ht="14.25" x14ac:dyDescent="0.2">
      <c r="A47" s="26"/>
      <c r="B47" s="27" t="s">
        <v>77</v>
      </c>
    </row>
    <row r="48" spans="1:5" ht="15" x14ac:dyDescent="0.2">
      <c r="A48" s="29" t="s">
        <v>78</v>
      </c>
      <c r="B48" s="29" t="s">
        <v>79</v>
      </c>
      <c r="C48" s="29" t="s">
        <v>80</v>
      </c>
      <c r="D48" s="29" t="s">
        <v>81</v>
      </c>
      <c r="E48" s="29" t="s">
        <v>82</v>
      </c>
    </row>
    <row r="49" spans="1:5" x14ac:dyDescent="0.2">
      <c r="A49" s="25" t="s">
        <v>323</v>
      </c>
      <c r="B49" s="4" t="s">
        <v>77</v>
      </c>
      <c r="C49" s="4" t="s">
        <v>90</v>
      </c>
      <c r="D49" s="4" t="s">
        <v>327</v>
      </c>
      <c r="E49" s="16" t="s">
        <v>338</v>
      </c>
    </row>
    <row r="50" spans="1:5" x14ac:dyDescent="0.2">
      <c r="A50" s="25" t="s">
        <v>311</v>
      </c>
      <c r="B50" s="4" t="s">
        <v>77</v>
      </c>
      <c r="C50" s="4" t="s">
        <v>267</v>
      </c>
      <c r="D50" s="4" t="s">
        <v>50</v>
      </c>
      <c r="E50" s="16" t="s">
        <v>339</v>
      </c>
    </row>
  </sheetData>
  <mergeCells count="17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1:J11"/>
    <mergeCell ref="A14:J14"/>
    <mergeCell ref="A17:J17"/>
    <mergeCell ref="A20:J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G26" sqref="G26"/>
    </sheetView>
  </sheetViews>
  <sheetFormatPr defaultColWidth="9.140625" defaultRowHeight="12.75" x14ac:dyDescent="0.2"/>
  <cols>
    <col min="1" max="1" width="24.7109375" style="4" bestFit="1" customWidth="1"/>
    <col min="2" max="2" width="29.85546875" style="4" bestFit="1" customWidth="1"/>
    <col min="3" max="3" width="19.5703125" style="4" customWidth="1"/>
    <col min="4" max="4" width="11.85546875" style="4" bestFit="1" customWidth="1"/>
    <col min="5" max="5" width="21.7109375" style="4" bestFit="1" customWidth="1"/>
    <col min="6" max="6" width="30.7109375" style="4" bestFit="1" customWidth="1"/>
    <col min="7" max="7" width="14.5703125" style="3" customWidth="1"/>
    <col min="8" max="8" width="12.42578125" style="3" customWidth="1"/>
    <col min="9" max="9" width="14.85546875" style="16" customWidth="1"/>
    <col min="10" max="10" width="9.5703125" style="2" bestFit="1" customWidth="1"/>
    <col min="11" max="11" width="15" style="4" bestFit="1" customWidth="1"/>
    <col min="12" max="16384" width="9.140625" style="3"/>
  </cols>
  <sheetData>
    <row r="1" spans="1:11" s="2" customFormat="1" ht="28.9" customHeight="1" x14ac:dyDescent="0.2">
      <c r="A1" s="41" t="s">
        <v>403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2" customFormat="1" ht="93.6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1" customFormat="1" ht="12.75" customHeight="1" x14ac:dyDescent="0.2">
      <c r="A3" s="47" t="s">
        <v>0</v>
      </c>
      <c r="B3" s="49" t="s">
        <v>5</v>
      </c>
      <c r="C3" s="49" t="s">
        <v>9</v>
      </c>
      <c r="D3" s="35" t="s">
        <v>340</v>
      </c>
      <c r="E3" s="35" t="s">
        <v>3</v>
      </c>
      <c r="F3" s="35" t="s">
        <v>6</v>
      </c>
      <c r="G3" s="35" t="s">
        <v>400</v>
      </c>
      <c r="H3" s="35"/>
      <c r="I3" s="35" t="s">
        <v>97</v>
      </c>
      <c r="J3" s="35" t="s">
        <v>2</v>
      </c>
      <c r="K3" s="37" t="s">
        <v>1</v>
      </c>
    </row>
    <row r="4" spans="1:11" s="1" customFormat="1" ht="21" customHeight="1" thickBot="1" x14ac:dyDescent="0.25">
      <c r="A4" s="48"/>
      <c r="B4" s="36"/>
      <c r="C4" s="36"/>
      <c r="D4" s="36"/>
      <c r="E4" s="36"/>
      <c r="F4" s="36"/>
      <c r="G4" s="5" t="s">
        <v>7</v>
      </c>
      <c r="H4" s="5" t="s">
        <v>8</v>
      </c>
      <c r="I4" s="36"/>
      <c r="J4" s="36"/>
      <c r="K4" s="38"/>
    </row>
    <row r="5" spans="1:11" ht="15" x14ac:dyDescent="0.2">
      <c r="A5" s="39" t="s">
        <v>316</v>
      </c>
      <c r="B5" s="40"/>
      <c r="C5" s="40"/>
      <c r="D5" s="40"/>
      <c r="E5" s="40"/>
      <c r="F5" s="40"/>
      <c r="G5" s="40"/>
      <c r="H5" s="40"/>
    </row>
    <row r="6" spans="1:11" x14ac:dyDescent="0.2">
      <c r="A6" s="28" t="s">
        <v>378</v>
      </c>
      <c r="B6" s="28" t="s">
        <v>379</v>
      </c>
      <c r="C6" s="28" t="s">
        <v>380</v>
      </c>
      <c r="D6" s="28" t="str">
        <f>"0,6927"</f>
        <v>0,6927</v>
      </c>
      <c r="E6" s="28" t="s">
        <v>17</v>
      </c>
      <c r="F6" s="28" t="s">
        <v>381</v>
      </c>
      <c r="G6" s="31" t="s">
        <v>149</v>
      </c>
      <c r="H6" s="31" t="s">
        <v>342</v>
      </c>
      <c r="I6" s="32" t="str">
        <f>"2625,0"</f>
        <v>2625,0</v>
      </c>
      <c r="J6" s="33" t="str">
        <f>"1818,2063"</f>
        <v>1818,2063</v>
      </c>
      <c r="K6" s="28" t="s">
        <v>382</v>
      </c>
    </row>
    <row r="8" spans="1:11" ht="15" x14ac:dyDescent="0.2">
      <c r="A8" s="34" t="s">
        <v>12</v>
      </c>
      <c r="B8" s="34"/>
      <c r="C8" s="34"/>
      <c r="D8" s="34"/>
      <c r="E8" s="34"/>
      <c r="F8" s="34"/>
      <c r="G8" s="34"/>
      <c r="H8" s="34"/>
    </row>
    <row r="9" spans="1:11" x14ac:dyDescent="0.2">
      <c r="A9" s="28" t="s">
        <v>384</v>
      </c>
      <c r="B9" s="28" t="s">
        <v>385</v>
      </c>
      <c r="C9" s="28" t="s">
        <v>386</v>
      </c>
      <c r="D9" s="28" t="str">
        <f>"0,6819"</f>
        <v>0,6819</v>
      </c>
      <c r="E9" s="28" t="s">
        <v>17</v>
      </c>
      <c r="F9" s="28" t="s">
        <v>202</v>
      </c>
      <c r="G9" s="31" t="s">
        <v>150</v>
      </c>
      <c r="H9" s="31" t="s">
        <v>387</v>
      </c>
      <c r="I9" s="32" t="str">
        <f>"2402,5"</f>
        <v>2402,5</v>
      </c>
      <c r="J9" s="33" t="str">
        <f>"1638,2648"</f>
        <v>1638,2648</v>
      </c>
      <c r="K9" s="28" t="s">
        <v>388</v>
      </c>
    </row>
    <row r="11" spans="1:11" ht="15" x14ac:dyDescent="0.2">
      <c r="A11" s="34" t="s">
        <v>31</v>
      </c>
      <c r="B11" s="34"/>
      <c r="C11" s="34"/>
      <c r="D11" s="34"/>
      <c r="E11" s="34"/>
      <c r="F11" s="34"/>
      <c r="G11" s="34"/>
      <c r="H11" s="34"/>
    </row>
    <row r="12" spans="1:11" x14ac:dyDescent="0.2">
      <c r="A12" s="6" t="s">
        <v>186</v>
      </c>
      <c r="B12" s="6" t="s">
        <v>187</v>
      </c>
      <c r="C12" s="6" t="s">
        <v>188</v>
      </c>
      <c r="D12" s="6" t="str">
        <f>"0,6181"</f>
        <v>0,6181</v>
      </c>
      <c r="E12" s="6" t="s">
        <v>17</v>
      </c>
      <c r="F12" s="6" t="s">
        <v>18</v>
      </c>
      <c r="G12" s="8" t="s">
        <v>160</v>
      </c>
      <c r="H12" s="8" t="s">
        <v>354</v>
      </c>
      <c r="I12" s="17" t="str">
        <f>"2880,0"</f>
        <v>2880,0</v>
      </c>
      <c r="J12" s="18" t="str">
        <f>"1780,1280"</f>
        <v>1780,1280</v>
      </c>
      <c r="K12" s="6" t="s">
        <v>191</v>
      </c>
    </row>
    <row r="13" spans="1:11" x14ac:dyDescent="0.2">
      <c r="A13" s="9" t="s">
        <v>210</v>
      </c>
      <c r="B13" s="9" t="s">
        <v>211</v>
      </c>
      <c r="C13" s="9" t="s">
        <v>212</v>
      </c>
      <c r="D13" s="9" t="str">
        <f>"0,6149"</f>
        <v>0,6149</v>
      </c>
      <c r="E13" s="9" t="s">
        <v>17</v>
      </c>
      <c r="F13" s="9" t="s">
        <v>18</v>
      </c>
      <c r="G13" s="11" t="s">
        <v>160</v>
      </c>
      <c r="H13" s="11" t="s">
        <v>389</v>
      </c>
      <c r="I13" s="19" t="str">
        <f>"900,0"</f>
        <v>900,0</v>
      </c>
      <c r="J13" s="20" t="str">
        <f>"786,3956"</f>
        <v>786,3956</v>
      </c>
      <c r="K13" s="9" t="s">
        <v>214</v>
      </c>
    </row>
    <row r="15" spans="1:11" ht="15" x14ac:dyDescent="0.2">
      <c r="E15" s="15" t="s">
        <v>70</v>
      </c>
    </row>
    <row r="16" spans="1:11" ht="15" x14ac:dyDescent="0.2">
      <c r="E16" s="15" t="s">
        <v>71</v>
      </c>
    </row>
    <row r="17" spans="1:5" ht="15" x14ac:dyDescent="0.2">
      <c r="E17" s="15" t="s">
        <v>72</v>
      </c>
    </row>
    <row r="18" spans="1:5" ht="15" x14ac:dyDescent="0.2">
      <c r="E18" s="15" t="s">
        <v>73</v>
      </c>
    </row>
    <row r="19" spans="1:5" ht="15" x14ac:dyDescent="0.2">
      <c r="E19" s="15" t="s">
        <v>73</v>
      </c>
    </row>
    <row r="20" spans="1:5" ht="15" x14ac:dyDescent="0.2">
      <c r="E20" s="15" t="s">
        <v>74</v>
      </c>
    </row>
    <row r="21" spans="1:5" ht="15" x14ac:dyDescent="0.2">
      <c r="E21" s="15"/>
    </row>
    <row r="23" spans="1:5" ht="18" x14ac:dyDescent="0.25">
      <c r="A23" s="23" t="s">
        <v>75</v>
      </c>
      <c r="B23" s="23"/>
    </row>
    <row r="24" spans="1:5" ht="15" x14ac:dyDescent="0.2">
      <c r="A24" s="24" t="s">
        <v>76</v>
      </c>
      <c r="B24" s="24"/>
    </row>
    <row r="25" spans="1:5" ht="14.25" x14ac:dyDescent="0.2">
      <c r="A25" s="26"/>
      <c r="B25" s="27" t="s">
        <v>77</v>
      </c>
    </row>
    <row r="26" spans="1:5" ht="15" x14ac:dyDescent="0.2">
      <c r="A26" s="29" t="s">
        <v>78</v>
      </c>
      <c r="B26" s="29" t="s">
        <v>79</v>
      </c>
      <c r="C26" s="29" t="s">
        <v>80</v>
      </c>
      <c r="D26" s="29" t="s">
        <v>81</v>
      </c>
      <c r="E26" s="29" t="s">
        <v>361</v>
      </c>
    </row>
    <row r="27" spans="1:5" x14ac:dyDescent="0.2">
      <c r="A27" s="25" t="s">
        <v>377</v>
      </c>
      <c r="B27" s="4" t="s">
        <v>77</v>
      </c>
      <c r="C27" s="4" t="s">
        <v>336</v>
      </c>
      <c r="D27" s="4" t="s">
        <v>364</v>
      </c>
      <c r="E27" s="16" t="s">
        <v>390</v>
      </c>
    </row>
    <row r="28" spans="1:5" x14ac:dyDescent="0.2">
      <c r="A28" s="25" t="s">
        <v>185</v>
      </c>
      <c r="B28" s="4" t="s">
        <v>77</v>
      </c>
      <c r="C28" s="4" t="s">
        <v>85</v>
      </c>
      <c r="D28" s="4" t="s">
        <v>391</v>
      </c>
      <c r="E28" s="16" t="s">
        <v>392</v>
      </c>
    </row>
    <row r="29" spans="1:5" x14ac:dyDescent="0.2">
      <c r="A29" s="25" t="s">
        <v>383</v>
      </c>
      <c r="B29" s="4" t="s">
        <v>77</v>
      </c>
      <c r="C29" s="4" t="s">
        <v>90</v>
      </c>
      <c r="D29" s="4" t="s">
        <v>393</v>
      </c>
      <c r="E29" s="16" t="s">
        <v>394</v>
      </c>
    </row>
    <row r="31" spans="1:5" ht="14.25" x14ac:dyDescent="0.2">
      <c r="A31" s="26"/>
      <c r="B31" s="27" t="s">
        <v>88</v>
      </c>
    </row>
    <row r="32" spans="1:5" ht="15" x14ac:dyDescent="0.2">
      <c r="A32" s="29" t="s">
        <v>78</v>
      </c>
      <c r="B32" s="29" t="s">
        <v>79</v>
      </c>
      <c r="C32" s="29" t="s">
        <v>80</v>
      </c>
      <c r="D32" s="29" t="s">
        <v>81</v>
      </c>
      <c r="E32" s="29" t="s">
        <v>361</v>
      </c>
    </row>
    <row r="33" spans="1:5" x14ac:dyDescent="0.2">
      <c r="A33" s="25" t="s">
        <v>209</v>
      </c>
      <c r="B33" s="4" t="s">
        <v>89</v>
      </c>
      <c r="C33" s="4" t="s">
        <v>85</v>
      </c>
      <c r="D33" s="4" t="s">
        <v>395</v>
      </c>
      <c r="E33" s="16" t="s">
        <v>396</v>
      </c>
    </row>
  </sheetData>
  <mergeCells count="14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A8:H8"/>
    <mergeCell ref="A11:H11"/>
    <mergeCell ref="G3:H3"/>
    <mergeCell ref="I3:I4"/>
    <mergeCell ref="J3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WPF PRO Жим в 1-сл. эк.</vt:lpstr>
      <vt:lpstr>WPF PRO Жим безэк.</vt:lpstr>
      <vt:lpstr>WPF PRO Тяга безэк.</vt:lpstr>
      <vt:lpstr>WPF PRO МПЖ 1 вес</vt:lpstr>
      <vt:lpstr>WPF PRO МПЖ 1_2 вес</vt:lpstr>
      <vt:lpstr>WPF AM Жим безэк.</vt:lpstr>
      <vt:lpstr>WPF AM Тяга безэк.</vt:lpstr>
      <vt:lpstr>WPF AM МПЖ 1 вес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Игорь</cp:lastModifiedBy>
  <cp:lastPrinted>2015-07-16T19:10:53Z</cp:lastPrinted>
  <dcterms:created xsi:type="dcterms:W3CDTF">2002-06-16T13:36:44Z</dcterms:created>
  <dcterms:modified xsi:type="dcterms:W3CDTF">2020-10-11T21:05:05Z</dcterms:modified>
</cp:coreProperties>
</file>