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cerNitro5\Documents\Google Диск\1. PowerLifting\1. WPF\Protocols\"/>
    </mc:Choice>
  </mc:AlternateContent>
  <bookViews>
    <workbookView xWindow="0" yWindow="0" windowWidth="11736" windowHeight="8664" tabRatio="926"/>
  </bookViews>
  <sheets>
    <sheet name="WPF PRO ПЛ классич." sheetId="5" r:id="rId1"/>
    <sheet name="WPF PRO ПЛ безэк." sheetId="6" r:id="rId2"/>
    <sheet name="WPF PRO Жим в 1-сл. эк." sheetId="14" r:id="rId3"/>
    <sheet name="WPF PRO Жим безэк." sheetId="13" r:id="rId4"/>
    <sheet name="WPF PRO Тяга безэк." sheetId="19" r:id="rId5"/>
    <sheet name="WPF PRO МПЖ 1 вес" sheetId="25" r:id="rId6"/>
    <sheet name="WPF AM ПЛ в 1-сл. эк." sheetId="12" r:id="rId7"/>
    <sheet name="WPF AM ПЛ классич." sheetId="10" r:id="rId8"/>
    <sheet name="WPF AM ПЛ безэк." sheetId="11" r:id="rId9"/>
    <sheet name="WPF AM Жим в 1-сл. эк." sheetId="18" r:id="rId10"/>
    <sheet name="WPF AM Жим безэк." sheetId="17" r:id="rId11"/>
    <sheet name="WPF AM Тяга безэк." sheetId="23" r:id="rId12"/>
    <sheet name="WPF AM МПЖ 1 вес" sheetId="27" r:id="rId13"/>
    <sheet name="WPF AM МПЖ 1_2 вес" sheetId="28" r:id="rId14"/>
  </sheets>
  <definedNames>
    <definedName name="_FilterDatabase" localSheetId="0" hidden="1">'WPF PRO ПЛ классич.'!$A$1:$S$3</definedName>
  </definedNames>
  <calcPr calcId="152511" refMode="R1C1"/>
</workbook>
</file>

<file path=xl/calcChain.xml><?xml version="1.0" encoding="utf-8"?>
<calcChain xmlns="http://schemas.openxmlformats.org/spreadsheetml/2006/main">
  <c r="J23" i="28" l="1"/>
  <c r="I23" i="28"/>
  <c r="D23" i="28"/>
  <c r="J20" i="28"/>
  <c r="I20" i="28"/>
  <c r="D20" i="28"/>
  <c r="J19" i="28"/>
  <c r="I19" i="28"/>
  <c r="D19" i="28"/>
  <c r="J18" i="28"/>
  <c r="I18" i="28"/>
  <c r="D18" i="28"/>
  <c r="J15" i="28"/>
  <c r="I15" i="28"/>
  <c r="D15" i="28"/>
  <c r="J12" i="28"/>
  <c r="I12" i="28"/>
  <c r="D12" i="28"/>
  <c r="J9" i="28"/>
  <c r="I9" i="28"/>
  <c r="D9" i="28"/>
  <c r="J6" i="28"/>
  <c r="I6" i="28"/>
  <c r="D6" i="28"/>
  <c r="J32" i="27"/>
  <c r="I32" i="27"/>
  <c r="D32" i="27"/>
  <c r="J29" i="27"/>
  <c r="I29" i="27"/>
  <c r="D29" i="27"/>
  <c r="J28" i="27"/>
  <c r="I28" i="27"/>
  <c r="D28" i="27"/>
  <c r="J27" i="27"/>
  <c r="I27" i="27"/>
  <c r="D27" i="27"/>
  <c r="J24" i="27"/>
  <c r="I24" i="27"/>
  <c r="D24" i="27"/>
  <c r="J23" i="27"/>
  <c r="I23" i="27"/>
  <c r="D23" i="27"/>
  <c r="J20" i="27"/>
  <c r="I20" i="27"/>
  <c r="D20" i="27"/>
  <c r="J19" i="27"/>
  <c r="I19" i="27"/>
  <c r="D19" i="27"/>
  <c r="J18" i="27"/>
  <c r="I18" i="27"/>
  <c r="D18" i="27"/>
  <c r="J17" i="27"/>
  <c r="I17" i="27"/>
  <c r="D17" i="27"/>
  <c r="J14" i="27"/>
  <c r="I14" i="27"/>
  <c r="D14" i="27"/>
  <c r="J13" i="27"/>
  <c r="I13" i="27"/>
  <c r="D13" i="27"/>
  <c r="J10" i="27"/>
  <c r="I10" i="27"/>
  <c r="D10" i="27"/>
  <c r="J7" i="27"/>
  <c r="I7" i="27"/>
  <c r="D7" i="27"/>
  <c r="J6" i="27"/>
  <c r="I6" i="27"/>
  <c r="D6" i="27"/>
  <c r="J24" i="25"/>
  <c r="I24" i="25"/>
  <c r="D24" i="25"/>
  <c r="J23" i="25"/>
  <c r="I23" i="25"/>
  <c r="D23" i="25"/>
  <c r="J22" i="25"/>
  <c r="I22" i="25"/>
  <c r="D22" i="25"/>
  <c r="J19" i="25"/>
  <c r="I19" i="25"/>
  <c r="D19" i="25"/>
  <c r="J18" i="25"/>
  <c r="I18" i="25"/>
  <c r="D18" i="25"/>
  <c r="J15" i="25"/>
  <c r="I15" i="25"/>
  <c r="D15" i="25"/>
  <c r="J12" i="25"/>
  <c r="I12" i="25"/>
  <c r="D12" i="25"/>
  <c r="J9" i="25"/>
  <c r="I9" i="25"/>
  <c r="D9" i="25"/>
  <c r="J6" i="25"/>
  <c r="I6" i="25"/>
  <c r="D6" i="25"/>
  <c r="L67" i="23"/>
  <c r="K67" i="23"/>
  <c r="D67" i="23"/>
  <c r="L66" i="23"/>
  <c r="K66" i="23"/>
  <c r="D66" i="23"/>
  <c r="L65" i="23"/>
  <c r="K65" i="23"/>
  <c r="D65" i="23"/>
  <c r="L64" i="23"/>
  <c r="K64" i="23"/>
  <c r="D64" i="23"/>
  <c r="L61" i="23"/>
  <c r="K61" i="23"/>
  <c r="D61" i="23"/>
  <c r="L60" i="23"/>
  <c r="K60" i="23"/>
  <c r="D60" i="23"/>
  <c r="L59" i="23"/>
  <c r="K59" i="23"/>
  <c r="D59" i="23"/>
  <c r="L56" i="23"/>
  <c r="K56" i="23"/>
  <c r="D56" i="23"/>
  <c r="L55" i="23"/>
  <c r="K55" i="23"/>
  <c r="D55" i="23"/>
  <c r="L54" i="23"/>
  <c r="K54" i="23"/>
  <c r="D54" i="23"/>
  <c r="L53" i="23"/>
  <c r="K53" i="23"/>
  <c r="D53" i="23"/>
  <c r="L50" i="23"/>
  <c r="K50" i="23"/>
  <c r="D50" i="23"/>
  <c r="L49" i="23"/>
  <c r="K49" i="23"/>
  <c r="D49" i="23"/>
  <c r="L46" i="23"/>
  <c r="K46" i="23"/>
  <c r="D46" i="23"/>
  <c r="L45" i="23"/>
  <c r="K45" i="23"/>
  <c r="D45" i="23"/>
  <c r="L44" i="23"/>
  <c r="K44" i="23"/>
  <c r="D44" i="23"/>
  <c r="L43" i="23"/>
  <c r="K43" i="23"/>
  <c r="D43" i="23"/>
  <c r="L42" i="23"/>
  <c r="K42" i="23"/>
  <c r="D42" i="23"/>
  <c r="L41" i="23"/>
  <c r="K41" i="23"/>
  <c r="D41" i="23"/>
  <c r="L40" i="23"/>
  <c r="K40" i="23"/>
  <c r="D40" i="23"/>
  <c r="L39" i="23"/>
  <c r="K39" i="23"/>
  <c r="D39" i="23"/>
  <c r="L36" i="23"/>
  <c r="K36" i="23"/>
  <c r="D36" i="23"/>
  <c r="L33" i="23"/>
  <c r="K33" i="23"/>
  <c r="D33" i="23"/>
  <c r="L30" i="23"/>
  <c r="K30" i="23"/>
  <c r="D30" i="23"/>
  <c r="L27" i="23"/>
  <c r="K27" i="23"/>
  <c r="D27" i="23"/>
  <c r="L26" i="23"/>
  <c r="K26" i="23"/>
  <c r="D26" i="23"/>
  <c r="L23" i="23"/>
  <c r="K23" i="23"/>
  <c r="D23" i="23"/>
  <c r="L22" i="23"/>
  <c r="K22" i="23"/>
  <c r="D22" i="23"/>
  <c r="L21" i="23"/>
  <c r="K21" i="23"/>
  <c r="D21" i="23"/>
  <c r="L18" i="23"/>
  <c r="K18" i="23"/>
  <c r="D18" i="23"/>
  <c r="L15" i="23"/>
  <c r="K15" i="23"/>
  <c r="D15" i="23"/>
  <c r="L14" i="23"/>
  <c r="K14" i="23"/>
  <c r="D14" i="23"/>
  <c r="L13" i="23"/>
  <c r="K13" i="23"/>
  <c r="D13" i="23"/>
  <c r="L10" i="23"/>
  <c r="K10" i="23"/>
  <c r="D10" i="23"/>
  <c r="L7" i="23"/>
  <c r="K7" i="23"/>
  <c r="D7" i="23"/>
  <c r="L6" i="23"/>
  <c r="K6" i="23"/>
  <c r="D6" i="23"/>
  <c r="L16" i="19"/>
  <c r="K16" i="19"/>
  <c r="D16" i="19"/>
  <c r="L13" i="19"/>
  <c r="K13" i="19"/>
  <c r="D13" i="19"/>
  <c r="L12" i="19"/>
  <c r="K12" i="19"/>
  <c r="D12" i="19"/>
  <c r="L11" i="19"/>
  <c r="K11" i="19"/>
  <c r="D11" i="19"/>
  <c r="L10" i="19"/>
  <c r="K10" i="19"/>
  <c r="D10" i="19"/>
  <c r="L9" i="19"/>
  <c r="K9" i="19"/>
  <c r="D9" i="19"/>
  <c r="L6" i="19"/>
  <c r="K6" i="19"/>
  <c r="D6" i="19"/>
  <c r="L12" i="18"/>
  <c r="K12" i="18"/>
  <c r="D12" i="18"/>
  <c r="L11" i="18"/>
  <c r="K11" i="18"/>
  <c r="D11" i="18"/>
  <c r="L10" i="18"/>
  <c r="K10" i="18"/>
  <c r="D10" i="18"/>
  <c r="L9" i="18"/>
  <c r="K9" i="18"/>
  <c r="D9" i="18"/>
  <c r="L6" i="18"/>
  <c r="K6" i="18"/>
  <c r="D6" i="18"/>
  <c r="L97" i="17"/>
  <c r="K97" i="17"/>
  <c r="D97" i="17"/>
  <c r="L96" i="17"/>
  <c r="K96" i="17"/>
  <c r="D96" i="17"/>
  <c r="L95" i="17"/>
  <c r="K95" i="17"/>
  <c r="D95" i="17"/>
  <c r="L92" i="17"/>
  <c r="K92" i="17"/>
  <c r="D92" i="17"/>
  <c r="L91" i="17"/>
  <c r="K91" i="17"/>
  <c r="D91" i="17"/>
  <c r="L90" i="17"/>
  <c r="K90" i="17"/>
  <c r="D90" i="17"/>
  <c r="L89" i="17"/>
  <c r="K89" i="17"/>
  <c r="D89" i="17"/>
  <c r="L86" i="17"/>
  <c r="K86" i="17"/>
  <c r="D86" i="17"/>
  <c r="L85" i="17"/>
  <c r="K85" i="17"/>
  <c r="D85" i="17"/>
  <c r="L84" i="17"/>
  <c r="K84" i="17"/>
  <c r="D84" i="17"/>
  <c r="L83" i="17"/>
  <c r="K83" i="17"/>
  <c r="D83" i="17"/>
  <c r="L82" i="17"/>
  <c r="K82" i="17"/>
  <c r="D82" i="17"/>
  <c r="L81" i="17"/>
  <c r="K81" i="17"/>
  <c r="D81" i="17"/>
  <c r="L80" i="17"/>
  <c r="K80" i="17"/>
  <c r="D80" i="17"/>
  <c r="L79" i="17"/>
  <c r="K79" i="17"/>
  <c r="D79" i="17"/>
  <c r="L78" i="17"/>
  <c r="K78" i="17"/>
  <c r="D78" i="17"/>
  <c r="L77" i="17"/>
  <c r="K77" i="17"/>
  <c r="D77" i="17"/>
  <c r="L74" i="17"/>
  <c r="K74" i="17"/>
  <c r="D74" i="17"/>
  <c r="L73" i="17"/>
  <c r="K73" i="17"/>
  <c r="D73" i="17"/>
  <c r="L72" i="17"/>
  <c r="K72" i="17"/>
  <c r="D72" i="17"/>
  <c r="L71" i="17"/>
  <c r="K71" i="17"/>
  <c r="D71" i="17"/>
  <c r="L70" i="17"/>
  <c r="K70" i="17"/>
  <c r="D70" i="17"/>
  <c r="L69" i="17"/>
  <c r="K69" i="17"/>
  <c r="D69" i="17"/>
  <c r="L68" i="17"/>
  <c r="K68" i="17"/>
  <c r="D68" i="17"/>
  <c r="L67" i="17"/>
  <c r="K67" i="17"/>
  <c r="D67" i="17"/>
  <c r="L66" i="17"/>
  <c r="K66" i="17"/>
  <c r="D66" i="17"/>
  <c r="L63" i="17"/>
  <c r="K63" i="17"/>
  <c r="D63" i="17"/>
  <c r="L62" i="17"/>
  <c r="K62" i="17"/>
  <c r="D62" i="17"/>
  <c r="L61" i="17"/>
  <c r="K61" i="17"/>
  <c r="D61" i="17"/>
  <c r="L60" i="17"/>
  <c r="K60" i="17"/>
  <c r="D60" i="17"/>
  <c r="L59" i="17"/>
  <c r="K59" i="17"/>
  <c r="D59" i="17"/>
  <c r="L58" i="17"/>
  <c r="K58" i="17"/>
  <c r="D58" i="17"/>
  <c r="L57" i="17"/>
  <c r="K57" i="17"/>
  <c r="D57" i="17"/>
  <c r="L56" i="17"/>
  <c r="K56" i="17"/>
  <c r="D56" i="17"/>
  <c r="L55" i="17"/>
  <c r="K55" i="17"/>
  <c r="D55" i="17"/>
  <c r="L54" i="17"/>
  <c r="K54" i="17"/>
  <c r="D54" i="17"/>
  <c r="L53" i="17"/>
  <c r="K53" i="17"/>
  <c r="D53" i="17"/>
  <c r="L52" i="17"/>
  <c r="K52" i="17"/>
  <c r="D52" i="17"/>
  <c r="L51" i="17"/>
  <c r="K51" i="17"/>
  <c r="D51" i="17"/>
  <c r="L50" i="17"/>
  <c r="K50" i="17"/>
  <c r="D50" i="17"/>
  <c r="L47" i="17"/>
  <c r="K47" i="17"/>
  <c r="D47" i="17"/>
  <c r="L46" i="17"/>
  <c r="K46" i="17"/>
  <c r="D46" i="17"/>
  <c r="L45" i="17"/>
  <c r="K45" i="17"/>
  <c r="D45" i="17"/>
  <c r="L44" i="17"/>
  <c r="K44" i="17"/>
  <c r="D44" i="17"/>
  <c r="L43" i="17"/>
  <c r="K43" i="17"/>
  <c r="D43" i="17"/>
  <c r="L42" i="17"/>
  <c r="K42" i="17"/>
  <c r="D42" i="17"/>
  <c r="L41" i="17"/>
  <c r="K41" i="17"/>
  <c r="D41" i="17"/>
  <c r="L40" i="17"/>
  <c r="K40" i="17"/>
  <c r="D40" i="17"/>
  <c r="L39" i="17"/>
  <c r="K39" i="17"/>
  <c r="D39" i="17"/>
  <c r="L38" i="17"/>
  <c r="K38" i="17"/>
  <c r="D38" i="17"/>
  <c r="L37" i="17"/>
  <c r="K37" i="17"/>
  <c r="D37" i="17"/>
  <c r="L34" i="17"/>
  <c r="K34" i="17"/>
  <c r="D34" i="17"/>
  <c r="L33" i="17"/>
  <c r="K33" i="17"/>
  <c r="D33" i="17"/>
  <c r="L32" i="17"/>
  <c r="K32" i="17"/>
  <c r="D32" i="17"/>
  <c r="L31" i="17"/>
  <c r="K31" i="17"/>
  <c r="D31" i="17"/>
  <c r="L30" i="17"/>
  <c r="K30" i="17"/>
  <c r="D30" i="17"/>
  <c r="L29" i="17"/>
  <c r="K29" i="17"/>
  <c r="D29" i="17"/>
  <c r="L26" i="17"/>
  <c r="K26" i="17"/>
  <c r="D26" i="17"/>
  <c r="L25" i="17"/>
  <c r="K25" i="17"/>
  <c r="D25" i="17"/>
  <c r="L24" i="17"/>
  <c r="K24" i="17"/>
  <c r="D24" i="17"/>
  <c r="L21" i="17"/>
  <c r="K21" i="17"/>
  <c r="D21" i="17"/>
  <c r="L18" i="17"/>
  <c r="K18" i="17"/>
  <c r="D18" i="17"/>
  <c r="L15" i="17"/>
  <c r="K15" i="17"/>
  <c r="D15" i="17"/>
  <c r="L14" i="17"/>
  <c r="K14" i="17"/>
  <c r="D14" i="17"/>
  <c r="L13" i="17"/>
  <c r="K13" i="17"/>
  <c r="D13" i="17"/>
  <c r="L12" i="17"/>
  <c r="K12" i="17"/>
  <c r="D12" i="17"/>
  <c r="L9" i="17"/>
  <c r="K9" i="17"/>
  <c r="D9" i="17"/>
  <c r="L6" i="17"/>
  <c r="K6" i="17"/>
  <c r="D6" i="17"/>
  <c r="L7" i="14"/>
  <c r="K7" i="14"/>
  <c r="D7" i="14"/>
  <c r="L6" i="14"/>
  <c r="K6" i="14"/>
  <c r="D6" i="14"/>
  <c r="L32" i="13"/>
  <c r="K32" i="13"/>
  <c r="D32" i="13"/>
  <c r="L29" i="13"/>
  <c r="K29" i="13"/>
  <c r="D29" i="13"/>
  <c r="L28" i="13"/>
  <c r="K28" i="13"/>
  <c r="D28" i="13"/>
  <c r="L27" i="13"/>
  <c r="K27" i="13"/>
  <c r="D27" i="13"/>
  <c r="L26" i="13"/>
  <c r="K26" i="13"/>
  <c r="D26" i="13"/>
  <c r="L25" i="13"/>
  <c r="K25" i="13"/>
  <c r="D25" i="13"/>
  <c r="L22" i="13"/>
  <c r="K22" i="13"/>
  <c r="D22" i="13"/>
  <c r="L21" i="13"/>
  <c r="K21" i="13"/>
  <c r="D21" i="13"/>
  <c r="L20" i="13"/>
  <c r="K20" i="13"/>
  <c r="D20" i="13"/>
  <c r="L17" i="13"/>
  <c r="K17" i="13"/>
  <c r="D17" i="13"/>
  <c r="L16" i="13"/>
  <c r="K16" i="13"/>
  <c r="D16" i="13"/>
  <c r="L15" i="13"/>
  <c r="K15" i="13"/>
  <c r="D15" i="13"/>
  <c r="L14" i="13"/>
  <c r="K14" i="13"/>
  <c r="D14" i="13"/>
  <c r="L13" i="13"/>
  <c r="K13" i="13"/>
  <c r="D13" i="13"/>
  <c r="L10" i="13"/>
  <c r="K10" i="13"/>
  <c r="D10" i="13"/>
  <c r="L7" i="13"/>
  <c r="K7" i="13"/>
  <c r="D7" i="13"/>
  <c r="L6" i="13"/>
  <c r="K6" i="13"/>
  <c r="D6" i="13"/>
  <c r="T6" i="12"/>
  <c r="S6" i="12"/>
  <c r="D6" i="12"/>
  <c r="T48" i="11"/>
  <c r="S48" i="11"/>
  <c r="D48" i="11"/>
  <c r="T45" i="11"/>
  <c r="S45" i="11"/>
  <c r="D45" i="11"/>
  <c r="T44" i="11"/>
  <c r="S44" i="11"/>
  <c r="D44" i="11"/>
  <c r="T43" i="11"/>
  <c r="S43" i="11"/>
  <c r="D43" i="11"/>
  <c r="T42" i="11"/>
  <c r="S42" i="11"/>
  <c r="D42" i="11"/>
  <c r="T39" i="11"/>
  <c r="S39" i="11"/>
  <c r="D39" i="11"/>
  <c r="T38" i="11"/>
  <c r="S38" i="11"/>
  <c r="D38" i="11"/>
  <c r="T37" i="11"/>
  <c r="S37" i="11"/>
  <c r="D37" i="11"/>
  <c r="T34" i="11"/>
  <c r="S34" i="11"/>
  <c r="D34" i="11"/>
  <c r="T33" i="11"/>
  <c r="S33" i="11"/>
  <c r="D33" i="11"/>
  <c r="T32" i="11"/>
  <c r="S32" i="11"/>
  <c r="D32" i="11"/>
  <c r="T31" i="11"/>
  <c r="S31" i="11"/>
  <c r="D31" i="11"/>
  <c r="T28" i="11"/>
  <c r="S28" i="11"/>
  <c r="D28" i="11"/>
  <c r="T25" i="11"/>
  <c r="S25" i="11"/>
  <c r="D25" i="11"/>
  <c r="T22" i="11"/>
  <c r="S22" i="11"/>
  <c r="D22" i="11"/>
  <c r="T19" i="11"/>
  <c r="S19" i="11"/>
  <c r="D19" i="11"/>
  <c r="T18" i="11"/>
  <c r="S18" i="11"/>
  <c r="D18" i="11"/>
  <c r="T17" i="11"/>
  <c r="S17" i="11"/>
  <c r="D17" i="11"/>
  <c r="T14" i="11"/>
  <c r="S14" i="11"/>
  <c r="D14" i="11"/>
  <c r="T13" i="11"/>
  <c r="S13" i="11"/>
  <c r="D13" i="11"/>
  <c r="T10" i="11"/>
  <c r="S10" i="11"/>
  <c r="D10" i="11"/>
  <c r="T9" i="11"/>
  <c r="S9" i="11"/>
  <c r="D9" i="11"/>
  <c r="T6" i="11"/>
  <c r="S6" i="11"/>
  <c r="D6" i="11"/>
  <c r="T19" i="10"/>
  <c r="S19" i="10"/>
  <c r="D19" i="10"/>
  <c r="T18" i="10"/>
  <c r="S18" i="10"/>
  <c r="D18" i="10"/>
  <c r="T17" i="10"/>
  <c r="S17" i="10"/>
  <c r="D17" i="10"/>
  <c r="T16" i="10"/>
  <c r="S16" i="10"/>
  <c r="D16" i="10"/>
  <c r="T13" i="10"/>
  <c r="S13" i="10"/>
  <c r="D13" i="10"/>
  <c r="T10" i="10"/>
  <c r="S10" i="10"/>
  <c r="D10" i="10"/>
  <c r="T9" i="10"/>
  <c r="S9" i="10"/>
  <c r="D9" i="10"/>
  <c r="T6" i="10"/>
  <c r="S6" i="10"/>
  <c r="D6" i="10"/>
  <c r="T21" i="6"/>
  <c r="S21" i="6"/>
  <c r="D21" i="6"/>
  <c r="T20" i="6"/>
  <c r="S20" i="6"/>
  <c r="D20" i="6"/>
  <c r="T19" i="6"/>
  <c r="S19" i="6"/>
  <c r="D19" i="6"/>
  <c r="T18" i="6"/>
  <c r="S18" i="6"/>
  <c r="D18" i="6"/>
  <c r="T15" i="6"/>
  <c r="S15" i="6"/>
  <c r="D15" i="6"/>
  <c r="T14" i="6"/>
  <c r="S14" i="6"/>
  <c r="D14" i="6"/>
  <c r="T13" i="6"/>
  <c r="S13" i="6"/>
  <c r="D13" i="6"/>
  <c r="T12" i="6"/>
  <c r="S12" i="6"/>
  <c r="D12" i="6"/>
  <c r="T9" i="6"/>
  <c r="S9" i="6"/>
  <c r="D9" i="6"/>
  <c r="T6" i="6"/>
  <c r="S6" i="6"/>
  <c r="D6" i="6"/>
  <c r="T20" i="5"/>
  <c r="S20" i="5"/>
  <c r="D20" i="5"/>
  <c r="T19" i="5"/>
  <c r="S19" i="5"/>
  <c r="D19" i="5"/>
  <c r="T18" i="5"/>
  <c r="S18" i="5"/>
  <c r="D18" i="5"/>
  <c r="T17" i="5"/>
  <c r="S17" i="5"/>
  <c r="D17" i="5"/>
  <c r="T16" i="5"/>
  <c r="S16" i="5"/>
  <c r="D16" i="5"/>
  <c r="T13" i="5"/>
  <c r="S13" i="5"/>
  <c r="D13" i="5"/>
  <c r="T12" i="5"/>
  <c r="S12" i="5"/>
  <c r="D12" i="5"/>
  <c r="T11" i="5"/>
  <c r="S11" i="5"/>
  <c r="D11" i="5"/>
  <c r="T10" i="5"/>
  <c r="S10" i="5"/>
  <c r="D10" i="5"/>
  <c r="T7" i="5"/>
  <c r="S7" i="5"/>
  <c r="D7" i="5"/>
  <c r="T6" i="5"/>
  <c r="S6" i="5"/>
  <c r="D6" i="5"/>
</calcChain>
</file>

<file path=xl/sharedStrings.xml><?xml version="1.0" encoding="utf-8"?>
<sst xmlns="http://schemas.openxmlformats.org/spreadsheetml/2006/main" count="4004" uniqueCount="1377">
  <si>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</si>
  <si>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</si>
  <si>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</si>
  <si>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</si>
  <si>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</si>
  <si>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</si>
  <si>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</si>
  <si>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</si>
  <si>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</si>
  <si>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</si>
  <si>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</si>
  <si>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Wilks</t>
  </si>
  <si>
    <t>Приседание</t>
  </si>
  <si>
    <t>Жим лёжа</t>
  </si>
  <si>
    <t>Становая тяга</t>
  </si>
  <si>
    <t>ВЕСОВАЯ КАТЕГОРИЯ   90</t>
  </si>
  <si>
    <t>Ильенко Александр</t>
  </si>
  <si>
    <t>1. Ильенко Александр</t>
  </si>
  <si>
    <t>Открытая (23.03.1996)/24</t>
  </si>
  <si>
    <t>84,80</t>
  </si>
  <si>
    <t xml:space="preserve">Лично </t>
  </si>
  <si>
    <t xml:space="preserve">Фряново/Московская область </t>
  </si>
  <si>
    <t>200,0</t>
  </si>
  <si>
    <t>220,0</t>
  </si>
  <si>
    <t>230,0</t>
  </si>
  <si>
    <t>145,0</t>
  </si>
  <si>
    <t>155,0</t>
  </si>
  <si>
    <t>165,0</t>
  </si>
  <si>
    <t>240,0</t>
  </si>
  <si>
    <t>265,0</t>
  </si>
  <si>
    <t xml:space="preserve">Луговой А.С. </t>
  </si>
  <si>
    <t>Евсеев Роман</t>
  </si>
  <si>
    <t>2. Евсеев Роман</t>
  </si>
  <si>
    <t>Открытая (12.08.1993)/27</t>
  </si>
  <si>
    <t>88,10</t>
  </si>
  <si>
    <t xml:space="preserve">Дубна/Московская область </t>
  </si>
  <si>
    <t>245,0</t>
  </si>
  <si>
    <t>140,0</t>
  </si>
  <si>
    <t>150,0</t>
  </si>
  <si>
    <t>255,0</t>
  </si>
  <si>
    <t xml:space="preserve">Шабров А.Г. </t>
  </si>
  <si>
    <t>ВЕСОВАЯ КАТЕГОРИЯ   100</t>
  </si>
  <si>
    <t>Мацкевич Александр</t>
  </si>
  <si>
    <t>1. Мацкевич Александр</t>
  </si>
  <si>
    <t>Открытая (26.08.1988)/32</t>
  </si>
  <si>
    <t>98,90</t>
  </si>
  <si>
    <t xml:space="preserve">Москва/ </t>
  </si>
  <si>
    <t>280,0</t>
  </si>
  <si>
    <t>180,0</t>
  </si>
  <si>
    <t>185,0</t>
  </si>
  <si>
    <t>190,0</t>
  </si>
  <si>
    <t>330,0</t>
  </si>
  <si>
    <t>347,5</t>
  </si>
  <si>
    <t>357,5</t>
  </si>
  <si>
    <t>370,5</t>
  </si>
  <si>
    <t xml:space="preserve">Ушаков А. </t>
  </si>
  <si>
    <t>Замп Николай</t>
  </si>
  <si>
    <t>2. Замп Николай</t>
  </si>
  <si>
    <t>Открытая (02.03.1990)/30</t>
  </si>
  <si>
    <t>98,40</t>
  </si>
  <si>
    <t>260,0</t>
  </si>
  <si>
    <t>270,0</t>
  </si>
  <si>
    <t>160,0</t>
  </si>
  <si>
    <t>170,0</t>
  </si>
  <si>
    <t>172,5</t>
  </si>
  <si>
    <t>290,0</t>
  </si>
  <si>
    <t xml:space="preserve"> </t>
  </si>
  <si>
    <t>Пащенко Дмитрий</t>
  </si>
  <si>
    <t>3. Пащенко Дмитрий</t>
  </si>
  <si>
    <t>Открытая (17.04.1995)/25</t>
  </si>
  <si>
    <t>96,30</t>
  </si>
  <si>
    <t>210,0</t>
  </si>
  <si>
    <t>225,0</t>
  </si>
  <si>
    <t>157,5</t>
  </si>
  <si>
    <t xml:space="preserve">Пащенко Д.В. </t>
  </si>
  <si>
    <t>Лебедев Михаил</t>
  </si>
  <si>
    <t>4. Лебедев Михаил</t>
  </si>
  <si>
    <t>Открытая (01.02.1996)/25</t>
  </si>
  <si>
    <t>90,80</t>
  </si>
  <si>
    <t xml:space="preserve">Химки/Московская область </t>
  </si>
  <si>
    <t>215,0</t>
  </si>
  <si>
    <t>112,5</t>
  </si>
  <si>
    <t>122,5</t>
  </si>
  <si>
    <t>127,5</t>
  </si>
  <si>
    <t>ВЕСОВАЯ КАТЕГОРИЯ   110</t>
  </si>
  <si>
    <t>Петров Артем</t>
  </si>
  <si>
    <t>1. Петров Артем</t>
  </si>
  <si>
    <t>Юниоры 20 - 23 (05.03.1997)/23</t>
  </si>
  <si>
    <t>108,50</t>
  </si>
  <si>
    <t>162,5</t>
  </si>
  <si>
    <t>250,0</t>
  </si>
  <si>
    <t>Ахлестин Сергей</t>
  </si>
  <si>
    <t>1. Ахлестин Сергей</t>
  </si>
  <si>
    <t>Открытая (15.09.1989)/31</t>
  </si>
  <si>
    <t>107,20</t>
  </si>
  <si>
    <t xml:space="preserve">Вольск/Саратовская область </t>
  </si>
  <si>
    <t>300,0</t>
  </si>
  <si>
    <t>320,0</t>
  </si>
  <si>
    <t>340,0</t>
  </si>
  <si>
    <t>195,0</t>
  </si>
  <si>
    <t>350,0</t>
  </si>
  <si>
    <t>370,0</t>
  </si>
  <si>
    <t xml:space="preserve">Андреев В.В. </t>
  </si>
  <si>
    <t>Карпович Максим</t>
  </si>
  <si>
    <t>2. Карпович Максим</t>
  </si>
  <si>
    <t>Открытая (13.07.1993)/27</t>
  </si>
  <si>
    <t>102,30</t>
  </si>
  <si>
    <t>177,5</t>
  </si>
  <si>
    <t>305,0</t>
  </si>
  <si>
    <t>312,5</t>
  </si>
  <si>
    <t xml:space="preserve">Власова Надежда Валерьевна </t>
  </si>
  <si>
    <t>Плотников Максим</t>
  </si>
  <si>
    <t>3. Плотников Максим</t>
  </si>
  <si>
    <t>Открытая (20.05.1983)/37</t>
  </si>
  <si>
    <t>108,60</t>
  </si>
  <si>
    <t>Дроздов Александр</t>
  </si>
  <si>
    <t>1. Дроздов Александр</t>
  </si>
  <si>
    <t>Ветераны 40 - 44 (09.02.1980)/41</t>
  </si>
  <si>
    <t>106,00</t>
  </si>
  <si>
    <t xml:space="preserve">Москва </t>
  </si>
  <si>
    <t xml:space="preserve">.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</si>
  <si>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</si>
  <si>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</si>
  <si>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</si>
  <si>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</si>
  <si>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</si>
  <si>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</si>
  <si>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</si>
  <si>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Юниоры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</si>
  <si>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</si>
  <si>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</si>
  <si>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</si>
  <si>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</si>
  <si>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</si>
  <si>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 xml:space="preserve">Юниоры 20 - 23 </t>
  </si>
  <si>
    <t>110</t>
  </si>
  <si>
    <t>667,5</t>
  </si>
  <si>
    <t>394,4925</t>
  </si>
  <si>
    <t xml:space="preserve">Открытая </t>
  </si>
  <si>
    <t>885,0</t>
  </si>
  <si>
    <t>525,0705</t>
  </si>
  <si>
    <t>100</t>
  </si>
  <si>
    <t>827,5</t>
  </si>
  <si>
    <t>505,8507</t>
  </si>
  <si>
    <t>770,0</t>
  </si>
  <si>
    <t>464,4640</t>
  </si>
  <si>
    <t>755,0</t>
  </si>
  <si>
    <t>446,1295</t>
  </si>
  <si>
    <t>720,0</t>
  </si>
  <si>
    <t>441,0720</t>
  </si>
  <si>
    <t>90</t>
  </si>
  <si>
    <t>660,0</t>
  </si>
  <si>
    <t>435,0720</t>
  </si>
  <si>
    <t>635,0</t>
  </si>
  <si>
    <t>409,8925</t>
  </si>
  <si>
    <t>625,0</t>
  </si>
  <si>
    <t>386,4375</t>
  </si>
  <si>
    <t>567,5</t>
  </si>
  <si>
    <t>360,7030</t>
  </si>
  <si>
    <t xml:space="preserve">Ветераны </t>
  </si>
  <si>
    <t xml:space="preserve">Ветераны 40 - 44 </t>
  </si>
  <si>
    <t>650,0</t>
  </si>
  <si>
    <t>391,0114</t>
  </si>
  <si>
    <t>ВЕСОВАЯ КАТЕГОРИЯ   82.5</t>
  </si>
  <si>
    <t>Грачева Ольга</t>
  </si>
  <si>
    <t>1. Грачева Ольга</t>
  </si>
  <si>
    <t>Ветераны 40 - 44 (19.09.1978)/42</t>
  </si>
  <si>
    <t>78,00</t>
  </si>
  <si>
    <t>95,0</t>
  </si>
  <si>
    <t>105,0</t>
  </si>
  <si>
    <t>110,0</t>
  </si>
  <si>
    <t xml:space="preserve">Смирнов Д.И. </t>
  </si>
  <si>
    <t>ВЕСОВАЯ КАТЕГОРИЯ   75</t>
  </si>
  <si>
    <t>Замотин Алексей</t>
  </si>
  <si>
    <t>1. Замотин Алексей</t>
  </si>
  <si>
    <t>Открытая (21.09.1986)/34</t>
  </si>
  <si>
    <t>74,30</t>
  </si>
  <si>
    <t>120,0</t>
  </si>
  <si>
    <t>125,0</t>
  </si>
  <si>
    <t>130,0</t>
  </si>
  <si>
    <t>115,0</t>
  </si>
  <si>
    <t>Качаев Иван</t>
  </si>
  <si>
    <t>1. Качаев Иван</t>
  </si>
  <si>
    <t>Открытая (05.11.1996)/24</t>
  </si>
  <si>
    <t>88,80</t>
  </si>
  <si>
    <t xml:space="preserve">Реутов/Московская область </t>
  </si>
  <si>
    <t>205,0</t>
  </si>
  <si>
    <t>135,0</t>
  </si>
  <si>
    <t>152,5</t>
  </si>
  <si>
    <t>Батанов Сергей</t>
  </si>
  <si>
    <t>2. Батанов Сергей</t>
  </si>
  <si>
    <t>Открытая (14.07.1987)/33</t>
  </si>
  <si>
    <t>88,20</t>
  </si>
  <si>
    <t xml:space="preserve">Сорокин Г </t>
  </si>
  <si>
    <t>Решетов Владимир</t>
  </si>
  <si>
    <t>1. Решетов Владимир</t>
  </si>
  <si>
    <t>Ветераны 45 - 49 (07.07.1975)/45</t>
  </si>
  <si>
    <t>89,00</t>
  </si>
  <si>
    <t xml:space="preserve">Рязань/Рязанская область </t>
  </si>
  <si>
    <t>235,0</t>
  </si>
  <si>
    <t xml:space="preserve">Решетов А.В. </t>
  </si>
  <si>
    <t>Рогалёв Александр</t>
  </si>
  <si>
    <t>1. Рогалёв Александр</t>
  </si>
  <si>
    <t>Ветераны 60 - 64 (08.08.1957)/63</t>
  </si>
  <si>
    <t xml:space="preserve">Егорьевск/Московская область </t>
  </si>
  <si>
    <t>175,0</t>
  </si>
  <si>
    <t>100,0</t>
  </si>
  <si>
    <t>107,5</t>
  </si>
  <si>
    <t xml:space="preserve">Копылов В.В. </t>
  </si>
  <si>
    <t>Постаногов Геннадий</t>
  </si>
  <si>
    <t>1. Постаногов Геннадий</t>
  </si>
  <si>
    <t>Открытая (26.04.1984)/36</t>
  </si>
  <si>
    <t>95,30</t>
  </si>
  <si>
    <t>285,0</t>
  </si>
  <si>
    <t>Афанасьев Николай</t>
  </si>
  <si>
    <t>2. Афанасьев Николай</t>
  </si>
  <si>
    <t>Открытая (27.04.1981)/39</t>
  </si>
  <si>
    <t>96,10</t>
  </si>
  <si>
    <t>167,5</t>
  </si>
  <si>
    <t>275,0</t>
  </si>
  <si>
    <t xml:space="preserve">Афанасьев Н.Н. </t>
  </si>
  <si>
    <t>Малышев Роман</t>
  </si>
  <si>
    <t>1. Малышев Роман</t>
  </si>
  <si>
    <t>Ветераны 40 - 44 (23.05.1977)/43</t>
  </si>
  <si>
    <t>97,70</t>
  </si>
  <si>
    <t>212,5</t>
  </si>
  <si>
    <t>222,5</t>
  </si>
  <si>
    <t xml:space="preserve">Лебушкин С. </t>
  </si>
  <si>
    <t>Решетов Алексей</t>
  </si>
  <si>
    <t>1. Решетов Алексей</t>
  </si>
  <si>
    <t>93,20</t>
  </si>
  <si>
    <t>242,5</t>
  </si>
  <si>
    <t xml:space="preserve">Решетов В.В. </t>
  </si>
  <si>
    <t xml:space="preserve">Женщины </t>
  </si>
  <si>
    <t>82.5</t>
  </si>
  <si>
    <t>455,0</t>
  </si>
  <si>
    <t>430,8240</t>
  </si>
  <si>
    <t>690,0</t>
  </si>
  <si>
    <t>428,5590</t>
  </si>
  <si>
    <t>687,5</t>
  </si>
  <si>
    <t>425,4250</t>
  </si>
  <si>
    <t>617,5</t>
  </si>
  <si>
    <t>396,9290</t>
  </si>
  <si>
    <t>510,0</t>
  </si>
  <si>
    <t>329,0010</t>
  </si>
  <si>
    <t>75</t>
  </si>
  <si>
    <t>425,0</t>
  </si>
  <si>
    <t>304,8525</t>
  </si>
  <si>
    <t xml:space="preserve">Ветераны 60 - 64 </t>
  </si>
  <si>
    <t>500,0</t>
  </si>
  <si>
    <t>468,3616</t>
  </si>
  <si>
    <t xml:space="preserve">Ветераны 45 - 49 </t>
  </si>
  <si>
    <t>637,5</t>
  </si>
  <si>
    <t>431,8524</t>
  </si>
  <si>
    <t>622,5</t>
  </si>
  <si>
    <t>412,1685</t>
  </si>
  <si>
    <t>600,0</t>
  </si>
  <si>
    <t>380,0679</t>
  </si>
  <si>
    <t>ВЕСОВАЯ КАТЕГОРИЯ   60</t>
  </si>
  <si>
    <t>Сарычева Елизавета</t>
  </si>
  <si>
    <t>1. Сарычева Елизавета</t>
  </si>
  <si>
    <t>Открытая (16.09.1998)/22</t>
  </si>
  <si>
    <t>58,70</t>
  </si>
  <si>
    <t>72,5</t>
  </si>
  <si>
    <t>77,5</t>
  </si>
  <si>
    <t xml:space="preserve">Власова Н. </t>
  </si>
  <si>
    <t>Кондрашин Иван</t>
  </si>
  <si>
    <t>1. Кондрашин Иван</t>
  </si>
  <si>
    <t>Открытая (29.09.1987)/33</t>
  </si>
  <si>
    <t>87,80</t>
  </si>
  <si>
    <t xml:space="preserve">Воскресенск/Московская область </t>
  </si>
  <si>
    <t xml:space="preserve">Хламков А.Е. </t>
  </si>
  <si>
    <t>Благов Алексей</t>
  </si>
  <si>
    <t>2. Благов Алексей</t>
  </si>
  <si>
    <t>Открытая (24.10.1986)/34</t>
  </si>
  <si>
    <t xml:space="preserve">Лобня/Московская область </t>
  </si>
  <si>
    <t>Варварин Олег</t>
  </si>
  <si>
    <t>1. Варварин Олег</t>
  </si>
  <si>
    <t>Открытая (02.04.1986)/34</t>
  </si>
  <si>
    <t>97,50</t>
  </si>
  <si>
    <t xml:space="preserve">Московская </t>
  </si>
  <si>
    <t>ВЕСОВАЯ КАТЕГОРИЯ   125</t>
  </si>
  <si>
    <t>Дрожжин Андрей</t>
  </si>
  <si>
    <t>1. Дрожжин Андрей</t>
  </si>
  <si>
    <t>Открытая (21.11.1977)/43</t>
  </si>
  <si>
    <t>116,50</t>
  </si>
  <si>
    <t xml:space="preserve">Хотьково/Московская область </t>
  </si>
  <si>
    <t xml:space="preserve">Мамичева Е. </t>
  </si>
  <si>
    <t>Рак Иван</t>
  </si>
  <si>
    <t>2. Рак Иван</t>
  </si>
  <si>
    <t>Открытая (27.08.1974)/46</t>
  </si>
  <si>
    <t>122,00</t>
  </si>
  <si>
    <t xml:space="preserve">Дмитров/Московская область </t>
  </si>
  <si>
    <t xml:space="preserve">Евстигнеев М. </t>
  </si>
  <si>
    <t>Ветераны 40 - 44 (21.11.1977)/43</t>
  </si>
  <si>
    <t>1. Рак Иван</t>
  </si>
  <si>
    <t>Ветераны 45 - 49 (27.08.1974)/46</t>
  </si>
  <si>
    <t>60</t>
  </si>
  <si>
    <t>375,0</t>
  </si>
  <si>
    <t>425,2500</t>
  </si>
  <si>
    <t>125</t>
  </si>
  <si>
    <t>750,0</t>
  </si>
  <si>
    <t>434,3250</t>
  </si>
  <si>
    <t>705,0</t>
  </si>
  <si>
    <t>403,8240</t>
  </si>
  <si>
    <t>620,0</t>
  </si>
  <si>
    <t>400,9540</t>
  </si>
  <si>
    <t>640,0</t>
  </si>
  <si>
    <t>393,6000</t>
  </si>
  <si>
    <t>505,0</t>
  </si>
  <si>
    <t>325,9775</t>
  </si>
  <si>
    <t>447,7891</t>
  </si>
  <si>
    <t>431,2840</t>
  </si>
  <si>
    <t>ВЕСОВАЯ КАТЕГОРИЯ   48</t>
  </si>
  <si>
    <t>Сучкова Екатерина</t>
  </si>
  <si>
    <t>1. Сучкова Екатерина</t>
  </si>
  <si>
    <t>Юниорки 20 - 23 (15.05.1997)/23</t>
  </si>
  <si>
    <t>46,30</t>
  </si>
  <si>
    <t>80,0</t>
  </si>
  <si>
    <t>82,5</t>
  </si>
  <si>
    <t>85,0</t>
  </si>
  <si>
    <t>42,5</t>
  </si>
  <si>
    <t>45,0</t>
  </si>
  <si>
    <t>47,5</t>
  </si>
  <si>
    <t>117,5</t>
  </si>
  <si>
    <t>ВЕСОВАЯ КАТЕГОРИЯ   52</t>
  </si>
  <si>
    <t>Каргина Екатерина</t>
  </si>
  <si>
    <t>1. Каргина Екатерина</t>
  </si>
  <si>
    <t>Открытая (16.10.1993)/27</t>
  </si>
  <si>
    <t>51,30</t>
  </si>
  <si>
    <t>60,0</t>
  </si>
  <si>
    <t>62,5</t>
  </si>
  <si>
    <t>65,0</t>
  </si>
  <si>
    <t xml:space="preserve">Пармут Виталий Вячеславович </t>
  </si>
  <si>
    <t>Цепелева Мария</t>
  </si>
  <si>
    <t>2. Цепелева Мария</t>
  </si>
  <si>
    <t>Открытая (28.04.1989)/31</t>
  </si>
  <si>
    <t>51,00</t>
  </si>
  <si>
    <t>90,0</t>
  </si>
  <si>
    <t>50,0</t>
  </si>
  <si>
    <t>52,5</t>
  </si>
  <si>
    <t xml:space="preserve">Афанасьев Н. </t>
  </si>
  <si>
    <t>Полдушова Галина</t>
  </si>
  <si>
    <t>1. Полдушова Галина</t>
  </si>
  <si>
    <t>Открытая (20.04.1990)/30</t>
  </si>
  <si>
    <t>57,90</t>
  </si>
  <si>
    <t>55,0</t>
  </si>
  <si>
    <t xml:space="preserve">Кадыров И </t>
  </si>
  <si>
    <t>Сафина Светлана</t>
  </si>
  <si>
    <t>2. Сафина Светлана</t>
  </si>
  <si>
    <t>Открытая (02.04.1991)/29</t>
  </si>
  <si>
    <t>59,20</t>
  </si>
  <si>
    <t>75,0</t>
  </si>
  <si>
    <t>37,5</t>
  </si>
  <si>
    <t>40,0</t>
  </si>
  <si>
    <t xml:space="preserve">Клостер Э.С </t>
  </si>
  <si>
    <t>ВЕСОВАЯ КАТЕГОРИЯ   67.5</t>
  </si>
  <si>
    <t>Ермолаева Анастасия</t>
  </si>
  <si>
    <t>1. Ермолаева Анастасия</t>
  </si>
  <si>
    <t>Девушки 15-19 (28.06.2002)/18</t>
  </si>
  <si>
    <t>62,60</t>
  </si>
  <si>
    <t>35,0</t>
  </si>
  <si>
    <t xml:space="preserve">Киреев В.А. </t>
  </si>
  <si>
    <t>Остапенко Мария-Агата</t>
  </si>
  <si>
    <t>1. Остапенко Мария-Агата</t>
  </si>
  <si>
    <t>Открытая (26.03.1986)/34</t>
  </si>
  <si>
    <t>62,30</t>
  </si>
  <si>
    <t>67,5</t>
  </si>
  <si>
    <t>Щигорцова Елена</t>
  </si>
  <si>
    <t>2. Щигорцова Елена</t>
  </si>
  <si>
    <t>Открытая (11.12.1987)/33</t>
  </si>
  <si>
    <t>61,10</t>
  </si>
  <si>
    <t>Пулбере Милена</t>
  </si>
  <si>
    <t>1. Пулбере Милена</t>
  </si>
  <si>
    <t>Девушки 15-19 (03.04.2005)/15</t>
  </si>
  <si>
    <t>72,70</t>
  </si>
  <si>
    <t xml:space="preserve">Балашиха/Московская область </t>
  </si>
  <si>
    <t>57,5</t>
  </si>
  <si>
    <t xml:space="preserve">Нечпал В. В. </t>
  </si>
  <si>
    <t>-. Мирошников Глеб</t>
  </si>
  <si>
    <t>Юноши 15-19 (10.07.2004)/16</t>
  </si>
  <si>
    <t>66,00</t>
  </si>
  <si>
    <t xml:space="preserve">Видное/Московская область </t>
  </si>
  <si>
    <t>70,0</t>
  </si>
  <si>
    <t>Загривый Егор</t>
  </si>
  <si>
    <t>1. Загривый Егор</t>
  </si>
  <si>
    <t>Юноши 15-19 (09.12.2003)/17</t>
  </si>
  <si>
    <t>71,50</t>
  </si>
  <si>
    <t>85,5</t>
  </si>
  <si>
    <t xml:space="preserve">Анисимов А.П. </t>
  </si>
  <si>
    <t>Ходкин Дмитрий</t>
  </si>
  <si>
    <t>1. Ходкин Дмитрий</t>
  </si>
  <si>
    <t>Юноши 15-19 (20.12.2002)/18</t>
  </si>
  <si>
    <t>78,90</t>
  </si>
  <si>
    <t>97,5</t>
  </si>
  <si>
    <t>102,5</t>
  </si>
  <si>
    <t xml:space="preserve">Лазарев В. Маркин Н.И. </t>
  </si>
  <si>
    <t>Открытая (20.12.2002)/18</t>
  </si>
  <si>
    <t>Александров Максим</t>
  </si>
  <si>
    <t>1. Александров Максим</t>
  </si>
  <si>
    <t>Ветераны 50 - 54 (17.01.1970)/51</t>
  </si>
  <si>
    <t>81,00</t>
  </si>
  <si>
    <t>120,5</t>
  </si>
  <si>
    <t>132,5</t>
  </si>
  <si>
    <t>182,5</t>
  </si>
  <si>
    <t>192,5</t>
  </si>
  <si>
    <t xml:space="preserve">Ушаков А.И. </t>
  </si>
  <si>
    <t>Фёдоров Игорь</t>
  </si>
  <si>
    <t>1. Фёдоров Игорь</t>
  </si>
  <si>
    <t>Ветераны 55 - 59 (18.02.1965)/56</t>
  </si>
  <si>
    <t>80,00</t>
  </si>
  <si>
    <t>142,5</t>
  </si>
  <si>
    <t xml:space="preserve">Фёдоров И.А. </t>
  </si>
  <si>
    <t>Тарасов Виталий</t>
  </si>
  <si>
    <t>1. Тарасов Виталий</t>
  </si>
  <si>
    <t>Открытая (09.06.1977)/43</t>
  </si>
  <si>
    <t>88,60</t>
  </si>
  <si>
    <t>Филиппов Дмитрий</t>
  </si>
  <si>
    <t>2. Филиппов Дмитрий</t>
  </si>
  <si>
    <t>Открытая (22.02.1988)/33</t>
  </si>
  <si>
    <t xml:space="preserve">, </t>
  </si>
  <si>
    <t>Ефименко Артём</t>
  </si>
  <si>
    <t>3. Ефименко Артём</t>
  </si>
  <si>
    <t>Открытая (24.02.1994)/27</t>
  </si>
  <si>
    <t>87,70</t>
  </si>
  <si>
    <t xml:space="preserve">Рак Иван Дмитриевич </t>
  </si>
  <si>
    <t>Фоменко Михаил</t>
  </si>
  <si>
    <t>1. Фоменко Михаил</t>
  </si>
  <si>
    <t>Юноши 15-19 (21.09.2005)/15</t>
  </si>
  <si>
    <t>96,70</t>
  </si>
  <si>
    <t xml:space="preserve">Юдин А.В. </t>
  </si>
  <si>
    <t>Клостер Эрнест</t>
  </si>
  <si>
    <t>1. Клостер Эрнест</t>
  </si>
  <si>
    <t>Открытая (03.10.1991)/29</t>
  </si>
  <si>
    <t>92,40</t>
  </si>
  <si>
    <t xml:space="preserve">Самост </t>
  </si>
  <si>
    <t>Забелин Николай</t>
  </si>
  <si>
    <t>2. Забелин Николай</t>
  </si>
  <si>
    <t>Открытая (23.05.1985)/35</t>
  </si>
  <si>
    <t xml:space="preserve">Кашин/Тверская область </t>
  </si>
  <si>
    <t xml:space="preserve">Андреев А.А. </t>
  </si>
  <si>
    <t>Андреев Андрей</t>
  </si>
  <si>
    <t>1. Андреев Андрей</t>
  </si>
  <si>
    <t>Ветераны 40 - 44 (08.03.1979)/41</t>
  </si>
  <si>
    <t>94,50</t>
  </si>
  <si>
    <t>Фролов Александр</t>
  </si>
  <si>
    <t>1. Фролов Александр</t>
  </si>
  <si>
    <t>Открытая (17.01.1988)/33</t>
  </si>
  <si>
    <t>118,90</t>
  </si>
  <si>
    <t xml:space="preserve">Девушки </t>
  </si>
  <si>
    <t xml:space="preserve">Юноши 15-19 </t>
  </si>
  <si>
    <t>282,5</t>
  </si>
  <si>
    <t>273,9685</t>
  </si>
  <si>
    <t>67.5</t>
  </si>
  <si>
    <t>186,1620</t>
  </si>
  <si>
    <t xml:space="preserve">Юниорки </t>
  </si>
  <si>
    <t>48</t>
  </si>
  <si>
    <t>237,5</t>
  </si>
  <si>
    <t>322,8575</t>
  </si>
  <si>
    <t>52</t>
  </si>
  <si>
    <t>365,3130</t>
  </si>
  <si>
    <t>332,4270</t>
  </si>
  <si>
    <t>262,5</t>
  </si>
  <si>
    <t>332,1675</t>
  </si>
  <si>
    <t>324,9300</t>
  </si>
  <si>
    <t>202,5</t>
  </si>
  <si>
    <t>228,1365</t>
  </si>
  <si>
    <t>203,3890</t>
  </si>
  <si>
    <t xml:space="preserve">Юноши </t>
  </si>
  <si>
    <t>427,5</t>
  </si>
  <si>
    <t>294,4620</t>
  </si>
  <si>
    <t>360,0</t>
  </si>
  <si>
    <t>265,5000</t>
  </si>
  <si>
    <t>307,5</t>
  </si>
  <si>
    <t>189,7890</t>
  </si>
  <si>
    <t>408,6860</t>
  </si>
  <si>
    <t>615,0</t>
  </si>
  <si>
    <t>387,5115</t>
  </si>
  <si>
    <t>385,6800</t>
  </si>
  <si>
    <t>612,5</t>
  </si>
  <si>
    <t>384,4050</t>
  </si>
  <si>
    <t>577,5</t>
  </si>
  <si>
    <t>332,7555</t>
  </si>
  <si>
    <t>415,0</t>
  </si>
  <si>
    <t>268,5465</t>
  </si>
  <si>
    <t xml:space="preserve">Ветераны 55 - 59 </t>
  </si>
  <si>
    <t>472,5</t>
  </si>
  <si>
    <t>401,9294</t>
  </si>
  <si>
    <t>590,0</t>
  </si>
  <si>
    <t>371,5436</t>
  </si>
  <si>
    <t xml:space="preserve">Ветераны 50 - 54 </t>
  </si>
  <si>
    <t>432,5</t>
  </si>
  <si>
    <t>336,0429</t>
  </si>
  <si>
    <t>Подгорнова Арина</t>
  </si>
  <si>
    <t>1. Подгорнова Арина</t>
  </si>
  <si>
    <t>Девушки 15-19 (11.03.2002)/18</t>
  </si>
  <si>
    <t>64,30</t>
  </si>
  <si>
    <t xml:space="preserve">Орехово-Зуево/Московская область </t>
  </si>
  <si>
    <t>87,5</t>
  </si>
  <si>
    <t>92,5</t>
  </si>
  <si>
    <t xml:space="preserve">Ушков И.Д. </t>
  </si>
  <si>
    <t>330,5000</t>
  </si>
  <si>
    <t>Комков Валерий</t>
  </si>
  <si>
    <t>1. Комков Валерий</t>
  </si>
  <si>
    <t>Открытая (25.04.1992)/28</t>
  </si>
  <si>
    <t>73,40</t>
  </si>
  <si>
    <t>137,5</t>
  </si>
  <si>
    <t>Ионов Николай</t>
  </si>
  <si>
    <t>1. Ионов Николай</t>
  </si>
  <si>
    <t>Ветераны 70 - 74 (20.05.1949)/71</t>
  </si>
  <si>
    <t>71,40</t>
  </si>
  <si>
    <t xml:space="preserve">Хуснетдинова Т.И. </t>
  </si>
  <si>
    <t>Плешков Владимир</t>
  </si>
  <si>
    <t>1. Плешков Владимир</t>
  </si>
  <si>
    <t>Ветераны 75 - 79 (29.08.1944)/76</t>
  </si>
  <si>
    <t>81,70</t>
  </si>
  <si>
    <t xml:space="preserve">Калининград/Калининградская об </t>
  </si>
  <si>
    <t>Мещеряков Даниил</t>
  </si>
  <si>
    <t>1. Мещеряков Даниил</t>
  </si>
  <si>
    <t>Юниоры 20 - 23 (18.12.2000)/20</t>
  </si>
  <si>
    <t>83,70</t>
  </si>
  <si>
    <t xml:space="preserve">Мещеряков Д.С. </t>
  </si>
  <si>
    <t>Лебедев Александр</t>
  </si>
  <si>
    <t>1. Лебедев Александр</t>
  </si>
  <si>
    <t>Открытая (14.10.1993)/27</t>
  </si>
  <si>
    <t>89,10</t>
  </si>
  <si>
    <t xml:space="preserve">Локотков А. А. </t>
  </si>
  <si>
    <t>Сосунов Антон</t>
  </si>
  <si>
    <t>1. Сосунов Антон</t>
  </si>
  <si>
    <t>Ветераны 40 - 44 (14.12.1980)/40</t>
  </si>
  <si>
    <t>86,80</t>
  </si>
  <si>
    <t>147,5</t>
  </si>
  <si>
    <t xml:space="preserve">Бойко Ю.М. </t>
  </si>
  <si>
    <t>Петрокович Николай</t>
  </si>
  <si>
    <t>2. Петрокович Николай</t>
  </si>
  <si>
    <t>Ветераны 40 - 44 (17.08.1979)/41</t>
  </si>
  <si>
    <t>87,50</t>
  </si>
  <si>
    <t>Хуснетдинов Амир</t>
  </si>
  <si>
    <t>1. Хуснетдинов Амир</t>
  </si>
  <si>
    <t>Ветераны 70 - 74 (01.03.1948)/72</t>
  </si>
  <si>
    <t>88,70</t>
  </si>
  <si>
    <t>Трушаев Василий</t>
  </si>
  <si>
    <t>1. Трушаев Василий</t>
  </si>
  <si>
    <t>Открытая (21.01.1984)/37</t>
  </si>
  <si>
    <t>98,30</t>
  </si>
  <si>
    <t>Маренков Юрий</t>
  </si>
  <si>
    <t>1. Маренков Юрий</t>
  </si>
  <si>
    <t>Ветераны 40 - 44 (18.12.1976)/44</t>
  </si>
  <si>
    <t>100,00</t>
  </si>
  <si>
    <t xml:space="preserve">Королёв/Московская область </t>
  </si>
  <si>
    <t xml:space="preserve">Танаев М. </t>
  </si>
  <si>
    <t>Петросян Артур</t>
  </si>
  <si>
    <t>1. Петросян Артур</t>
  </si>
  <si>
    <t>Ветераны 50 - 54 (23.02.1970)/51</t>
  </si>
  <si>
    <t>98,80</t>
  </si>
  <si>
    <t xml:space="preserve">Петросян А В </t>
  </si>
  <si>
    <t>Муратов Андрей</t>
  </si>
  <si>
    <t>1. Муратов Андрей</t>
  </si>
  <si>
    <t>Открытая (27.03.1988)/32</t>
  </si>
  <si>
    <t>107,90</t>
  </si>
  <si>
    <t xml:space="preserve">Высоковск/Московская область </t>
  </si>
  <si>
    <t>207,5</t>
  </si>
  <si>
    <t>Цымбаленко Владимир</t>
  </si>
  <si>
    <t>2. Цымбаленко Владимир</t>
  </si>
  <si>
    <t>Открытая (13.07.1985)/35</t>
  </si>
  <si>
    <t>109,30</t>
  </si>
  <si>
    <t>Шулимов Кирилл</t>
  </si>
  <si>
    <t>1. Шулимов Кирилл</t>
  </si>
  <si>
    <t>Ветераны 40 - 44 (04.06.1980)/40</t>
  </si>
  <si>
    <t>106,80</t>
  </si>
  <si>
    <t>Герштанский Сергей</t>
  </si>
  <si>
    <t>1. Герштанский Сергей</t>
  </si>
  <si>
    <t>Ветераны 45 - 49 (06.04.1974)/46</t>
  </si>
  <si>
    <t>106,60</t>
  </si>
  <si>
    <t xml:space="preserve">Петросян А.В. </t>
  </si>
  <si>
    <t>Гринберг Игорс</t>
  </si>
  <si>
    <t>1. Гринберг Игорс</t>
  </si>
  <si>
    <t>Ветераны 50 - 54 (24.08.1969)/51</t>
  </si>
  <si>
    <t>104,80</t>
  </si>
  <si>
    <t>ВЕСОВАЯ КАТЕГОРИЯ   140</t>
  </si>
  <si>
    <t>Цуркану Сергей</t>
  </si>
  <si>
    <t>1. Цуркану Сергей</t>
  </si>
  <si>
    <t>Открытая (08.04.1983)/37</t>
  </si>
  <si>
    <t>139,00</t>
  </si>
  <si>
    <t xml:space="preserve">Результат </t>
  </si>
  <si>
    <t>81,3645</t>
  </si>
  <si>
    <t>122,8608</t>
  </si>
  <si>
    <t>120,8885</t>
  </si>
  <si>
    <t>140</t>
  </si>
  <si>
    <t>114,6770</t>
  </si>
  <si>
    <t>96,2550</t>
  </si>
  <si>
    <t>94,0550</t>
  </si>
  <si>
    <t>91,9350</t>
  </si>
  <si>
    <t xml:space="preserve">Ветераны 75 - 79 </t>
  </si>
  <si>
    <t>158,0296</t>
  </si>
  <si>
    <t xml:space="preserve">Ветераны 70 - 74 </t>
  </si>
  <si>
    <t>143,6523</t>
  </si>
  <si>
    <t>122,7634</t>
  </si>
  <si>
    <t>117,9028</t>
  </si>
  <si>
    <t>116,6040</t>
  </si>
  <si>
    <t>115,8495</t>
  </si>
  <si>
    <t>107,9109</t>
  </si>
  <si>
    <t>104,7628</t>
  </si>
  <si>
    <t>97,6050</t>
  </si>
  <si>
    <t>67,0738</t>
  </si>
  <si>
    <t>Результат</t>
  </si>
  <si>
    <t>Лазарев Владимир</t>
  </si>
  <si>
    <t>1. Лазарев Владимир</t>
  </si>
  <si>
    <t>Открытая (06.11.1979)/41</t>
  </si>
  <si>
    <t>99,10</t>
  </si>
  <si>
    <t xml:space="preserve">Russia </t>
  </si>
  <si>
    <t xml:space="preserve">Истра/Московская область </t>
  </si>
  <si>
    <t xml:space="preserve">Маркин Н.И. Абдуллин М.Р. </t>
  </si>
  <si>
    <t>Ветераны 40 - 44 (06.11.1979)/41</t>
  </si>
  <si>
    <t>134,3760</t>
  </si>
  <si>
    <t>135,7198</t>
  </si>
  <si>
    <t>Пырина Мария</t>
  </si>
  <si>
    <t>1. Пырина Мария</t>
  </si>
  <si>
    <t>Открытая (28.08.1997)/23</t>
  </si>
  <si>
    <t>47,70</t>
  </si>
  <si>
    <t xml:space="preserve">Лазариди Г.К. </t>
  </si>
  <si>
    <t>Сидорова Виктория</t>
  </si>
  <si>
    <t>1. Сидорова Виктория</t>
  </si>
  <si>
    <t>Открытая (26.08.1993)/27</t>
  </si>
  <si>
    <t>51,40</t>
  </si>
  <si>
    <t>ВЕСОВАЯ КАТЕГОРИЯ   56</t>
  </si>
  <si>
    <t>Фролова Дарья</t>
  </si>
  <si>
    <t>1. Фролова Дарья</t>
  </si>
  <si>
    <t>Открытая (17.04.1997)/23</t>
  </si>
  <si>
    <t>54,40</t>
  </si>
  <si>
    <t>Гаврилова Вера</t>
  </si>
  <si>
    <t>2. Гаврилова Вера</t>
  </si>
  <si>
    <t>Открытая (27.09.1987)/33</t>
  </si>
  <si>
    <t>55,30</t>
  </si>
  <si>
    <t xml:space="preserve">Щелково-3/Московская </t>
  </si>
  <si>
    <t xml:space="preserve">Шинов Игорь </t>
  </si>
  <si>
    <t>Хлебодарова Елена</t>
  </si>
  <si>
    <t>3. Хлебодарова Елена</t>
  </si>
  <si>
    <t>Открытая (15.02.1994)/27</t>
  </si>
  <si>
    <t>55,10</t>
  </si>
  <si>
    <t>Кондакова Валерия</t>
  </si>
  <si>
    <t>4. Кондакова Валерия</t>
  </si>
  <si>
    <t>Открытая (16.03.1989)/31</t>
  </si>
  <si>
    <t>54,30</t>
  </si>
  <si>
    <t xml:space="preserve">Наро-Фоминск/Московская област </t>
  </si>
  <si>
    <t xml:space="preserve">Агафонов Е.П. </t>
  </si>
  <si>
    <t>Соколова Татьяна</t>
  </si>
  <si>
    <t>1. Соколова Татьяна</t>
  </si>
  <si>
    <t>Открытая (11.09.1991)/29</t>
  </si>
  <si>
    <t>58,60</t>
  </si>
  <si>
    <t>Болгова Юлия</t>
  </si>
  <si>
    <t>1. Болгова Юлия</t>
  </si>
  <si>
    <t>Ветераны 40 - 44 (09.03.1976)/44</t>
  </si>
  <si>
    <t>63,20</t>
  </si>
  <si>
    <t>30,0</t>
  </si>
  <si>
    <t xml:space="preserve">Киреев В.А </t>
  </si>
  <si>
    <t>Сергеенко Никита</t>
  </si>
  <si>
    <t>1. Сергеенко Никита</t>
  </si>
  <si>
    <t>Юноши 15-19 (24.06.2005)/15</t>
  </si>
  <si>
    <t>54,00</t>
  </si>
  <si>
    <t xml:space="preserve">Новиков И.В. </t>
  </si>
  <si>
    <t>Анатольев Максим</t>
  </si>
  <si>
    <t>2. Анатольев Максим</t>
  </si>
  <si>
    <t>Юноши 15-19 (22.06.2006)/14</t>
  </si>
  <si>
    <t>55,60</t>
  </si>
  <si>
    <t xml:space="preserve">Мачелов </t>
  </si>
  <si>
    <t>Хамидулин Марат</t>
  </si>
  <si>
    <t>3. Хамидулин Марат</t>
  </si>
  <si>
    <t>Юноши 15-19 (30.04.2007)/13</t>
  </si>
  <si>
    <t>52,90</t>
  </si>
  <si>
    <t xml:space="preserve">Клостер Э.С. </t>
  </si>
  <si>
    <t>Забайрачный Дмитрий</t>
  </si>
  <si>
    <t>1. Забайрачный Дмитрий</t>
  </si>
  <si>
    <t>Юниоры 20 - 23 (23.09.1998)/22</t>
  </si>
  <si>
    <t>74,40</t>
  </si>
  <si>
    <t xml:space="preserve">Сидельников М.А. </t>
  </si>
  <si>
    <t>Качалин Андрей</t>
  </si>
  <si>
    <t>2. Качалин Андрей</t>
  </si>
  <si>
    <t>Юниоры 20 - 23 (14.10.1997)/23</t>
  </si>
  <si>
    <t>Долгов Максим</t>
  </si>
  <si>
    <t>3. Долгов Максим</t>
  </si>
  <si>
    <t>Юниоры 20 - 23 (14.02.2001)/20</t>
  </si>
  <si>
    <t>74,00</t>
  </si>
  <si>
    <t xml:space="preserve">Долгов М.В. </t>
  </si>
  <si>
    <t>Открытая (23.09.1998)/22</t>
  </si>
  <si>
    <t>Герасимов Артур</t>
  </si>
  <si>
    <t>2. Герасимов Артур</t>
  </si>
  <si>
    <t>Открытая (28.10.1988)/32</t>
  </si>
  <si>
    <t>74,50</t>
  </si>
  <si>
    <t xml:space="preserve">Красногорск/Московская область </t>
  </si>
  <si>
    <t xml:space="preserve">Лебедев А.Ю. </t>
  </si>
  <si>
    <t>Санников Владислав</t>
  </si>
  <si>
    <t>1. Санников Владислав</t>
  </si>
  <si>
    <t>Ветераны 80+ (29.10.1938)/82</t>
  </si>
  <si>
    <t>75,00</t>
  </si>
  <si>
    <t>Абраамян Сетрак</t>
  </si>
  <si>
    <t>1. Абраамян Сетрак</t>
  </si>
  <si>
    <t>Открытая (28.10.1994)/26</t>
  </si>
  <si>
    <t>82,30</t>
  </si>
  <si>
    <t>Стародубов Александр</t>
  </si>
  <si>
    <t>2. Стародубов Александр</t>
  </si>
  <si>
    <t>Открытая (14.09.1996)/24</t>
  </si>
  <si>
    <t>80,90</t>
  </si>
  <si>
    <t xml:space="preserve">Астрахань/Астраханская область </t>
  </si>
  <si>
    <t xml:space="preserve">Урванов В.Н. </t>
  </si>
  <si>
    <t>Шагайда Константин</t>
  </si>
  <si>
    <t>3. Шагайда Константин</t>
  </si>
  <si>
    <t>Открытая (15.01.1996)/25</t>
  </si>
  <si>
    <t>76,30</t>
  </si>
  <si>
    <t xml:space="preserve">Белгород/Белгородская область </t>
  </si>
  <si>
    <t xml:space="preserve">Шагайда Константин Валерьевич </t>
  </si>
  <si>
    <t>Кузьмин Сергей</t>
  </si>
  <si>
    <t>4. Кузьмин Сергей</t>
  </si>
  <si>
    <t>Открытая (15.09.1993)/27</t>
  </si>
  <si>
    <t>81,50</t>
  </si>
  <si>
    <t xml:space="preserve">Солнечногорск/Московская облас </t>
  </si>
  <si>
    <t>Силионов Сергей</t>
  </si>
  <si>
    <t>2. Силионов Сергей</t>
  </si>
  <si>
    <t>Ветераны 55 - 59 (04.12.1965)/55</t>
  </si>
  <si>
    <t>77,90</t>
  </si>
  <si>
    <t xml:space="preserve">Наро-Фоминск/Московская область </t>
  </si>
  <si>
    <t>Скокин Виктор</t>
  </si>
  <si>
    <t>1. Скокин Виктор</t>
  </si>
  <si>
    <t>Ветераны 60 - 64 (20.07.1957)/63</t>
  </si>
  <si>
    <t>76,10</t>
  </si>
  <si>
    <t>Филяков Анатолий</t>
  </si>
  <si>
    <t>1. Филяков Анатолий</t>
  </si>
  <si>
    <t>Ветераны 65 - 69 (05.08.1952)/68</t>
  </si>
  <si>
    <t>80,80</t>
  </si>
  <si>
    <t>Ветров Николай</t>
  </si>
  <si>
    <t>2. Ветров Николай</t>
  </si>
  <si>
    <t>Ветераны 75 - 79 (12.09.1945)/75</t>
  </si>
  <si>
    <t>80,30</t>
  </si>
  <si>
    <t xml:space="preserve">Санников В.М. </t>
  </si>
  <si>
    <t>Христев Сергей</t>
  </si>
  <si>
    <t>1. Христев Сергей</t>
  </si>
  <si>
    <t>Юноши 15-19 (25.02.2003)/18</t>
  </si>
  <si>
    <t>87,60</t>
  </si>
  <si>
    <t xml:space="preserve">Пущино/Московская область </t>
  </si>
  <si>
    <t>Своровский Георгий</t>
  </si>
  <si>
    <t>1. Своровский Георгий</t>
  </si>
  <si>
    <t>Юниоры 20 - 23 (30.05.1997)/23</t>
  </si>
  <si>
    <t xml:space="preserve">Своровский Г. И. </t>
  </si>
  <si>
    <t>Мищенко Артем</t>
  </si>
  <si>
    <t>1. Мищенко Артем</t>
  </si>
  <si>
    <t>Открытая (26.06.1984)/36</t>
  </si>
  <si>
    <t>90,00</t>
  </si>
  <si>
    <t xml:space="preserve">Чокаев У. </t>
  </si>
  <si>
    <t>Вольф Виталий</t>
  </si>
  <si>
    <t>2. Вольф Виталий</t>
  </si>
  <si>
    <t>Открытая (20.01.1983)/38</t>
  </si>
  <si>
    <t>88,40</t>
  </si>
  <si>
    <t>Кожевников Алексей</t>
  </si>
  <si>
    <t>3. Кожевников Алексей</t>
  </si>
  <si>
    <t>Открытая (20.12.1983)/37</t>
  </si>
  <si>
    <t>84,10</t>
  </si>
  <si>
    <t xml:space="preserve">Кожевников А.И. </t>
  </si>
  <si>
    <t>Мальков Антон</t>
  </si>
  <si>
    <t>4. Мальков Антон</t>
  </si>
  <si>
    <t>Открытая (10.07.1985)/35</t>
  </si>
  <si>
    <t xml:space="preserve">Уразов В. </t>
  </si>
  <si>
    <t>Нажаев Хасанбек</t>
  </si>
  <si>
    <t>5. Нажаев Хасанбек</t>
  </si>
  <si>
    <t>Открытая (19.06.1989)/31</t>
  </si>
  <si>
    <t>Алейников Денис</t>
  </si>
  <si>
    <t>6. Алейников Денис</t>
  </si>
  <si>
    <t>Открытая (03.04.1982)/38</t>
  </si>
  <si>
    <t>86,60</t>
  </si>
  <si>
    <t xml:space="preserve">Алейников ДВ </t>
  </si>
  <si>
    <t>Чугунов Виталий</t>
  </si>
  <si>
    <t>1. Чугунов Виталий</t>
  </si>
  <si>
    <t>Ветераны 40 - 44 (12.12.1980)/40</t>
  </si>
  <si>
    <t xml:space="preserve">Чугунов ВВ </t>
  </si>
  <si>
    <t>Девяткин Денис</t>
  </si>
  <si>
    <t>2. Девяткин Денис</t>
  </si>
  <si>
    <t>Ветераны 40 - 44 (02.08.1979)/41</t>
  </si>
  <si>
    <t>88,30</t>
  </si>
  <si>
    <t>Девяткин Евгений</t>
  </si>
  <si>
    <t>1. Девяткин Евгений</t>
  </si>
  <si>
    <t>Ветераны 45 - 49 (19.01.1975)/46</t>
  </si>
  <si>
    <t>Мокин Роман</t>
  </si>
  <si>
    <t>2. Мокин Роман</t>
  </si>
  <si>
    <t>Ветераны 45 - 49 (06.10.1973)/47</t>
  </si>
  <si>
    <t xml:space="preserve">Благов Д.С. </t>
  </si>
  <si>
    <t>Сорокин Геннадий</t>
  </si>
  <si>
    <t>1. Сорокин Геннадий</t>
  </si>
  <si>
    <t>Ветераны 60 - 64 (08.09.1959)/61</t>
  </si>
  <si>
    <t>Смирнов Леонид</t>
  </si>
  <si>
    <t>2. Смирнов Леонид</t>
  </si>
  <si>
    <t>Ветераны 60 - 64 (26.09.1957)/63</t>
  </si>
  <si>
    <t>89,50</t>
  </si>
  <si>
    <t xml:space="preserve">Смирнов Л.А. </t>
  </si>
  <si>
    <t>Алексеенко Максим</t>
  </si>
  <si>
    <t>1. Алексеенко Максим</t>
  </si>
  <si>
    <t>Юниоры 20 - 23 (17.09.1997)/23</t>
  </si>
  <si>
    <t>Матвеев Павел</t>
  </si>
  <si>
    <t>1. Матвеев Павел</t>
  </si>
  <si>
    <t>Открытая (06.08.1993)/27</t>
  </si>
  <si>
    <t>95,20</t>
  </si>
  <si>
    <t>Зотов Александр</t>
  </si>
  <si>
    <t>2. Зотов Александр</t>
  </si>
  <si>
    <t>Открытая (13.05.1986)/34</t>
  </si>
  <si>
    <t>99,40</t>
  </si>
  <si>
    <t xml:space="preserve">Кузнецов А.В. </t>
  </si>
  <si>
    <t>Наумов Лев</t>
  </si>
  <si>
    <t>3. Наумов Лев</t>
  </si>
  <si>
    <t>Открытая (28.05.1991)/29</t>
  </si>
  <si>
    <t>91,90</t>
  </si>
  <si>
    <t xml:space="preserve">Самара/Самарская область </t>
  </si>
  <si>
    <t>4. Алексеенко Максим</t>
  </si>
  <si>
    <t>Открытая (17.09.1997)/23</t>
  </si>
  <si>
    <t>Колчев Сергей</t>
  </si>
  <si>
    <t>2. Колчев Сергей</t>
  </si>
  <si>
    <t>Ветераны 40 - 44 (20.05.1979)/41</t>
  </si>
  <si>
    <t>97,20</t>
  </si>
  <si>
    <t>1. Канищев Роман</t>
  </si>
  <si>
    <t>Ветераны 45 - 49 (05.09.1973)/47</t>
  </si>
  <si>
    <t>99,90</t>
  </si>
  <si>
    <t xml:space="preserve">Московская область/Московская </t>
  </si>
  <si>
    <t xml:space="preserve">Канищев Р.В. </t>
  </si>
  <si>
    <t>Уткин Алексей</t>
  </si>
  <si>
    <t>1. Уткин Алексей</t>
  </si>
  <si>
    <t>Открытая (29.08.1979)/41</t>
  </si>
  <si>
    <t>108,80</t>
  </si>
  <si>
    <t xml:space="preserve">Рак Иван </t>
  </si>
  <si>
    <t>Свиридов Дмитрий</t>
  </si>
  <si>
    <t>2. Свиридов Дмитрий</t>
  </si>
  <si>
    <t>Открытая (27.03.1992)/28</t>
  </si>
  <si>
    <t>Справцев Андрей</t>
  </si>
  <si>
    <t>3. Справцев Андрей</t>
  </si>
  <si>
    <t>Открытая (01.02.1979)/42</t>
  </si>
  <si>
    <t>106,10</t>
  </si>
  <si>
    <t xml:space="preserve">Власова Надежда </t>
  </si>
  <si>
    <t>Долин Ярослав</t>
  </si>
  <si>
    <t>4. Долин Ярослав</t>
  </si>
  <si>
    <t>Открытая (12.07.1988)/32</t>
  </si>
  <si>
    <t xml:space="preserve">Долин Я.В. </t>
  </si>
  <si>
    <t>Шувалов Сергей</t>
  </si>
  <si>
    <t>1. Шувалов Сергей</t>
  </si>
  <si>
    <t>Ветераны 40 - 44 (03.06.1979)/41</t>
  </si>
  <si>
    <t>107,00</t>
  </si>
  <si>
    <t xml:space="preserve">Шувалов </t>
  </si>
  <si>
    <t>Харыбин Денис</t>
  </si>
  <si>
    <t>2. Харыбин Денис</t>
  </si>
  <si>
    <t>Ветераны 40 - 44 (12.07.1980)/40</t>
  </si>
  <si>
    <t>101,80</t>
  </si>
  <si>
    <t>Киреев Дмитрий</t>
  </si>
  <si>
    <t>1. Киреев Дмитрий</t>
  </si>
  <si>
    <t>Ветераны 50 - 54 (25.08.1969)/51</t>
  </si>
  <si>
    <t>108,90</t>
  </si>
  <si>
    <t>Ярков Василий</t>
  </si>
  <si>
    <t>2. Ярков Василий</t>
  </si>
  <si>
    <t>Ветераны 50 - 54 (20.06.1970)/50</t>
  </si>
  <si>
    <t>107,40</t>
  </si>
  <si>
    <t xml:space="preserve">Рак И. </t>
  </si>
  <si>
    <t>Крипак Сергей</t>
  </si>
  <si>
    <t>1. Крипак Сергей</t>
  </si>
  <si>
    <t>Ветераны 55 - 59 (26.08.1962)/58</t>
  </si>
  <si>
    <t>Валерий Кондратьев</t>
  </si>
  <si>
    <t>2. Валерий Кондратьев</t>
  </si>
  <si>
    <t>Ветераны 55 - 59 (15.01.1964)/57</t>
  </si>
  <si>
    <t>107,10</t>
  </si>
  <si>
    <t xml:space="preserve">Фрязино/Московская область </t>
  </si>
  <si>
    <t>Сидельников Михаил</t>
  </si>
  <si>
    <t>1. Сидельников Михаил</t>
  </si>
  <si>
    <t>Открытая (15.03.1984)/36</t>
  </si>
  <si>
    <t>121,70</t>
  </si>
  <si>
    <t xml:space="preserve">Сходня/Московская область </t>
  </si>
  <si>
    <t>Анатольев Кирилл</t>
  </si>
  <si>
    <t>2. Анатольев Кирилл</t>
  </si>
  <si>
    <t>Открытая (18.03.1987)/33</t>
  </si>
  <si>
    <t>113,60</t>
  </si>
  <si>
    <t>Мальков Олег</t>
  </si>
  <si>
    <t>1. Мальков Олег</t>
  </si>
  <si>
    <t>Ветераны 40 - 44 (27.02.1980)/41</t>
  </si>
  <si>
    <t>122,50</t>
  </si>
  <si>
    <t xml:space="preserve">Мальков Олег Николаевич </t>
  </si>
  <si>
    <t>2. Власов Андрей</t>
  </si>
  <si>
    <t>Ветераны 40 - 44 (30.12.1977)/43</t>
  </si>
  <si>
    <t>119,50</t>
  </si>
  <si>
    <t xml:space="preserve">Юность/Московская область </t>
  </si>
  <si>
    <t xml:space="preserve">Лукоянов Е. </t>
  </si>
  <si>
    <t>Демидов Дмитрий</t>
  </si>
  <si>
    <t>1. Демидов Дмитрий</t>
  </si>
  <si>
    <t>Юниоры 20 - 23 (04.10.1998)/22</t>
  </si>
  <si>
    <t>137,20</t>
  </si>
  <si>
    <t>Лахов Андрей</t>
  </si>
  <si>
    <t>1. Лахов Андрей</t>
  </si>
  <si>
    <t>Открытая (15.09.1981)/39</t>
  </si>
  <si>
    <t>134,10</t>
  </si>
  <si>
    <t>Чубаров Владимир</t>
  </si>
  <si>
    <t>1. Чубаров Владимир</t>
  </si>
  <si>
    <t>Ветераны 55 - 59 (03.04.1964)/56</t>
  </si>
  <si>
    <t>133,80</t>
  </si>
  <si>
    <t>56</t>
  </si>
  <si>
    <t>78,2340</t>
  </si>
  <si>
    <t>69,1790</t>
  </si>
  <si>
    <t>59,8725</t>
  </si>
  <si>
    <t>59,6137</t>
  </si>
  <si>
    <t>59,4150</t>
  </si>
  <si>
    <t>56,6010</t>
  </si>
  <si>
    <t>51,2295</t>
  </si>
  <si>
    <t>39,1115</t>
  </si>
  <si>
    <t>106,8375</t>
  </si>
  <si>
    <t>61,3535</t>
  </si>
  <si>
    <t>48,1320</t>
  </si>
  <si>
    <t>43,3755</t>
  </si>
  <si>
    <t>35,4890</t>
  </si>
  <si>
    <t>106,4950</t>
  </si>
  <si>
    <t>94,9495</t>
  </si>
  <si>
    <t>94,7515</t>
  </si>
  <si>
    <t>93,1580</t>
  </si>
  <si>
    <t>90,1040</t>
  </si>
  <si>
    <t>79,1230</t>
  </si>
  <si>
    <t>115,9200</t>
  </si>
  <si>
    <t>114,9590</t>
  </si>
  <si>
    <t>114,9120</t>
  </si>
  <si>
    <t>114,3810</t>
  </si>
  <si>
    <t>112,1950</t>
  </si>
  <si>
    <t>108,8890</t>
  </si>
  <si>
    <t>104,2470</t>
  </si>
  <si>
    <t>103,7170</t>
  </si>
  <si>
    <t>102,3122</t>
  </si>
  <si>
    <t>101,9812</t>
  </si>
  <si>
    <t>101,2680</t>
  </si>
  <si>
    <t>100,3850</t>
  </si>
  <si>
    <t>99,9903</t>
  </si>
  <si>
    <t>98,9520</t>
  </si>
  <si>
    <t>95,2640</t>
  </si>
  <si>
    <t>92,8387</t>
  </si>
  <si>
    <t>91,5460</t>
  </si>
  <si>
    <t>87,4500</t>
  </si>
  <si>
    <t>84,3625</t>
  </si>
  <si>
    <t>78,7490</t>
  </si>
  <si>
    <t>76,9730</t>
  </si>
  <si>
    <t>136,1847</t>
  </si>
  <si>
    <t xml:space="preserve">Ветераны 65 - 69 </t>
  </si>
  <si>
    <t>128,3179</t>
  </si>
  <si>
    <t>124,4717</t>
  </si>
  <si>
    <t xml:space="preserve">Ветераны 80+ </t>
  </si>
  <si>
    <t>122,1681</t>
  </si>
  <si>
    <t>121,2168</t>
  </si>
  <si>
    <t>111,2874</t>
  </si>
  <si>
    <t>110,0245</t>
  </si>
  <si>
    <t>107,0549</t>
  </si>
  <si>
    <t>106,7899</t>
  </si>
  <si>
    <t>106,3453</t>
  </si>
  <si>
    <t>104,6183</t>
  </si>
  <si>
    <t>102,7360</t>
  </si>
  <si>
    <t>101,5953</t>
  </si>
  <si>
    <t>101,5235</t>
  </si>
  <si>
    <t>101,0071</t>
  </si>
  <si>
    <t>99,9855</t>
  </si>
  <si>
    <t>98,2639</t>
  </si>
  <si>
    <t>97,4410</t>
  </si>
  <si>
    <t>95,4878</t>
  </si>
  <si>
    <t>94,8486</t>
  </si>
  <si>
    <t>94,4163</t>
  </si>
  <si>
    <t>93,6820</t>
  </si>
  <si>
    <t>85,2138</t>
  </si>
  <si>
    <t>Сударев Максим</t>
  </si>
  <si>
    <t>1. Сударев Максим</t>
  </si>
  <si>
    <t>Юниоры 20 - 23 (23.11.2000)/20</t>
  </si>
  <si>
    <t>80,40</t>
  </si>
  <si>
    <t xml:space="preserve">Ушков Илья </t>
  </si>
  <si>
    <t>Игнатов Андрей</t>
  </si>
  <si>
    <t>1. Игнатов Андрей</t>
  </si>
  <si>
    <t>Открытая (22.02.1992)/29</t>
  </si>
  <si>
    <t>102,70</t>
  </si>
  <si>
    <t>287,5</t>
  </si>
  <si>
    <t>Киреёнок Василий</t>
  </si>
  <si>
    <t>2. Киреёнок Василий</t>
  </si>
  <si>
    <t>Открытая (14.12.1978)/42</t>
  </si>
  <si>
    <t>109,00</t>
  </si>
  <si>
    <t>Панков Николай</t>
  </si>
  <si>
    <t>3. Панков Николай</t>
  </si>
  <si>
    <t>Открытая (17.07.1996)/24</t>
  </si>
  <si>
    <t>105,50</t>
  </si>
  <si>
    <t>-. Казаков Михаил</t>
  </si>
  <si>
    <t>102,50</t>
  </si>
  <si>
    <t xml:space="preserve">Илья Ушков </t>
  </si>
  <si>
    <t>93,5825</t>
  </si>
  <si>
    <t>173,1900</t>
  </si>
  <si>
    <t>135,7460</t>
  </si>
  <si>
    <t>125,2860</t>
  </si>
  <si>
    <t>Акиньшина Наталья</t>
  </si>
  <si>
    <t>1. Акиньшина Наталья</t>
  </si>
  <si>
    <t>Открытая (03.05.1988)/32</t>
  </si>
  <si>
    <t xml:space="preserve">Наумлюк Сергей </t>
  </si>
  <si>
    <t>Кравченко Евгений</t>
  </si>
  <si>
    <t>2. Кравченко Евгений</t>
  </si>
  <si>
    <t>Открытая (03.11.1986)/34</t>
  </si>
  <si>
    <t>96,80</t>
  </si>
  <si>
    <t>380,0</t>
  </si>
  <si>
    <t>Павлов Сергей</t>
  </si>
  <si>
    <t>3. Павлов Сергей</t>
  </si>
  <si>
    <t>Открытая (30.05.1985)/35</t>
  </si>
  <si>
    <t>97,90</t>
  </si>
  <si>
    <t>315,0</t>
  </si>
  <si>
    <t xml:space="preserve">Павлов Сергей Иванович </t>
  </si>
  <si>
    <t>4. Маренков Юрий</t>
  </si>
  <si>
    <t>Открытая (18.12.1976)/44</t>
  </si>
  <si>
    <t>Сазонов Павел</t>
  </si>
  <si>
    <t>1. Сазонов Павел</t>
  </si>
  <si>
    <t>Открытая (08.06.1986)/34</t>
  </si>
  <si>
    <t>106,30</t>
  </si>
  <si>
    <t>310,0</t>
  </si>
  <si>
    <t>190,1200</t>
  </si>
  <si>
    <t>218,5397</t>
  </si>
  <si>
    <t>215,9150</t>
  </si>
  <si>
    <t>184,4500</t>
  </si>
  <si>
    <t>184,1700</t>
  </si>
  <si>
    <t>158,2360</t>
  </si>
  <si>
    <t>165,0402</t>
  </si>
  <si>
    <t>Кравченко Екатерина</t>
  </si>
  <si>
    <t>1. Кравченко Екатерина</t>
  </si>
  <si>
    <t>Открытая (07.11.1987)/33</t>
  </si>
  <si>
    <t>48,00</t>
  </si>
  <si>
    <t>Коваленко Ольга</t>
  </si>
  <si>
    <t>1. Коваленко Ольга</t>
  </si>
  <si>
    <t>Ветераны 45 - 49 (16.03.1972)/48</t>
  </si>
  <si>
    <t>47,00</t>
  </si>
  <si>
    <t xml:space="preserve">Московский/Московская область </t>
  </si>
  <si>
    <t>Демина Лариса</t>
  </si>
  <si>
    <t>1. Демина Лариса</t>
  </si>
  <si>
    <t>Открытая (27.07.2001)/19</t>
  </si>
  <si>
    <t>51,90</t>
  </si>
  <si>
    <t>Никитина Анна</t>
  </si>
  <si>
    <t>1. Никитина Анна</t>
  </si>
  <si>
    <t>Открытая (10.07.1983)/37</t>
  </si>
  <si>
    <t>56,00</t>
  </si>
  <si>
    <t>Елистратова Оксана</t>
  </si>
  <si>
    <t>2. Елистратова Оксана</t>
  </si>
  <si>
    <t>Открытая (15.06.1981)/39</t>
  </si>
  <si>
    <t>55,70</t>
  </si>
  <si>
    <t xml:space="preserve">Зайцев Д. </t>
  </si>
  <si>
    <t>Синельникова Тамила</t>
  </si>
  <si>
    <t>3. Синельникова Тамила</t>
  </si>
  <si>
    <t>Открытая (30.09.1996)/24</t>
  </si>
  <si>
    <t>54,50</t>
  </si>
  <si>
    <t xml:space="preserve">Ремизевич Евгений Александрови </t>
  </si>
  <si>
    <t>Токаренко Оксана</t>
  </si>
  <si>
    <t>1. Токаренко Оксана</t>
  </si>
  <si>
    <t>Открытая (29.06.1980)/40</t>
  </si>
  <si>
    <t>Попова Мария</t>
  </si>
  <si>
    <t>1. Попова Мария</t>
  </si>
  <si>
    <t>Открытая (28.01.1984)/37</t>
  </si>
  <si>
    <t>65,50</t>
  </si>
  <si>
    <t>150,5</t>
  </si>
  <si>
    <t>Огородникова Мария</t>
  </si>
  <si>
    <t>2. Огородникова Мария</t>
  </si>
  <si>
    <t>Открытая (28.04.1982)/38</t>
  </si>
  <si>
    <t>64,00</t>
  </si>
  <si>
    <t>Кафтайлова Наталья</t>
  </si>
  <si>
    <t>1. Кафтайлова Наталья</t>
  </si>
  <si>
    <t>Ветераны 60 - 64 (24.08.1960)/60</t>
  </si>
  <si>
    <t>Васильева Екатерина</t>
  </si>
  <si>
    <t>1. Васильева Екатерина</t>
  </si>
  <si>
    <t>Ветераны 40 - 44 (07.09.1976)/44</t>
  </si>
  <si>
    <t>73,60</t>
  </si>
  <si>
    <t>Турковская Ольга</t>
  </si>
  <si>
    <t>1. Турковская Ольга</t>
  </si>
  <si>
    <t>Ветераны 50 - 54 (05.06.1967)/53</t>
  </si>
  <si>
    <t>69,60</t>
  </si>
  <si>
    <t>Зайковская Светлана</t>
  </si>
  <si>
    <t>1. Зайковская Светлана</t>
  </si>
  <si>
    <t>Открытая (24.07.1989)/31</t>
  </si>
  <si>
    <t xml:space="preserve">Нетребина Г. </t>
  </si>
  <si>
    <t>Щербаков Дмитрий</t>
  </si>
  <si>
    <t>1. Щербаков Дмитрий</t>
  </si>
  <si>
    <t>Открытая (27.04.1984)/36</t>
  </si>
  <si>
    <t>65,60</t>
  </si>
  <si>
    <t>Жевтунов Владимир</t>
  </si>
  <si>
    <t>1. Жевтунов Владимир</t>
  </si>
  <si>
    <t>Открытая (11.05.1988)/32</t>
  </si>
  <si>
    <t xml:space="preserve">Морозов Н.О. </t>
  </si>
  <si>
    <t>Кашников Артём</t>
  </si>
  <si>
    <t>1. Кашников Артём</t>
  </si>
  <si>
    <t>Юноши 15-19 (22.08.2003)/17</t>
  </si>
  <si>
    <t>79,10</t>
  </si>
  <si>
    <t>2. Ходкин Дмитрий</t>
  </si>
  <si>
    <t>Евсеев Сергей</t>
  </si>
  <si>
    <t>1. Евсеев Сергей</t>
  </si>
  <si>
    <t>Открытая (09.10.1990)/30</t>
  </si>
  <si>
    <t xml:space="preserve">Великие Луки/Псковская область </t>
  </si>
  <si>
    <t xml:space="preserve">Евсеев М.И. </t>
  </si>
  <si>
    <t>Елисеев Евгений</t>
  </si>
  <si>
    <t>3. Елисеев Евгений</t>
  </si>
  <si>
    <t>Открытая (27.02.1991)/30</t>
  </si>
  <si>
    <t>77,80</t>
  </si>
  <si>
    <t xml:space="preserve">Кравченко Е </t>
  </si>
  <si>
    <t>217,5</t>
  </si>
  <si>
    <t>1. Ветров Николай</t>
  </si>
  <si>
    <t>Смирнов Роман</t>
  </si>
  <si>
    <t>2. Смирнов Роман</t>
  </si>
  <si>
    <t>Открытая (14.04.1992)/28</t>
  </si>
  <si>
    <t xml:space="preserve">Долгопрудный/Московская област </t>
  </si>
  <si>
    <t xml:space="preserve">Смирнов Р.С </t>
  </si>
  <si>
    <t>Бендер Алексей</t>
  </si>
  <si>
    <t>1. Бендер Алексей</t>
  </si>
  <si>
    <t>Юниоры 20 - 23 (27.04.1997)/23</t>
  </si>
  <si>
    <t>Скорняков Вадим</t>
  </si>
  <si>
    <t>1. Скорняков Вадим</t>
  </si>
  <si>
    <t>Открытая (23.10.1982)/38</t>
  </si>
  <si>
    <t>98,70</t>
  </si>
  <si>
    <t xml:space="preserve">Филиппов И.Ю. </t>
  </si>
  <si>
    <t>Талызин Александр</t>
  </si>
  <si>
    <t>2. Талызин Александр</t>
  </si>
  <si>
    <t>Открытая (09.01.1989)/32</t>
  </si>
  <si>
    <t xml:space="preserve">Мичуринск/Тамбовская область </t>
  </si>
  <si>
    <t>Шилов Павел</t>
  </si>
  <si>
    <t>1. Шилов Павел</t>
  </si>
  <si>
    <t>Юниоры 20 - 23 (06.06.1997)/23</t>
  </si>
  <si>
    <t>106,40</t>
  </si>
  <si>
    <t>Черепков Алексей</t>
  </si>
  <si>
    <t>1. Черепков Алексей</t>
  </si>
  <si>
    <t>Открытая (09.06.1988)/32</t>
  </si>
  <si>
    <t xml:space="preserve">Электросталь/Московская область </t>
  </si>
  <si>
    <t>272,5</t>
  </si>
  <si>
    <t>295,0</t>
  </si>
  <si>
    <t>Лаврухин Евгений</t>
  </si>
  <si>
    <t>1. Лаврухин Евгений</t>
  </si>
  <si>
    <t>Ветераны 40 - 44 (12.01.1978)/43</t>
  </si>
  <si>
    <t>109,80</t>
  </si>
  <si>
    <t>Гапошко Андрей</t>
  </si>
  <si>
    <t>2. Гапошко Андрей</t>
  </si>
  <si>
    <t>Открытая (11.04.1986)/34</t>
  </si>
  <si>
    <t>118,10</t>
  </si>
  <si>
    <t>Баранов Михаил</t>
  </si>
  <si>
    <t>1. Баранов Михаил</t>
  </si>
  <si>
    <t>Ветераны 60 - 64 (02.03.1957)/63</t>
  </si>
  <si>
    <t>119,90</t>
  </si>
  <si>
    <t xml:space="preserve">Санкт-Петербург </t>
  </si>
  <si>
    <t>232,5</t>
  </si>
  <si>
    <t>252,5</t>
  </si>
  <si>
    <t xml:space="preserve">Киричек Е.Р. </t>
  </si>
  <si>
    <t>177,9112</t>
  </si>
  <si>
    <t>158,9280</t>
  </si>
  <si>
    <t>157,0016</t>
  </si>
  <si>
    <t>143,2755</t>
  </si>
  <si>
    <t>138,8960</t>
  </si>
  <si>
    <t>129,4260</t>
  </si>
  <si>
    <t>127,0220</t>
  </si>
  <si>
    <t>102,0600</t>
  </si>
  <si>
    <t>99,1568</t>
  </si>
  <si>
    <t>188,7149</t>
  </si>
  <si>
    <t>151,2239</t>
  </si>
  <si>
    <t>150,7788</t>
  </si>
  <si>
    <t>148,0119</t>
  </si>
  <si>
    <t>151,2720</t>
  </si>
  <si>
    <t>123,9840</t>
  </si>
  <si>
    <t>89,4940</t>
  </si>
  <si>
    <t>127,8820</t>
  </si>
  <si>
    <t>113,9230</t>
  </si>
  <si>
    <t>171,9000</t>
  </si>
  <si>
    <t>171,3900</t>
  </si>
  <si>
    <t>167,3360</t>
  </si>
  <si>
    <t>165,7110</t>
  </si>
  <si>
    <t>151,7920</t>
  </si>
  <si>
    <t>150,0460</t>
  </si>
  <si>
    <t>149,8910</t>
  </si>
  <si>
    <t>148,9250</t>
  </si>
  <si>
    <t>128,8783</t>
  </si>
  <si>
    <t>118,1670</t>
  </si>
  <si>
    <t>114,6560</t>
  </si>
  <si>
    <t>210,5283</t>
  </si>
  <si>
    <t>206,3114</t>
  </si>
  <si>
    <t>193,7219</t>
  </si>
  <si>
    <t>162,1139</t>
  </si>
  <si>
    <t>134,0287</t>
  </si>
  <si>
    <t>127,4811</t>
  </si>
  <si>
    <t>Gloss</t>
  </si>
  <si>
    <t>Сивачева Наталья</t>
  </si>
  <si>
    <t>1. Сивачева Наталья</t>
  </si>
  <si>
    <t>Открытая (07.04.1979)/41</t>
  </si>
  <si>
    <t>60,00</t>
  </si>
  <si>
    <t xml:space="preserve">Долгопрудный/Московская область </t>
  </si>
  <si>
    <t>9,0</t>
  </si>
  <si>
    <t xml:space="preserve">Сивачева Наталья Викторрвна </t>
  </si>
  <si>
    <t>Агафонов Андрей</t>
  </si>
  <si>
    <t>1. Агафонов Андрей</t>
  </si>
  <si>
    <t>Юноши 15-19 (25.08.2003)/17</t>
  </si>
  <si>
    <t>64,10</t>
  </si>
  <si>
    <t>14,0</t>
  </si>
  <si>
    <t>Румянцев Дмитрий</t>
  </si>
  <si>
    <t>1. Румянцев Дмитрий</t>
  </si>
  <si>
    <t>Ветераны 40 - 44 (24.05.1978)/42</t>
  </si>
  <si>
    <t>81,60</t>
  </si>
  <si>
    <t>37,0</t>
  </si>
  <si>
    <t xml:space="preserve">Сорокин С. </t>
  </si>
  <si>
    <t>Наумов Павел</t>
  </si>
  <si>
    <t>1. Наумов Павел</t>
  </si>
  <si>
    <t>Открытая (12.07.1985)/35</t>
  </si>
  <si>
    <t>78,0</t>
  </si>
  <si>
    <t xml:space="preserve">Заболотников И.А. </t>
  </si>
  <si>
    <t>Шиян Александр</t>
  </si>
  <si>
    <t>1. Шиян Александр</t>
  </si>
  <si>
    <t>Ветераны 40 - 44 (20.01.1981)/40</t>
  </si>
  <si>
    <t>27,0</t>
  </si>
  <si>
    <t>Зотиков Сергей</t>
  </si>
  <si>
    <t>1. Зотиков Сергей</t>
  </si>
  <si>
    <t>Ветераны 55 - 59 (15.04.1964)/56</t>
  </si>
  <si>
    <t>95,50</t>
  </si>
  <si>
    <t xml:space="preserve">Зотиков С.Т. </t>
  </si>
  <si>
    <t>1. Цымбаленко Владимир</t>
  </si>
  <si>
    <t>23,0</t>
  </si>
  <si>
    <t>Сивачев Дмитрий</t>
  </si>
  <si>
    <t>1. Сивачев Дмитрий</t>
  </si>
  <si>
    <t>Ветераны 45 - 49 (20.03.1975)/45</t>
  </si>
  <si>
    <t>100,30</t>
  </si>
  <si>
    <t>29,0</t>
  </si>
  <si>
    <t xml:space="preserve">Сивачев Д. Н. </t>
  </si>
  <si>
    <t>Рыбальченко Игорь</t>
  </si>
  <si>
    <t>1. Рыбальченко Игорь</t>
  </si>
  <si>
    <t>Ветераны 55 - 59 (22.03.1964)/56</t>
  </si>
  <si>
    <t>104,30</t>
  </si>
  <si>
    <t>20,0</t>
  </si>
  <si>
    <t xml:space="preserve">Рыбальченко И.А. </t>
  </si>
  <si>
    <t xml:space="preserve">Gloss </t>
  </si>
  <si>
    <t>540,0</t>
  </si>
  <si>
    <t>533,3040</t>
  </si>
  <si>
    <t>910,0</t>
  </si>
  <si>
    <t>712,4845</t>
  </si>
  <si>
    <t>7020,0</t>
  </si>
  <si>
    <t>4295,1872</t>
  </si>
  <si>
    <t>2530,0</t>
  </si>
  <si>
    <t>1425,6550</t>
  </si>
  <si>
    <t>3052,5</t>
  </si>
  <si>
    <t>2021,4722</t>
  </si>
  <si>
    <t>2972,5</t>
  </si>
  <si>
    <t>1820,7544</t>
  </si>
  <si>
    <t>2497,5</t>
  </si>
  <si>
    <t>1506,7417</t>
  </si>
  <si>
    <t>2100,0</t>
  </si>
  <si>
    <t>1496,6953</t>
  </si>
  <si>
    <t>1365,0</t>
  </si>
  <si>
    <t>1009,3338</t>
  </si>
  <si>
    <t>Тоннаж</t>
  </si>
  <si>
    <t>Заболотников Иван</t>
  </si>
  <si>
    <t>1. Заболотников Иван</t>
  </si>
  <si>
    <t>Открытая (17.06.1979)/41</t>
  </si>
  <si>
    <t>66,85</t>
  </si>
  <si>
    <t>Якушин Максим</t>
  </si>
  <si>
    <t>2. Якушин Максим</t>
  </si>
  <si>
    <t>Открытая (31.10.1985)/35</t>
  </si>
  <si>
    <t>61,30</t>
  </si>
  <si>
    <t>25,0</t>
  </si>
  <si>
    <t>Поликарпов Олег</t>
  </si>
  <si>
    <t>1. Поликарпов Олег</t>
  </si>
  <si>
    <t>Ветераны 45 - 49 (07.11.1973)/47</t>
  </si>
  <si>
    <t>68,40</t>
  </si>
  <si>
    <t>59,0</t>
  </si>
  <si>
    <t xml:space="preserve">Поликарпов О.А. </t>
  </si>
  <si>
    <t>Юрков Максим</t>
  </si>
  <si>
    <t>1. Юрков Максим</t>
  </si>
  <si>
    <t>Открытая (21.12.1988)/32</t>
  </si>
  <si>
    <t>79,00</t>
  </si>
  <si>
    <t xml:space="preserve">Юрков М. Ю </t>
  </si>
  <si>
    <t>18,0</t>
  </si>
  <si>
    <t>1. Девяткин Денис</t>
  </si>
  <si>
    <t>Агафонов Евгений</t>
  </si>
  <si>
    <t>1. Агафонов Евгений</t>
  </si>
  <si>
    <t>Ветераны 60 - 64 (25.10.1957)/63</t>
  </si>
  <si>
    <t>Тарасов Сергей</t>
  </si>
  <si>
    <t>1. Тарасов Сергей</t>
  </si>
  <si>
    <t>Открытая (09.10.1991)/29</t>
  </si>
  <si>
    <t>90,90</t>
  </si>
  <si>
    <t xml:space="preserve">Домодедово/Московская область </t>
  </si>
  <si>
    <t>28,0</t>
  </si>
  <si>
    <t xml:space="preserve">Тарасов Сергей </t>
  </si>
  <si>
    <t>2. Клостер Эрнест</t>
  </si>
  <si>
    <t>Никифоров Максим</t>
  </si>
  <si>
    <t>1. Никифоров Максим</t>
  </si>
  <si>
    <t>Открытая (19.05.1982)/38</t>
  </si>
  <si>
    <t>103,80</t>
  </si>
  <si>
    <t xml:space="preserve">Никифоров М.Н. </t>
  </si>
  <si>
    <t>Данилов Юрий</t>
  </si>
  <si>
    <t>1. Данилов Юрий</t>
  </si>
  <si>
    <t>Ветераны 55 - 59 (26.02.1965)/56</t>
  </si>
  <si>
    <t>104,70</t>
  </si>
  <si>
    <t>22,0</t>
  </si>
  <si>
    <t>Бакулин Руслан</t>
  </si>
  <si>
    <t>1. Бакулин Руслан</t>
  </si>
  <si>
    <t>Открытая (18.06.1988)/32</t>
  </si>
  <si>
    <t>110,40</t>
  </si>
  <si>
    <t>7087,5</t>
  </si>
  <si>
    <t>5348,3694</t>
  </si>
  <si>
    <t>2940,0</t>
  </si>
  <si>
    <t>1684,4730</t>
  </si>
  <si>
    <t>2700,0</t>
  </si>
  <si>
    <t>1651,9951</t>
  </si>
  <si>
    <t>2590,0</t>
  </si>
  <si>
    <t>1576,1445</t>
  </si>
  <si>
    <t>2312,5</t>
  </si>
  <si>
    <t>1395,1312</t>
  </si>
  <si>
    <t>1562,5</t>
  </si>
  <si>
    <t>1274,8438</t>
  </si>
  <si>
    <t>1840,0</t>
  </si>
  <si>
    <t>1220,8400</t>
  </si>
  <si>
    <t>2025,0</t>
  </si>
  <si>
    <t>1137,8475</t>
  </si>
  <si>
    <t>4130,0</t>
  </si>
  <si>
    <t>3307,7021</t>
  </si>
  <si>
    <t>1784,5158</t>
  </si>
  <si>
    <t>2310,0</t>
  </si>
  <si>
    <t>1644,2061</t>
  </si>
  <si>
    <t>1485,0</t>
  </si>
  <si>
    <t>1529,3083</t>
  </si>
  <si>
    <t>2430,0</t>
  </si>
  <si>
    <t>1517,8618</t>
  </si>
  <si>
    <t>2200,0</t>
  </si>
  <si>
    <t>1423,3238</t>
  </si>
  <si>
    <t>1190,0</t>
  </si>
  <si>
    <t>1080,0353</t>
  </si>
  <si>
    <t>1. Кондакова Валерия</t>
  </si>
  <si>
    <t>27,5</t>
  </si>
  <si>
    <t>39,0</t>
  </si>
  <si>
    <t>Гетманский Арсений</t>
  </si>
  <si>
    <t>1. Гетманский Арсений</t>
  </si>
  <si>
    <t>Юноши 15-19 (07.03.2006)/14</t>
  </si>
  <si>
    <t>51,60</t>
  </si>
  <si>
    <t>32,5</t>
  </si>
  <si>
    <t>96,0</t>
  </si>
  <si>
    <t>Синдеев Виктор</t>
  </si>
  <si>
    <t>1. Синдеев Виктор</t>
  </si>
  <si>
    <t>Ветераны 60 - 64 (27.12.1956)/64</t>
  </si>
  <si>
    <t>79,80</t>
  </si>
  <si>
    <t>147,0</t>
  </si>
  <si>
    <t>Быков Николай</t>
  </si>
  <si>
    <t>1. Быков Николай</t>
  </si>
  <si>
    <t>Ветераны 60 - 64 (29.08.1956)/64</t>
  </si>
  <si>
    <t>84,00</t>
  </si>
  <si>
    <t xml:space="preserve">Верхнеднепровский/Смоленская о </t>
  </si>
  <si>
    <t xml:space="preserve">Быков Н.Н. </t>
  </si>
  <si>
    <t>2. Агафонов Евгений</t>
  </si>
  <si>
    <t>89,0</t>
  </si>
  <si>
    <t>3. Смирнов Леонид</t>
  </si>
  <si>
    <t>68,0</t>
  </si>
  <si>
    <t>Гаршин Александр</t>
  </si>
  <si>
    <t>1. Гаршин Александр</t>
  </si>
  <si>
    <t>Ветераны 65 - 69 (29.06.1954)/66</t>
  </si>
  <si>
    <t>93,80</t>
  </si>
  <si>
    <t>79,0</t>
  </si>
  <si>
    <t xml:space="preserve">Гаршин А.Ф. </t>
  </si>
  <si>
    <t>1072,5</t>
  </si>
  <si>
    <t>1147,6822</t>
  </si>
  <si>
    <t>3120,0</t>
  </si>
  <si>
    <t>2442,8040</t>
  </si>
  <si>
    <t>1237,5</t>
  </si>
  <si>
    <t>1206,1912</t>
  </si>
  <si>
    <t>6375,0</t>
  </si>
  <si>
    <t>5890,5797</t>
  </si>
  <si>
    <t>5880,0</t>
  </si>
  <si>
    <t>5618,2075</t>
  </si>
  <si>
    <t>3782,5</t>
  </si>
  <si>
    <t>3432,9694</t>
  </si>
  <si>
    <t>3752,5</t>
  </si>
  <si>
    <t>3394,6454</t>
  </si>
  <si>
    <t>3060,0</t>
  </si>
  <si>
    <t>2668,7445</t>
  </si>
  <si>
    <t>Открытый Всероссийский турнир WPF "МЕГАПОЛИС 2021"
WPF PRO Пауэрлифтинг классический
Москва / 27 - 28 февраля 2021 г.</t>
  </si>
  <si>
    <t>Открытый Всероссийский турнир WPF "МЕГАПОЛИС 2021"
WPF PRO Пауэрлифтинг безэкипировочный
Москва / 27 - 28 февраля 2021 г.</t>
  </si>
  <si>
    <t>Открытый Всероссийский турнир WPF "МЕГАПОЛИС 2021"
WPF PRO Жим лежа в однослойной экипировке
Москва / 27 - 28 февраля 2021 г.</t>
  </si>
  <si>
    <t>Открытый Всероссийский турнир WPF "МЕГАПОЛИС 2021"
WPF PRO Жим лежа безэкипировочный
Москва / 27 - 28 февраля 2021 г.</t>
  </si>
  <si>
    <t>Открытый Всероссийский турнир WPF "МЕГАПОЛИС 2021"
WPF PRO Становая тяга безэкипировочная
Москва / 27 - 28 февраля 2021 г.</t>
  </si>
  <si>
    <t>Открытый Всероссийский турнир WPF "МЕГАПОЛИС 2021"
WPF PRO Многоповторный жим лежа (1 вес)
Москва / 27 - 28 февраля 2021 г.</t>
  </si>
  <si>
    <t>Многоповторный жим</t>
  </si>
  <si>
    <t>Открытый Всероссийский турнир WPF "МЕГАПОЛИС 2021"
WPF AM Пауэрлифтинг в однослойной экипировке
Москва / 27 - 28 февраля 2021 г.</t>
  </si>
  <si>
    <t>Открытый Всероссийский турнир WPF "МЕГАПОЛИС 2021"
WPF AM Пауэрлифтинг классический
Москва / 27 - 28 февраля 2021 г.</t>
  </si>
  <si>
    <t>Открытый Всероссийский турнир WPF "МЕГАПОЛИС 2021"
WPF AM Пауэрлифтинг безэкипировочный
Москва / 27 - 28 февраля 2021 г.</t>
  </si>
  <si>
    <t>Открытый Всероссийский турнир WPF "МЕГАПОЛИС 2021"
WPF AM Жим лежа в однослойной экипировке
Москва / 27 - 28 февраля 2021 г.</t>
  </si>
  <si>
    <t>Открытый Всероссийский турнир WPF "МЕГАПОЛИС 2021"
WPF AM Жим лежа безэкипировочный
Москва / 27 - 28 февраля 2021 г.</t>
  </si>
  <si>
    <t>Открытый Всероссийский турнир WPF "МЕГАПОЛИС 2021"
WPF AM Становая тяга безэкипировочная
Москва / 27 - 28 февраля 2021 г.</t>
  </si>
  <si>
    <t>Открытый Всероссийский турнир WPF "МЕГАПОЛИС 2021"
WPF AM Многоповторный жим лежа (1/2 вес)
Москва / 27 - 28 февраля 2021 г.</t>
  </si>
  <si>
    <t>Многоповторный  жим</t>
  </si>
  <si>
    <t>Открытый Всероссийский турнир WPF "МЕГАПОЛИС 2021"
WPF AM Многоповторный жим лежа (1 вес)
Москва / 27 - 28 февраля 2021 г.</t>
  </si>
  <si>
    <t>Воронин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</si>
</sst>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left"/>
    </xf>
    <xf numFmtId="49" fontId="0" fillId="0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U50"/>
  <sheetViews>
    <sheetView tabSelected="1" workbookViewId="0">
      <selection activeCell="F22" sqref="F22"/>
    </sheetView>
  </sheetViews>
  <sheetFormatPr defaultColWidth="9.109375" defaultRowHeight="13.2" x14ac:dyDescent="0.25"/>
  <cols>
    <col min="1" max="1" width="24.6640625" style="4" bestFit="1" customWidth="1"/>
    <col min="2" max="2" width="29.6640625" style="4" bestFit="1" customWidth="1"/>
    <col min="3" max="3" width="15.5546875" style="4" bestFit="1" customWidth="1"/>
    <col min="4" max="4" width="8.44140625" style="4" bestFit="1" customWidth="1"/>
    <col min="5" max="5" width="22.6640625" style="4" bestFit="1" customWidth="1"/>
    <col min="6" max="6" width="27.88671875" style="4" bestFit="1" customWidth="1"/>
    <col min="7" max="9" width="5.5546875" style="3" customWidth="1"/>
    <col min="10" max="10" width="4.88671875" style="3" customWidth="1"/>
    <col min="11" max="13" width="5.5546875" style="3" customWidth="1"/>
    <col min="14" max="14" width="4.88671875" style="3" customWidth="1"/>
    <col min="15" max="18" width="5.5546875" style="3" customWidth="1"/>
    <col min="19" max="19" width="7.88671875" style="16" bestFit="1" customWidth="1"/>
    <col min="20" max="20" width="8.5546875" style="2" bestFit="1" customWidth="1"/>
    <col min="21" max="21" width="28.6640625" style="4" bestFit="1" customWidth="1"/>
    <col min="22" max="16384" width="9.109375" style="3"/>
  </cols>
  <sheetData>
    <row r="1" spans="1:21" s="2" customFormat="1" ht="29.1" customHeight="1" x14ac:dyDescent="0.25">
      <c r="A1" s="39" t="s">
        <v>1360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12</v>
      </c>
      <c r="H3" s="37"/>
      <c r="I3" s="37"/>
      <c r="J3" s="37"/>
      <c r="K3" s="37" t="s">
        <v>13</v>
      </c>
      <c r="L3" s="37"/>
      <c r="M3" s="37"/>
      <c r="N3" s="37"/>
      <c r="O3" s="37" t="s">
        <v>14</v>
      </c>
      <c r="P3" s="37"/>
      <c r="Q3" s="37"/>
      <c r="R3" s="37"/>
      <c r="S3" s="37" t="s">
        <v>1</v>
      </c>
      <c r="T3" s="37" t="s">
        <v>3</v>
      </c>
      <c r="U3" s="48" t="s">
        <v>2</v>
      </c>
    </row>
    <row r="4" spans="1:21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8"/>
      <c r="T4" s="38"/>
      <c r="U4" s="49"/>
    </row>
    <row r="5" spans="1:21" ht="15.6" x14ac:dyDescent="0.3">
      <c r="A5" s="34" t="s">
        <v>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 x14ac:dyDescent="0.25">
      <c r="A6" s="6" t="s">
        <v>17</v>
      </c>
      <c r="B6" s="6" t="s">
        <v>18</v>
      </c>
      <c r="C6" s="6" t="s">
        <v>19</v>
      </c>
      <c r="D6" s="6" t="str">
        <f>"0,6592"</f>
        <v>0,6592</v>
      </c>
      <c r="E6" s="6" t="s">
        <v>20</v>
      </c>
      <c r="F6" s="6" t="s">
        <v>21</v>
      </c>
      <c r="G6" s="7" t="s">
        <v>22</v>
      </c>
      <c r="H6" s="7" t="s">
        <v>23</v>
      </c>
      <c r="I6" s="7" t="s">
        <v>24</v>
      </c>
      <c r="J6" s="8"/>
      <c r="K6" s="7" t="s">
        <v>25</v>
      </c>
      <c r="L6" s="7" t="s">
        <v>26</v>
      </c>
      <c r="M6" s="7" t="s">
        <v>27</v>
      </c>
      <c r="N6" s="8"/>
      <c r="O6" s="8" t="s">
        <v>28</v>
      </c>
      <c r="P6" s="7" t="s">
        <v>28</v>
      </c>
      <c r="Q6" s="7" t="s">
        <v>29</v>
      </c>
      <c r="R6" s="8"/>
      <c r="S6" s="17" t="str">
        <f>"660,0"</f>
        <v>660,0</v>
      </c>
      <c r="T6" s="18" t="str">
        <f>"435,0720"</f>
        <v>435,0720</v>
      </c>
      <c r="U6" s="6" t="s">
        <v>30</v>
      </c>
    </row>
    <row r="7" spans="1:21" x14ac:dyDescent="0.25">
      <c r="A7" s="9" t="s">
        <v>32</v>
      </c>
      <c r="B7" s="9" t="s">
        <v>33</v>
      </c>
      <c r="C7" s="9" t="s">
        <v>34</v>
      </c>
      <c r="D7" s="9" t="str">
        <f>"0,6455"</f>
        <v>0,6455</v>
      </c>
      <c r="E7" s="9" t="s">
        <v>20</v>
      </c>
      <c r="F7" s="9" t="s">
        <v>35</v>
      </c>
      <c r="G7" s="10" t="s">
        <v>24</v>
      </c>
      <c r="H7" s="10" t="s">
        <v>28</v>
      </c>
      <c r="I7" s="11" t="s">
        <v>36</v>
      </c>
      <c r="J7" s="11"/>
      <c r="K7" s="10" t="s">
        <v>37</v>
      </c>
      <c r="L7" s="10" t="s">
        <v>38</v>
      </c>
      <c r="M7" s="11" t="s">
        <v>26</v>
      </c>
      <c r="N7" s="11"/>
      <c r="O7" s="10" t="s">
        <v>36</v>
      </c>
      <c r="P7" s="11" t="s">
        <v>39</v>
      </c>
      <c r="Q7" s="11" t="s">
        <v>39</v>
      </c>
      <c r="R7" s="11"/>
      <c r="S7" s="19" t="str">
        <f>"635,0"</f>
        <v>635,0</v>
      </c>
      <c r="T7" s="20" t="str">
        <f>"409,8925"</f>
        <v>409,8925</v>
      </c>
      <c r="U7" s="9" t="s">
        <v>40</v>
      </c>
    </row>
    <row r="9" spans="1:21" ht="15.6" x14ac:dyDescent="0.3">
      <c r="A9" s="36" t="s">
        <v>41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21" x14ac:dyDescent="0.25">
      <c r="A10" s="6" t="s">
        <v>43</v>
      </c>
      <c r="B10" s="6" t="s">
        <v>44</v>
      </c>
      <c r="C10" s="6" t="s">
        <v>45</v>
      </c>
      <c r="D10" s="6" t="str">
        <f>"0,6113"</f>
        <v>0,6113</v>
      </c>
      <c r="E10" s="6" t="s">
        <v>20</v>
      </c>
      <c r="F10" s="6" t="s">
        <v>46</v>
      </c>
      <c r="G10" s="7" t="s">
        <v>36</v>
      </c>
      <c r="H10" s="7" t="s">
        <v>29</v>
      </c>
      <c r="I10" s="7" t="s">
        <v>47</v>
      </c>
      <c r="J10" s="8"/>
      <c r="K10" s="7" t="s">
        <v>48</v>
      </c>
      <c r="L10" s="7" t="s">
        <v>49</v>
      </c>
      <c r="M10" s="7" t="s">
        <v>50</v>
      </c>
      <c r="N10" s="8"/>
      <c r="O10" s="7" t="s">
        <v>51</v>
      </c>
      <c r="P10" s="7" t="s">
        <v>52</v>
      </c>
      <c r="Q10" s="7" t="s">
        <v>53</v>
      </c>
      <c r="R10" s="8" t="s">
        <v>54</v>
      </c>
      <c r="S10" s="17" t="str">
        <f>"827,5"</f>
        <v>827,5</v>
      </c>
      <c r="T10" s="18" t="str">
        <f>"505,8507"</f>
        <v>505,8507</v>
      </c>
      <c r="U10" s="6" t="s">
        <v>55</v>
      </c>
    </row>
    <row r="11" spans="1:21" x14ac:dyDescent="0.25">
      <c r="A11" s="12" t="s">
        <v>57</v>
      </c>
      <c r="B11" s="12" t="s">
        <v>58</v>
      </c>
      <c r="C11" s="12" t="s">
        <v>59</v>
      </c>
      <c r="D11" s="12" t="str">
        <f>"0,6126"</f>
        <v>0,6126</v>
      </c>
      <c r="E11" s="12" t="s">
        <v>20</v>
      </c>
      <c r="F11" s="12" t="s">
        <v>46</v>
      </c>
      <c r="G11" s="13" t="s">
        <v>60</v>
      </c>
      <c r="H11" s="13" t="s">
        <v>61</v>
      </c>
      <c r="I11" s="14" t="s">
        <v>47</v>
      </c>
      <c r="J11" s="14"/>
      <c r="K11" s="13" t="s">
        <v>62</v>
      </c>
      <c r="L11" s="13" t="s">
        <v>63</v>
      </c>
      <c r="M11" s="14" t="s">
        <v>64</v>
      </c>
      <c r="N11" s="14"/>
      <c r="O11" s="13" t="s">
        <v>60</v>
      </c>
      <c r="P11" s="13" t="s">
        <v>47</v>
      </c>
      <c r="Q11" s="14" t="s">
        <v>65</v>
      </c>
      <c r="R11" s="14"/>
      <c r="S11" s="21" t="str">
        <f>"720,0"</f>
        <v>720,0</v>
      </c>
      <c r="T11" s="22" t="str">
        <f>"441,0720"</f>
        <v>441,0720</v>
      </c>
      <c r="U11" s="12" t="s">
        <v>66</v>
      </c>
    </row>
    <row r="12" spans="1:21" x14ac:dyDescent="0.25">
      <c r="A12" s="12" t="s">
        <v>68</v>
      </c>
      <c r="B12" s="12" t="s">
        <v>69</v>
      </c>
      <c r="C12" s="12" t="s">
        <v>70</v>
      </c>
      <c r="D12" s="12" t="str">
        <f>"0,6183"</f>
        <v>0,6183</v>
      </c>
      <c r="E12" s="12" t="s">
        <v>20</v>
      </c>
      <c r="F12" s="12" t="s">
        <v>21</v>
      </c>
      <c r="G12" s="13" t="s">
        <v>71</v>
      </c>
      <c r="H12" s="13" t="s">
        <v>23</v>
      </c>
      <c r="I12" s="13" t="s">
        <v>72</v>
      </c>
      <c r="J12" s="14"/>
      <c r="K12" s="13" t="s">
        <v>38</v>
      </c>
      <c r="L12" s="13" t="s">
        <v>73</v>
      </c>
      <c r="M12" s="13" t="s">
        <v>62</v>
      </c>
      <c r="N12" s="14"/>
      <c r="O12" s="13" t="s">
        <v>24</v>
      </c>
      <c r="P12" s="13" t="s">
        <v>28</v>
      </c>
      <c r="Q12" s="14" t="s">
        <v>36</v>
      </c>
      <c r="R12" s="14"/>
      <c r="S12" s="21" t="str">
        <f>"625,0"</f>
        <v>625,0</v>
      </c>
      <c r="T12" s="22" t="str">
        <f>"386,4375"</f>
        <v>386,4375</v>
      </c>
      <c r="U12" s="12" t="s">
        <v>74</v>
      </c>
    </row>
    <row r="13" spans="1:21" x14ac:dyDescent="0.25">
      <c r="A13" s="9" t="s">
        <v>76</v>
      </c>
      <c r="B13" s="9" t="s">
        <v>77</v>
      </c>
      <c r="C13" s="9" t="s">
        <v>78</v>
      </c>
      <c r="D13" s="9" t="str">
        <f>"0,6356"</f>
        <v>0,6356</v>
      </c>
      <c r="E13" s="9" t="s">
        <v>20</v>
      </c>
      <c r="F13" s="9" t="s">
        <v>79</v>
      </c>
      <c r="G13" s="10" t="s">
        <v>22</v>
      </c>
      <c r="H13" s="10" t="s">
        <v>80</v>
      </c>
      <c r="I13" s="10" t="s">
        <v>72</v>
      </c>
      <c r="J13" s="11"/>
      <c r="K13" s="10" t="s">
        <v>81</v>
      </c>
      <c r="L13" s="10" t="s">
        <v>82</v>
      </c>
      <c r="M13" s="10" t="s">
        <v>83</v>
      </c>
      <c r="N13" s="11"/>
      <c r="O13" s="10" t="s">
        <v>22</v>
      </c>
      <c r="P13" s="10" t="s">
        <v>71</v>
      </c>
      <c r="Q13" s="10" t="s">
        <v>80</v>
      </c>
      <c r="R13" s="11"/>
      <c r="S13" s="19" t="str">
        <f>"567,5"</f>
        <v>567,5</v>
      </c>
      <c r="T13" s="20" t="str">
        <f>"360,7030"</f>
        <v>360,7030</v>
      </c>
      <c r="U13" s="9" t="s">
        <v>30</v>
      </c>
    </row>
    <row r="15" spans="1:21" ht="15.6" x14ac:dyDescent="0.3">
      <c r="A15" s="36" t="s">
        <v>84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21" x14ac:dyDescent="0.25">
      <c r="A16" s="6" t="s">
        <v>86</v>
      </c>
      <c r="B16" s="6" t="s">
        <v>87</v>
      </c>
      <c r="C16" s="6" t="s">
        <v>88</v>
      </c>
      <c r="D16" s="6" t="str">
        <f>"0,5910"</f>
        <v>0,5910</v>
      </c>
      <c r="E16" s="6" t="s">
        <v>20</v>
      </c>
      <c r="F16" s="6" t="s">
        <v>46</v>
      </c>
      <c r="G16" s="7" t="s">
        <v>24</v>
      </c>
      <c r="H16" s="7" t="s">
        <v>36</v>
      </c>
      <c r="I16" s="7" t="s">
        <v>39</v>
      </c>
      <c r="J16" s="8"/>
      <c r="K16" s="7" t="s">
        <v>25</v>
      </c>
      <c r="L16" s="7" t="s">
        <v>26</v>
      </c>
      <c r="M16" s="7" t="s">
        <v>89</v>
      </c>
      <c r="N16" s="8"/>
      <c r="O16" s="7" t="s">
        <v>24</v>
      </c>
      <c r="P16" s="7" t="s">
        <v>90</v>
      </c>
      <c r="Q16" s="8" t="s">
        <v>29</v>
      </c>
      <c r="R16" s="8"/>
      <c r="S16" s="17" t="str">
        <f>"667,5"</f>
        <v>667,5</v>
      </c>
      <c r="T16" s="18" t="str">
        <f>"394,4925"</f>
        <v>394,4925</v>
      </c>
      <c r="U16" s="6" t="s">
        <v>30</v>
      </c>
    </row>
    <row r="17" spans="1:21" x14ac:dyDescent="0.25">
      <c r="A17" s="12" t="s">
        <v>92</v>
      </c>
      <c r="B17" s="12" t="s">
        <v>93</v>
      </c>
      <c r="C17" s="12" t="s">
        <v>94</v>
      </c>
      <c r="D17" s="12" t="str">
        <f>"0,5933"</f>
        <v>0,5933</v>
      </c>
      <c r="E17" s="12" t="s">
        <v>20</v>
      </c>
      <c r="F17" s="12" t="s">
        <v>95</v>
      </c>
      <c r="G17" s="13" t="s">
        <v>96</v>
      </c>
      <c r="H17" s="13" t="s">
        <v>97</v>
      </c>
      <c r="I17" s="13" t="s">
        <v>98</v>
      </c>
      <c r="J17" s="14"/>
      <c r="K17" s="13" t="s">
        <v>48</v>
      </c>
      <c r="L17" s="13" t="s">
        <v>50</v>
      </c>
      <c r="M17" s="13" t="s">
        <v>99</v>
      </c>
      <c r="N17" s="14"/>
      <c r="O17" s="13" t="s">
        <v>97</v>
      </c>
      <c r="P17" s="13" t="s">
        <v>100</v>
      </c>
      <c r="Q17" s="14" t="s">
        <v>101</v>
      </c>
      <c r="R17" s="14"/>
      <c r="S17" s="21" t="str">
        <f>"885,0"</f>
        <v>885,0</v>
      </c>
      <c r="T17" s="22" t="str">
        <f>"525,0705"</f>
        <v>525,0705</v>
      </c>
      <c r="U17" s="12" t="s">
        <v>102</v>
      </c>
    </row>
    <row r="18" spans="1:21" x14ac:dyDescent="0.25">
      <c r="A18" s="12" t="s">
        <v>104</v>
      </c>
      <c r="B18" s="12" t="s">
        <v>105</v>
      </c>
      <c r="C18" s="12" t="s">
        <v>106</v>
      </c>
      <c r="D18" s="12" t="str">
        <f>"0,6032"</f>
        <v>0,6032</v>
      </c>
      <c r="E18" s="12" t="s">
        <v>20</v>
      </c>
      <c r="F18" s="12" t="s">
        <v>46</v>
      </c>
      <c r="G18" s="13" t="s">
        <v>60</v>
      </c>
      <c r="H18" s="13" t="s">
        <v>61</v>
      </c>
      <c r="I18" s="13" t="s">
        <v>47</v>
      </c>
      <c r="J18" s="14"/>
      <c r="K18" s="13" t="s">
        <v>27</v>
      </c>
      <c r="L18" s="13" t="s">
        <v>64</v>
      </c>
      <c r="M18" s="13" t="s">
        <v>107</v>
      </c>
      <c r="N18" s="14"/>
      <c r="O18" s="13" t="s">
        <v>65</v>
      </c>
      <c r="P18" s="13" t="s">
        <v>108</v>
      </c>
      <c r="Q18" s="13" t="s">
        <v>109</v>
      </c>
      <c r="R18" s="14"/>
      <c r="S18" s="21" t="str">
        <f>"770,0"</f>
        <v>770,0</v>
      </c>
      <c r="T18" s="22" t="str">
        <f>"464,4640"</f>
        <v>464,4640</v>
      </c>
      <c r="U18" s="12" t="s">
        <v>110</v>
      </c>
    </row>
    <row r="19" spans="1:21" x14ac:dyDescent="0.25">
      <c r="A19" s="12" t="s">
        <v>112</v>
      </c>
      <c r="B19" s="12" t="s">
        <v>113</v>
      </c>
      <c r="C19" s="12" t="s">
        <v>114</v>
      </c>
      <c r="D19" s="12" t="str">
        <f>"0,5909"</f>
        <v>0,5909</v>
      </c>
      <c r="E19" s="12" t="s">
        <v>20</v>
      </c>
      <c r="F19" s="12" t="s">
        <v>46</v>
      </c>
      <c r="G19" s="13" t="s">
        <v>90</v>
      </c>
      <c r="H19" s="13" t="s">
        <v>61</v>
      </c>
      <c r="I19" s="13" t="s">
        <v>65</v>
      </c>
      <c r="J19" s="14"/>
      <c r="K19" s="13" t="s">
        <v>63</v>
      </c>
      <c r="L19" s="13" t="s">
        <v>48</v>
      </c>
      <c r="M19" s="13" t="s">
        <v>49</v>
      </c>
      <c r="N19" s="14"/>
      <c r="O19" s="13" t="s">
        <v>90</v>
      </c>
      <c r="P19" s="13" t="s">
        <v>61</v>
      </c>
      <c r="Q19" s="13" t="s">
        <v>47</v>
      </c>
      <c r="R19" s="14"/>
      <c r="S19" s="21" t="str">
        <f>"755,0"</f>
        <v>755,0</v>
      </c>
      <c r="T19" s="22" t="str">
        <f>"446,1295"</f>
        <v>446,1295</v>
      </c>
      <c r="U19" s="12" t="s">
        <v>30</v>
      </c>
    </row>
    <row r="20" spans="1:21" x14ac:dyDescent="0.25">
      <c r="A20" s="9" t="s">
        <v>116</v>
      </c>
      <c r="B20" s="9" t="s">
        <v>117</v>
      </c>
      <c r="C20" s="9" t="s">
        <v>118</v>
      </c>
      <c r="D20" s="9" t="str">
        <f>"0,5956"</f>
        <v>0,5956</v>
      </c>
      <c r="E20" s="9" t="s">
        <v>119</v>
      </c>
      <c r="F20" s="9" t="s">
        <v>46</v>
      </c>
      <c r="G20" s="10" t="s">
        <v>28</v>
      </c>
      <c r="H20" s="10" t="s">
        <v>90</v>
      </c>
      <c r="I20" s="11" t="s">
        <v>60</v>
      </c>
      <c r="J20" s="11"/>
      <c r="K20" s="10" t="s">
        <v>37</v>
      </c>
      <c r="L20" s="10" t="s">
        <v>38</v>
      </c>
      <c r="M20" s="11" t="s">
        <v>26</v>
      </c>
      <c r="N20" s="11"/>
      <c r="O20" s="10" t="s">
        <v>24</v>
      </c>
      <c r="P20" s="10" t="s">
        <v>90</v>
      </c>
      <c r="Q20" s="11" t="s">
        <v>60</v>
      </c>
      <c r="R20" s="11"/>
      <c r="S20" s="19" t="str">
        <f>"650,0"</f>
        <v>650,0</v>
      </c>
      <c r="T20" s="20" t="str">
        <f>"391,0114"</f>
        <v>391,0114</v>
      </c>
      <c r="U20" s="9" t="s">
        <v>120</v>
      </c>
    </row>
    <row r="22" spans="1:21" ht="15" x14ac:dyDescent="0.25">
      <c r="E22" s="15" t="s">
        <v>121</v>
      </c>
    </row>
    <row r="23" spans="1:21" ht="15" x14ac:dyDescent="0.25">
      <c r="E23" s="15" t="s">
        <v>122</v>
      </c>
    </row>
    <row r="24" spans="1:21" ht="15" x14ac:dyDescent="0.25">
      <c r="E24" s="15" t="s">
        <v>123</v>
      </c>
    </row>
    <row r="25" spans="1:21" ht="15" x14ac:dyDescent="0.25">
      <c r="E25" s="15" t="s">
        <v>124</v>
      </c>
    </row>
    <row r="26" spans="1:21" ht="15" x14ac:dyDescent="0.25">
      <c r="E26" s="15" t="s">
        <v>124</v>
      </c>
    </row>
    <row r="27" spans="1:21" ht="15" x14ac:dyDescent="0.25">
      <c r="E27" s="15" t="s">
        <v>125</v>
      </c>
    </row>
    <row r="28" spans="1:21" ht="15" x14ac:dyDescent="0.25">
      <c r="E28" s="15"/>
    </row>
    <row r="30" spans="1:21" ht="17.399999999999999" x14ac:dyDescent="0.3">
      <c r="A30" s="23" t="s">
        <v>126</v>
      </c>
      <c r="B30" s="23"/>
    </row>
    <row r="31" spans="1:21" ht="15.6" x14ac:dyDescent="0.3">
      <c r="A31" s="24" t="s">
        <v>127</v>
      </c>
      <c r="B31" s="24"/>
    </row>
    <row r="32" spans="1:21" ht="14.4" x14ac:dyDescent="0.3">
      <c r="A32" s="26"/>
      <c r="B32" s="27" t="s">
        <v>128</v>
      </c>
    </row>
    <row r="33" spans="1:5" ht="13.8" x14ac:dyDescent="0.25">
      <c r="A33" s="29" t="s">
        <v>129</v>
      </c>
      <c r="B33" s="29" t="s">
        <v>130</v>
      </c>
      <c r="C33" s="29" t="s">
        <v>131</v>
      </c>
      <c r="D33" s="29" t="s">
        <v>132</v>
      </c>
      <c r="E33" s="29" t="s">
        <v>133</v>
      </c>
    </row>
    <row r="34" spans="1:5" x14ac:dyDescent="0.25">
      <c r="A34" s="25" t="s">
        <v>85</v>
      </c>
      <c r="B34" s="4" t="s">
        <v>134</v>
      </c>
      <c r="C34" s="4" t="s">
        <v>135</v>
      </c>
      <c r="D34" s="4" t="s">
        <v>136</v>
      </c>
      <c r="E34" s="16" t="s">
        <v>137</v>
      </c>
    </row>
    <row r="36" spans="1:5" ht="14.4" x14ac:dyDescent="0.3">
      <c r="A36" s="26"/>
      <c r="B36" s="27" t="s">
        <v>138</v>
      </c>
    </row>
    <row r="37" spans="1:5" ht="13.8" x14ac:dyDescent="0.25">
      <c r="A37" s="29" t="s">
        <v>129</v>
      </c>
      <c r="B37" s="29" t="s">
        <v>130</v>
      </c>
      <c r="C37" s="29" t="s">
        <v>131</v>
      </c>
      <c r="D37" s="29" t="s">
        <v>132</v>
      </c>
      <c r="E37" s="29" t="s">
        <v>133</v>
      </c>
    </row>
    <row r="38" spans="1:5" x14ac:dyDescent="0.25">
      <c r="A38" s="25" t="s">
        <v>91</v>
      </c>
      <c r="B38" s="4" t="s">
        <v>138</v>
      </c>
      <c r="C38" s="4" t="s">
        <v>135</v>
      </c>
      <c r="D38" s="4" t="s">
        <v>139</v>
      </c>
      <c r="E38" s="16" t="s">
        <v>140</v>
      </c>
    </row>
    <row r="39" spans="1:5" x14ac:dyDescent="0.25">
      <c r="A39" s="25" t="s">
        <v>42</v>
      </c>
      <c r="B39" s="4" t="s">
        <v>138</v>
      </c>
      <c r="C39" s="4" t="s">
        <v>141</v>
      </c>
      <c r="D39" s="4" t="s">
        <v>142</v>
      </c>
      <c r="E39" s="16" t="s">
        <v>143</v>
      </c>
    </row>
    <row r="40" spans="1:5" x14ac:dyDescent="0.25">
      <c r="A40" s="25" t="s">
        <v>103</v>
      </c>
      <c r="B40" s="4" t="s">
        <v>138</v>
      </c>
      <c r="C40" s="4" t="s">
        <v>135</v>
      </c>
      <c r="D40" s="4" t="s">
        <v>144</v>
      </c>
      <c r="E40" s="16" t="s">
        <v>145</v>
      </c>
    </row>
    <row r="41" spans="1:5" x14ac:dyDescent="0.25">
      <c r="A41" s="25" t="s">
        <v>111</v>
      </c>
      <c r="B41" s="4" t="s">
        <v>138</v>
      </c>
      <c r="C41" s="4" t="s">
        <v>135</v>
      </c>
      <c r="D41" s="4" t="s">
        <v>146</v>
      </c>
      <c r="E41" s="16" t="s">
        <v>147</v>
      </c>
    </row>
    <row r="42" spans="1:5" x14ac:dyDescent="0.25">
      <c r="A42" s="25" t="s">
        <v>56</v>
      </c>
      <c r="B42" s="4" t="s">
        <v>138</v>
      </c>
      <c r="C42" s="4" t="s">
        <v>141</v>
      </c>
      <c r="D42" s="4" t="s">
        <v>148</v>
      </c>
      <c r="E42" s="16" t="s">
        <v>149</v>
      </c>
    </row>
    <row r="43" spans="1:5" x14ac:dyDescent="0.25">
      <c r="A43" s="25" t="s">
        <v>16</v>
      </c>
      <c r="B43" s="4" t="s">
        <v>138</v>
      </c>
      <c r="C43" s="4" t="s">
        <v>150</v>
      </c>
      <c r="D43" s="4" t="s">
        <v>151</v>
      </c>
      <c r="E43" s="16" t="s">
        <v>152</v>
      </c>
    </row>
    <row r="44" spans="1:5" x14ac:dyDescent="0.25">
      <c r="A44" s="25" t="s">
        <v>31</v>
      </c>
      <c r="B44" s="4" t="s">
        <v>138</v>
      </c>
      <c r="C44" s="4" t="s">
        <v>150</v>
      </c>
      <c r="D44" s="4" t="s">
        <v>153</v>
      </c>
      <c r="E44" s="16" t="s">
        <v>154</v>
      </c>
    </row>
    <row r="45" spans="1:5" x14ac:dyDescent="0.25">
      <c r="A45" s="25" t="s">
        <v>67</v>
      </c>
      <c r="B45" s="4" t="s">
        <v>138</v>
      </c>
      <c r="C45" s="4" t="s">
        <v>141</v>
      </c>
      <c r="D45" s="4" t="s">
        <v>155</v>
      </c>
      <c r="E45" s="16" t="s">
        <v>156</v>
      </c>
    </row>
    <row r="46" spans="1:5" x14ac:dyDescent="0.25">
      <c r="A46" s="25" t="s">
        <v>75</v>
      </c>
      <c r="B46" s="4" t="s">
        <v>138</v>
      </c>
      <c r="C46" s="4" t="s">
        <v>141</v>
      </c>
      <c r="D46" s="4" t="s">
        <v>157</v>
      </c>
      <c r="E46" s="16" t="s">
        <v>158</v>
      </c>
    </row>
    <row r="48" spans="1:5" ht="14.4" x14ac:dyDescent="0.3">
      <c r="A48" s="26"/>
      <c r="B48" s="27" t="s">
        <v>159</v>
      </c>
    </row>
    <row r="49" spans="1:5" ht="13.8" x14ac:dyDescent="0.25">
      <c r="A49" s="29" t="s">
        <v>129</v>
      </c>
      <c r="B49" s="29" t="s">
        <v>130</v>
      </c>
      <c r="C49" s="29" t="s">
        <v>131</v>
      </c>
      <c r="D49" s="29" t="s">
        <v>132</v>
      </c>
      <c r="E49" s="29" t="s">
        <v>133</v>
      </c>
    </row>
    <row r="50" spans="1:5" x14ac:dyDescent="0.25">
      <c r="A50" s="25" t="s">
        <v>115</v>
      </c>
      <c r="B50" s="4" t="s">
        <v>160</v>
      </c>
      <c r="C50" s="4" t="s">
        <v>135</v>
      </c>
      <c r="D50" s="4" t="s">
        <v>161</v>
      </c>
      <c r="E50" s="16" t="s">
        <v>162</v>
      </c>
    </row>
  </sheetData>
  <mergeCells count="16">
    <mergeCell ref="T3:T4"/>
    <mergeCell ref="A1:U2"/>
    <mergeCell ref="G3:J3"/>
    <mergeCell ref="K3:N3"/>
    <mergeCell ref="O3:R3"/>
    <mergeCell ref="A3:A4"/>
    <mergeCell ref="B3:B4"/>
    <mergeCell ref="C3:C4"/>
    <mergeCell ref="U3:U4"/>
    <mergeCell ref="F3:F4"/>
    <mergeCell ref="E3:E4"/>
    <mergeCell ref="A5:R5"/>
    <mergeCell ref="A9:R9"/>
    <mergeCell ref="A15:R15"/>
    <mergeCell ref="D3:D4"/>
    <mergeCell ref="S3:S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A3" sqref="A3:A4"/>
    </sheetView>
  </sheetViews>
  <sheetFormatPr defaultColWidth="9.109375" defaultRowHeight="13.2" x14ac:dyDescent="0.25"/>
  <cols>
    <col min="1" max="1" width="26" style="4" bestFit="1" customWidth="1"/>
    <col min="2" max="2" width="28.44140625" style="4" bestFit="1" customWidth="1"/>
    <col min="3" max="3" width="15.5546875" style="4" bestFit="1" customWidth="1"/>
    <col min="4" max="4" width="11.88671875" style="4" bestFit="1" customWidth="1"/>
    <col min="5" max="5" width="22.6640625" style="4" bestFit="1" customWidth="1"/>
    <col min="6" max="6" width="29.109375" style="4" bestFit="1" customWidth="1"/>
    <col min="7" max="9" width="5.5546875" style="3" customWidth="1"/>
    <col min="10" max="10" width="4.88671875" style="3" customWidth="1"/>
    <col min="11" max="11" width="11.33203125" style="16" bestFit="1" customWidth="1"/>
    <col min="12" max="12" width="8.5546875" style="2" bestFit="1" customWidth="1"/>
    <col min="13" max="13" width="12" style="4" bestFit="1" customWidth="1"/>
    <col min="14" max="16384" width="9.109375" style="3"/>
  </cols>
  <sheetData>
    <row r="1" spans="1:13" s="2" customFormat="1" ht="29.1" customHeight="1" x14ac:dyDescent="0.25">
      <c r="A1" s="39" t="s">
        <v>1370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13</v>
      </c>
      <c r="H3" s="37"/>
      <c r="I3" s="37"/>
      <c r="J3" s="37"/>
      <c r="K3" s="37" t="s">
        <v>605</v>
      </c>
      <c r="L3" s="37" t="s">
        <v>3</v>
      </c>
      <c r="M3" s="48" t="s">
        <v>2</v>
      </c>
    </row>
    <row r="4" spans="1:13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38"/>
      <c r="L4" s="38"/>
      <c r="M4" s="49"/>
    </row>
    <row r="5" spans="1:13" ht="15.6" x14ac:dyDescent="0.3">
      <c r="A5" s="34" t="s">
        <v>163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5">
      <c r="A6" s="28" t="s">
        <v>961</v>
      </c>
      <c r="B6" s="28" t="s">
        <v>962</v>
      </c>
      <c r="C6" s="28" t="s">
        <v>963</v>
      </c>
      <c r="D6" s="28" t="str">
        <f>"0,6806"</f>
        <v>0,6806</v>
      </c>
      <c r="E6" s="28" t="s">
        <v>20</v>
      </c>
      <c r="F6" s="28" t="s">
        <v>204</v>
      </c>
      <c r="G6" s="30" t="s">
        <v>506</v>
      </c>
      <c r="H6" s="31" t="s">
        <v>411</v>
      </c>
      <c r="I6" s="31" t="s">
        <v>411</v>
      </c>
      <c r="J6" s="31"/>
      <c r="K6" s="32" t="str">
        <f>"137,5"</f>
        <v>137,5</v>
      </c>
      <c r="L6" s="33" t="str">
        <f>"93,5825"</f>
        <v>93,5825</v>
      </c>
      <c r="M6" s="28" t="s">
        <v>964</v>
      </c>
    </row>
    <row r="8" spans="1:13" ht="15.6" x14ac:dyDescent="0.3">
      <c r="A8" s="36" t="s">
        <v>84</v>
      </c>
      <c r="B8" s="36"/>
      <c r="C8" s="36"/>
      <c r="D8" s="36"/>
      <c r="E8" s="36"/>
      <c r="F8" s="36"/>
      <c r="G8" s="36"/>
      <c r="H8" s="36"/>
      <c r="I8" s="36"/>
      <c r="J8" s="36"/>
    </row>
    <row r="9" spans="1:13" x14ac:dyDescent="0.25">
      <c r="A9" s="6" t="s">
        <v>966</v>
      </c>
      <c r="B9" s="6" t="s">
        <v>967</v>
      </c>
      <c r="C9" s="6" t="s">
        <v>968</v>
      </c>
      <c r="D9" s="6" t="str">
        <f>"0,6024"</f>
        <v>0,6024</v>
      </c>
      <c r="E9" s="6" t="s">
        <v>20</v>
      </c>
      <c r="F9" s="6" t="s">
        <v>204</v>
      </c>
      <c r="G9" s="7" t="s">
        <v>47</v>
      </c>
      <c r="H9" s="7" t="s">
        <v>969</v>
      </c>
      <c r="I9" s="8" t="s">
        <v>65</v>
      </c>
      <c r="J9" s="8"/>
      <c r="K9" s="17" t="str">
        <f>"287,5"</f>
        <v>287,5</v>
      </c>
      <c r="L9" s="18" t="str">
        <f>"173,1900"</f>
        <v>173,1900</v>
      </c>
      <c r="M9" s="6" t="s">
        <v>500</v>
      </c>
    </row>
    <row r="10" spans="1:13" x14ac:dyDescent="0.25">
      <c r="A10" s="12" t="s">
        <v>971</v>
      </c>
      <c r="B10" s="12" t="s">
        <v>972</v>
      </c>
      <c r="C10" s="12" t="s">
        <v>973</v>
      </c>
      <c r="D10" s="12" t="str">
        <f>"0,5902"</f>
        <v>0,5902</v>
      </c>
      <c r="E10" s="12" t="s">
        <v>20</v>
      </c>
      <c r="F10" s="12" t="s">
        <v>634</v>
      </c>
      <c r="G10" s="14" t="s">
        <v>24</v>
      </c>
      <c r="H10" s="13" t="s">
        <v>24</v>
      </c>
      <c r="I10" s="14" t="s">
        <v>199</v>
      </c>
      <c r="J10" s="14"/>
      <c r="K10" s="21" t="str">
        <f>"230,0"</f>
        <v>230,0</v>
      </c>
      <c r="L10" s="22" t="str">
        <f>"135,7460"</f>
        <v>135,7460</v>
      </c>
      <c r="M10" s="12" t="s">
        <v>120</v>
      </c>
    </row>
    <row r="11" spans="1:13" x14ac:dyDescent="0.25">
      <c r="A11" s="12" t="s">
        <v>975</v>
      </c>
      <c r="B11" s="12" t="s">
        <v>976</v>
      </c>
      <c r="C11" s="12" t="s">
        <v>977</v>
      </c>
      <c r="D11" s="12" t="str">
        <f>"0,5966"</f>
        <v>0,5966</v>
      </c>
      <c r="E11" s="12" t="s">
        <v>20</v>
      </c>
      <c r="F11" s="12" t="s">
        <v>204</v>
      </c>
      <c r="G11" s="13" t="s">
        <v>22</v>
      </c>
      <c r="H11" s="13" t="s">
        <v>71</v>
      </c>
      <c r="I11" s="14" t="s">
        <v>23</v>
      </c>
      <c r="J11" s="14"/>
      <c r="K11" s="21" t="str">
        <f>"210,0"</f>
        <v>210,0</v>
      </c>
      <c r="L11" s="22" t="str">
        <f>"125,2860"</f>
        <v>125,2860</v>
      </c>
      <c r="M11" s="12" t="s">
        <v>120</v>
      </c>
    </row>
    <row r="12" spans="1:13" x14ac:dyDescent="0.25">
      <c r="A12" s="9" t="s">
        <v>978</v>
      </c>
      <c r="B12" s="9" t="s">
        <v>423</v>
      </c>
      <c r="C12" s="9" t="s">
        <v>979</v>
      </c>
      <c r="D12" s="9" t="str">
        <f>"0,6028"</f>
        <v>0,6028</v>
      </c>
      <c r="E12" s="9" t="s">
        <v>20</v>
      </c>
      <c r="F12" s="9" t="s">
        <v>204</v>
      </c>
      <c r="G12" s="11" t="s">
        <v>64</v>
      </c>
      <c r="H12" s="11" t="s">
        <v>64</v>
      </c>
      <c r="I12" s="11" t="s">
        <v>64</v>
      </c>
      <c r="J12" s="11"/>
      <c r="K12" s="19" t="str">
        <f>"0.00"</f>
        <v>0.00</v>
      </c>
      <c r="L12" s="20" t="str">
        <f>"0,0000"</f>
        <v>0,0000</v>
      </c>
      <c r="M12" s="9" t="s">
        <v>980</v>
      </c>
    </row>
    <row r="14" spans="1:13" ht="15" x14ac:dyDescent="0.25">
      <c r="E14" s="15" t="s">
        <v>121</v>
      </c>
    </row>
    <row r="15" spans="1:13" ht="15" x14ac:dyDescent="0.25">
      <c r="E15" s="15" t="s">
        <v>122</v>
      </c>
    </row>
    <row r="16" spans="1:13" ht="15" x14ac:dyDescent="0.25">
      <c r="E16" s="15" t="s">
        <v>123</v>
      </c>
    </row>
    <row r="17" spans="1:5" ht="15" x14ac:dyDescent="0.25">
      <c r="E17" s="15" t="s">
        <v>124</v>
      </c>
    </row>
    <row r="18" spans="1:5" ht="15" x14ac:dyDescent="0.25">
      <c r="E18" s="15" t="s">
        <v>124</v>
      </c>
    </row>
    <row r="19" spans="1:5" ht="15" x14ac:dyDescent="0.25">
      <c r="E19" s="15" t="s">
        <v>125</v>
      </c>
    </row>
    <row r="20" spans="1:5" ht="15" x14ac:dyDescent="0.25">
      <c r="E20" s="15"/>
    </row>
    <row r="22" spans="1:5" ht="17.399999999999999" x14ac:dyDescent="0.3">
      <c r="A22" s="23" t="s">
        <v>126</v>
      </c>
      <c r="B22" s="23"/>
    </row>
    <row r="23" spans="1:5" ht="15.6" x14ac:dyDescent="0.3">
      <c r="A23" s="24" t="s">
        <v>127</v>
      </c>
      <c r="B23" s="24"/>
    </row>
    <row r="24" spans="1:5" ht="14.4" x14ac:dyDescent="0.3">
      <c r="A24" s="26"/>
      <c r="B24" s="27" t="s">
        <v>128</v>
      </c>
    </row>
    <row r="25" spans="1:5" ht="13.8" x14ac:dyDescent="0.25">
      <c r="A25" s="29" t="s">
        <v>129</v>
      </c>
      <c r="B25" s="29" t="s">
        <v>130</v>
      </c>
      <c r="C25" s="29" t="s">
        <v>131</v>
      </c>
      <c r="D25" s="29" t="s">
        <v>584</v>
      </c>
      <c r="E25" s="29" t="s">
        <v>133</v>
      </c>
    </row>
    <row r="26" spans="1:5" x14ac:dyDescent="0.25">
      <c r="A26" s="25" t="s">
        <v>960</v>
      </c>
      <c r="B26" s="4" t="s">
        <v>134</v>
      </c>
      <c r="C26" s="4" t="s">
        <v>234</v>
      </c>
      <c r="D26" s="4" t="s">
        <v>506</v>
      </c>
      <c r="E26" s="16" t="s">
        <v>981</v>
      </c>
    </row>
    <row r="28" spans="1:5" ht="14.4" x14ac:dyDescent="0.3">
      <c r="A28" s="26"/>
      <c r="B28" s="27" t="s">
        <v>138</v>
      </c>
    </row>
    <row r="29" spans="1:5" ht="13.8" x14ac:dyDescent="0.25">
      <c r="A29" s="29" t="s">
        <v>129</v>
      </c>
      <c r="B29" s="29" t="s">
        <v>130</v>
      </c>
      <c r="C29" s="29" t="s">
        <v>131</v>
      </c>
      <c r="D29" s="29" t="s">
        <v>584</v>
      </c>
      <c r="E29" s="29" t="s">
        <v>133</v>
      </c>
    </row>
    <row r="30" spans="1:5" x14ac:dyDescent="0.25">
      <c r="A30" s="25" t="s">
        <v>965</v>
      </c>
      <c r="B30" s="4" t="s">
        <v>138</v>
      </c>
      <c r="C30" s="4" t="s">
        <v>135</v>
      </c>
      <c r="D30" s="4" t="s">
        <v>969</v>
      </c>
      <c r="E30" s="16" t="s">
        <v>982</v>
      </c>
    </row>
    <row r="31" spans="1:5" x14ac:dyDescent="0.25">
      <c r="A31" s="25" t="s">
        <v>970</v>
      </c>
      <c r="B31" s="4" t="s">
        <v>138</v>
      </c>
      <c r="C31" s="4" t="s">
        <v>135</v>
      </c>
      <c r="D31" s="4" t="s">
        <v>24</v>
      </c>
      <c r="E31" s="16" t="s">
        <v>983</v>
      </c>
    </row>
    <row r="32" spans="1:5" x14ac:dyDescent="0.25">
      <c r="A32" s="25" t="s">
        <v>974</v>
      </c>
      <c r="B32" s="4" t="s">
        <v>138</v>
      </c>
      <c r="C32" s="4" t="s">
        <v>135</v>
      </c>
      <c r="D32" s="4" t="s">
        <v>71</v>
      </c>
      <c r="E32" s="16" t="s">
        <v>984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workbookViewId="0">
      <selection activeCell="M8" sqref="M8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11.88671875" style="4" bestFit="1" customWidth="1"/>
    <col min="5" max="5" width="22.6640625" style="4" bestFit="1" customWidth="1"/>
    <col min="6" max="6" width="33" style="4" bestFit="1" customWidth="1"/>
    <col min="7" max="10" width="5.5546875" style="3" customWidth="1"/>
    <col min="11" max="11" width="11.33203125" style="16" bestFit="1" customWidth="1"/>
    <col min="12" max="12" width="8.5546875" style="2" bestFit="1" customWidth="1"/>
    <col min="13" max="13" width="30.6640625" style="4" bestFit="1" customWidth="1"/>
    <col min="14" max="16384" width="9.109375" style="3"/>
  </cols>
  <sheetData>
    <row r="1" spans="1:13" s="2" customFormat="1" ht="29.1" customHeight="1" x14ac:dyDescent="0.25">
      <c r="A1" s="39" t="s">
        <v>1371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13</v>
      </c>
      <c r="H3" s="37"/>
      <c r="I3" s="37"/>
      <c r="J3" s="37"/>
      <c r="K3" s="37" t="s">
        <v>605</v>
      </c>
      <c r="L3" s="37" t="s">
        <v>3</v>
      </c>
      <c r="M3" s="48" t="s">
        <v>2</v>
      </c>
    </row>
    <row r="4" spans="1:13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38"/>
      <c r="L4" s="38"/>
      <c r="M4" s="49"/>
    </row>
    <row r="5" spans="1:13" ht="15.6" x14ac:dyDescent="0.3">
      <c r="A5" s="34" t="s">
        <v>313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5">
      <c r="A6" s="28" t="s">
        <v>617</v>
      </c>
      <c r="B6" s="28" t="s">
        <v>618</v>
      </c>
      <c r="C6" s="28" t="s">
        <v>619</v>
      </c>
      <c r="D6" s="28" t="str">
        <f>"1,3305"</f>
        <v>1,3305</v>
      </c>
      <c r="E6" s="28" t="s">
        <v>20</v>
      </c>
      <c r="F6" s="28" t="s">
        <v>185</v>
      </c>
      <c r="G6" s="30" t="s">
        <v>354</v>
      </c>
      <c r="H6" s="30" t="s">
        <v>322</v>
      </c>
      <c r="I6" s="31" t="s">
        <v>323</v>
      </c>
      <c r="J6" s="31"/>
      <c r="K6" s="32" t="str">
        <f>"45,0"</f>
        <v>45,0</v>
      </c>
      <c r="L6" s="33" t="str">
        <f>"59,8725"</f>
        <v>59,8725</v>
      </c>
      <c r="M6" s="28" t="s">
        <v>620</v>
      </c>
    </row>
    <row r="8" spans="1:13" ht="15.6" x14ac:dyDescent="0.3">
      <c r="A8" s="36" t="s">
        <v>325</v>
      </c>
      <c r="B8" s="36"/>
      <c r="C8" s="36"/>
      <c r="D8" s="36"/>
      <c r="E8" s="36"/>
      <c r="F8" s="36"/>
      <c r="G8" s="36"/>
      <c r="H8" s="36"/>
      <c r="I8" s="36"/>
      <c r="J8" s="36"/>
    </row>
    <row r="9" spans="1:13" x14ac:dyDescent="0.25">
      <c r="A9" s="28" t="s">
        <v>622</v>
      </c>
      <c r="B9" s="28" t="s">
        <v>623</v>
      </c>
      <c r="C9" s="28" t="s">
        <v>624</v>
      </c>
      <c r="D9" s="28" t="str">
        <f>"1,2578"</f>
        <v>1,2578</v>
      </c>
      <c r="E9" s="28" t="s">
        <v>20</v>
      </c>
      <c r="F9" s="28" t="s">
        <v>46</v>
      </c>
      <c r="G9" s="31" t="s">
        <v>346</v>
      </c>
      <c r="H9" s="31" t="s">
        <v>346</v>
      </c>
      <c r="I9" s="30" t="s">
        <v>346</v>
      </c>
      <c r="J9" s="31"/>
      <c r="K9" s="32" t="str">
        <f>"55,0"</f>
        <v>55,0</v>
      </c>
      <c r="L9" s="33" t="str">
        <f>"69,1790"</f>
        <v>69,1790</v>
      </c>
      <c r="M9" s="28" t="s">
        <v>120</v>
      </c>
    </row>
    <row r="11" spans="1:13" ht="15.6" x14ac:dyDescent="0.3">
      <c r="A11" s="36" t="s">
        <v>625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3" x14ac:dyDescent="0.25">
      <c r="A12" s="6" t="s">
        <v>627</v>
      </c>
      <c r="B12" s="6" t="s">
        <v>628</v>
      </c>
      <c r="C12" s="6" t="s">
        <v>629</v>
      </c>
      <c r="D12" s="6" t="str">
        <f>"1,2036"</f>
        <v>1,2036</v>
      </c>
      <c r="E12" s="6" t="s">
        <v>20</v>
      </c>
      <c r="F12" s="6" t="s">
        <v>46</v>
      </c>
      <c r="G12" s="7" t="s">
        <v>330</v>
      </c>
      <c r="H12" s="8" t="s">
        <v>332</v>
      </c>
      <c r="I12" s="7" t="s">
        <v>332</v>
      </c>
      <c r="J12" s="8"/>
      <c r="K12" s="17" t="str">
        <f>"65,0"</f>
        <v>65,0</v>
      </c>
      <c r="L12" s="18" t="str">
        <f>"78,2340"</f>
        <v>78,2340</v>
      </c>
      <c r="M12" s="6" t="s">
        <v>110</v>
      </c>
    </row>
    <row r="13" spans="1:13" x14ac:dyDescent="0.25">
      <c r="A13" s="12" t="s">
        <v>631</v>
      </c>
      <c r="B13" s="12" t="s">
        <v>632</v>
      </c>
      <c r="C13" s="12" t="s">
        <v>633</v>
      </c>
      <c r="D13" s="12" t="str">
        <f>"1,1883"</f>
        <v>1,1883</v>
      </c>
      <c r="E13" s="12" t="s">
        <v>280</v>
      </c>
      <c r="F13" s="12" t="s">
        <v>634</v>
      </c>
      <c r="G13" s="13" t="s">
        <v>323</v>
      </c>
      <c r="H13" s="13" t="s">
        <v>339</v>
      </c>
      <c r="I13" s="14" t="s">
        <v>340</v>
      </c>
      <c r="J13" s="14"/>
      <c r="K13" s="21" t="str">
        <f>"50,0"</f>
        <v>50,0</v>
      </c>
      <c r="L13" s="22" t="str">
        <f>"59,4150"</f>
        <v>59,4150</v>
      </c>
      <c r="M13" s="12" t="s">
        <v>635</v>
      </c>
    </row>
    <row r="14" spans="1:13" x14ac:dyDescent="0.25">
      <c r="A14" s="12" t="s">
        <v>637</v>
      </c>
      <c r="B14" s="12" t="s">
        <v>638</v>
      </c>
      <c r="C14" s="12" t="s">
        <v>639</v>
      </c>
      <c r="D14" s="12" t="str">
        <f>"1,1916"</f>
        <v>1,1916</v>
      </c>
      <c r="E14" s="12" t="s">
        <v>20</v>
      </c>
      <c r="F14" s="12" t="s">
        <v>46</v>
      </c>
      <c r="G14" s="13" t="s">
        <v>321</v>
      </c>
      <c r="H14" s="13" t="s">
        <v>322</v>
      </c>
      <c r="I14" s="13" t="s">
        <v>323</v>
      </c>
      <c r="J14" s="14"/>
      <c r="K14" s="21" t="str">
        <f>"47,5"</f>
        <v>47,5</v>
      </c>
      <c r="L14" s="22" t="str">
        <f>"56,6010"</f>
        <v>56,6010</v>
      </c>
      <c r="M14" s="12" t="s">
        <v>389</v>
      </c>
    </row>
    <row r="15" spans="1:13" x14ac:dyDescent="0.25">
      <c r="A15" s="9" t="s">
        <v>641</v>
      </c>
      <c r="B15" s="9" t="s">
        <v>642</v>
      </c>
      <c r="C15" s="9" t="s">
        <v>643</v>
      </c>
      <c r="D15" s="9" t="str">
        <f>"1,2054"</f>
        <v>1,2054</v>
      </c>
      <c r="E15" s="9" t="s">
        <v>20</v>
      </c>
      <c r="F15" s="9" t="s">
        <v>644</v>
      </c>
      <c r="G15" s="10" t="s">
        <v>354</v>
      </c>
      <c r="H15" s="10" t="s">
        <v>321</v>
      </c>
      <c r="I15" s="11" t="s">
        <v>322</v>
      </c>
      <c r="J15" s="11"/>
      <c r="K15" s="19" t="str">
        <f>"42,5"</f>
        <v>42,5</v>
      </c>
      <c r="L15" s="20" t="str">
        <f>"51,2295"</f>
        <v>51,2295</v>
      </c>
      <c r="M15" s="9" t="s">
        <v>645</v>
      </c>
    </row>
    <row r="17" spans="1:13" ht="15.6" x14ac:dyDescent="0.3">
      <c r="A17" s="36" t="s">
        <v>258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3" x14ac:dyDescent="0.25">
      <c r="A18" s="28" t="s">
        <v>647</v>
      </c>
      <c r="B18" s="28" t="s">
        <v>648</v>
      </c>
      <c r="C18" s="28" t="s">
        <v>649</v>
      </c>
      <c r="D18" s="28" t="str">
        <f>"1,1355"</f>
        <v>1,1355</v>
      </c>
      <c r="E18" s="28" t="s">
        <v>20</v>
      </c>
      <c r="F18" s="28" t="s">
        <v>79</v>
      </c>
      <c r="G18" s="30" t="s">
        <v>340</v>
      </c>
      <c r="H18" s="31" t="s">
        <v>346</v>
      </c>
      <c r="I18" s="31" t="s">
        <v>377</v>
      </c>
      <c r="J18" s="31"/>
      <c r="K18" s="32" t="str">
        <f>"52,5"</f>
        <v>52,5</v>
      </c>
      <c r="L18" s="33" t="str">
        <f>"59,6137"</f>
        <v>59,6137</v>
      </c>
      <c r="M18" s="28" t="s">
        <v>389</v>
      </c>
    </row>
    <row r="20" spans="1:13" ht="15.6" x14ac:dyDescent="0.3">
      <c r="A20" s="36" t="s">
        <v>356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3" x14ac:dyDescent="0.25">
      <c r="A21" s="28" t="s">
        <v>651</v>
      </c>
      <c r="B21" s="28" t="s">
        <v>652</v>
      </c>
      <c r="C21" s="28" t="s">
        <v>653</v>
      </c>
      <c r="D21" s="28" t="str">
        <f>"1,0714"</f>
        <v>1,0714</v>
      </c>
      <c r="E21" s="28" t="s">
        <v>20</v>
      </c>
      <c r="F21" s="28" t="s">
        <v>46</v>
      </c>
      <c r="G21" s="30" t="s">
        <v>654</v>
      </c>
      <c r="H21" s="30" t="s">
        <v>361</v>
      </c>
      <c r="I21" s="31" t="s">
        <v>354</v>
      </c>
      <c r="J21" s="31"/>
      <c r="K21" s="32" t="str">
        <f>"35,0"</f>
        <v>35,0</v>
      </c>
      <c r="L21" s="33" t="str">
        <f>"39,1115"</f>
        <v>39,1115</v>
      </c>
      <c r="M21" s="28" t="s">
        <v>655</v>
      </c>
    </row>
    <row r="23" spans="1:13" ht="15.6" x14ac:dyDescent="0.3">
      <c r="A23" s="36" t="s">
        <v>625</v>
      </c>
      <c r="B23" s="36"/>
      <c r="C23" s="36"/>
      <c r="D23" s="36"/>
      <c r="E23" s="36"/>
      <c r="F23" s="36"/>
      <c r="G23" s="36"/>
      <c r="H23" s="36"/>
      <c r="I23" s="36"/>
      <c r="J23" s="36"/>
    </row>
    <row r="24" spans="1:13" x14ac:dyDescent="0.25">
      <c r="A24" s="6" t="s">
        <v>657</v>
      </c>
      <c r="B24" s="6" t="s">
        <v>658</v>
      </c>
      <c r="C24" s="6" t="s">
        <v>659</v>
      </c>
      <c r="D24" s="6" t="str">
        <f>"0,9439"</f>
        <v>0,9439</v>
      </c>
      <c r="E24" s="6" t="s">
        <v>20</v>
      </c>
      <c r="F24" s="6" t="s">
        <v>46</v>
      </c>
      <c r="G24" s="7" t="s">
        <v>331</v>
      </c>
      <c r="H24" s="7" t="s">
        <v>332</v>
      </c>
      <c r="I24" s="8" t="s">
        <v>367</v>
      </c>
      <c r="J24" s="8"/>
      <c r="K24" s="17" t="str">
        <f>"65,0"</f>
        <v>65,0</v>
      </c>
      <c r="L24" s="18" t="str">
        <f>"61,3535"</f>
        <v>61,3535</v>
      </c>
      <c r="M24" s="6" t="s">
        <v>660</v>
      </c>
    </row>
    <row r="25" spans="1:13" x14ac:dyDescent="0.25">
      <c r="A25" s="12" t="s">
        <v>662</v>
      </c>
      <c r="B25" s="12" t="s">
        <v>663</v>
      </c>
      <c r="C25" s="12" t="s">
        <v>664</v>
      </c>
      <c r="D25" s="12" t="str">
        <f>"0,9168"</f>
        <v>0,9168</v>
      </c>
      <c r="E25" s="12" t="s">
        <v>20</v>
      </c>
      <c r="F25" s="12" t="s">
        <v>46</v>
      </c>
      <c r="G25" s="13" t="s">
        <v>322</v>
      </c>
      <c r="H25" s="13" t="s">
        <v>339</v>
      </c>
      <c r="I25" s="13" t="s">
        <v>340</v>
      </c>
      <c r="J25" s="14"/>
      <c r="K25" s="21" t="str">
        <f>"52,5"</f>
        <v>52,5</v>
      </c>
      <c r="L25" s="22" t="str">
        <f>"48,1320"</f>
        <v>48,1320</v>
      </c>
      <c r="M25" s="12" t="s">
        <v>665</v>
      </c>
    </row>
    <row r="26" spans="1:13" x14ac:dyDescent="0.25">
      <c r="A26" s="9" t="s">
        <v>667</v>
      </c>
      <c r="B26" s="9" t="s">
        <v>668</v>
      </c>
      <c r="C26" s="9" t="s">
        <v>669</v>
      </c>
      <c r="D26" s="9" t="str">
        <f>"0,9639"</f>
        <v>0,9639</v>
      </c>
      <c r="E26" s="9" t="s">
        <v>20</v>
      </c>
      <c r="F26" s="9" t="s">
        <v>46</v>
      </c>
      <c r="G26" s="10" t="s">
        <v>353</v>
      </c>
      <c r="H26" s="10" t="s">
        <v>321</v>
      </c>
      <c r="I26" s="10" t="s">
        <v>322</v>
      </c>
      <c r="J26" s="11"/>
      <c r="K26" s="19" t="str">
        <f>"45,0"</f>
        <v>45,0</v>
      </c>
      <c r="L26" s="20" t="str">
        <f>"43,3755"</f>
        <v>43,3755</v>
      </c>
      <c r="M26" s="9" t="s">
        <v>670</v>
      </c>
    </row>
    <row r="28" spans="1:13" ht="15.6" x14ac:dyDescent="0.3">
      <c r="A28" s="36" t="s">
        <v>172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3" x14ac:dyDescent="0.25">
      <c r="A29" s="6" t="s">
        <v>672</v>
      </c>
      <c r="B29" s="6" t="s">
        <v>673</v>
      </c>
      <c r="C29" s="6" t="s">
        <v>674</v>
      </c>
      <c r="D29" s="6" t="str">
        <f>"0,7166"</f>
        <v>0,7166</v>
      </c>
      <c r="E29" s="6" t="s">
        <v>20</v>
      </c>
      <c r="F29" s="6" t="s">
        <v>46</v>
      </c>
      <c r="G29" s="7" t="s">
        <v>178</v>
      </c>
      <c r="H29" s="7" t="s">
        <v>403</v>
      </c>
      <c r="I29" s="8" t="s">
        <v>506</v>
      </c>
      <c r="J29" s="8"/>
      <c r="K29" s="17" t="str">
        <f>"132,5"</f>
        <v>132,5</v>
      </c>
      <c r="L29" s="18" t="str">
        <f>"94,9495"</f>
        <v>94,9495</v>
      </c>
      <c r="M29" s="6" t="s">
        <v>675</v>
      </c>
    </row>
    <row r="30" spans="1:13" x14ac:dyDescent="0.25">
      <c r="A30" s="12" t="s">
        <v>677</v>
      </c>
      <c r="B30" s="12" t="s">
        <v>678</v>
      </c>
      <c r="C30" s="12" t="s">
        <v>674</v>
      </c>
      <c r="D30" s="12" t="str">
        <f>"0,7166"</f>
        <v>0,7166</v>
      </c>
      <c r="E30" s="12" t="s">
        <v>20</v>
      </c>
      <c r="F30" s="12" t="s">
        <v>46</v>
      </c>
      <c r="G30" s="13" t="s">
        <v>179</v>
      </c>
      <c r="H30" s="14" t="s">
        <v>506</v>
      </c>
      <c r="I30" s="14" t="s">
        <v>506</v>
      </c>
      <c r="J30" s="14"/>
      <c r="K30" s="21" t="str">
        <f>"130,0"</f>
        <v>130,0</v>
      </c>
      <c r="L30" s="22" t="str">
        <f>"93,1580"</f>
        <v>93,1580</v>
      </c>
      <c r="M30" s="12" t="s">
        <v>120</v>
      </c>
    </row>
    <row r="31" spans="1:13" x14ac:dyDescent="0.25">
      <c r="A31" s="12" t="s">
        <v>680</v>
      </c>
      <c r="B31" s="12" t="s">
        <v>681</v>
      </c>
      <c r="C31" s="12" t="s">
        <v>682</v>
      </c>
      <c r="D31" s="12" t="str">
        <f>"0,7193"</f>
        <v>0,7193</v>
      </c>
      <c r="E31" s="12" t="s">
        <v>20</v>
      </c>
      <c r="F31" s="12" t="s">
        <v>46</v>
      </c>
      <c r="G31" s="13" t="s">
        <v>170</v>
      </c>
      <c r="H31" s="14" t="s">
        <v>177</v>
      </c>
      <c r="I31" s="14" t="s">
        <v>177</v>
      </c>
      <c r="J31" s="14"/>
      <c r="K31" s="21" t="str">
        <f>"110,0"</f>
        <v>110,0</v>
      </c>
      <c r="L31" s="22" t="str">
        <f>"79,1230"</f>
        <v>79,1230</v>
      </c>
      <c r="M31" s="12" t="s">
        <v>683</v>
      </c>
    </row>
    <row r="32" spans="1:13" x14ac:dyDescent="0.25">
      <c r="A32" s="12" t="s">
        <v>672</v>
      </c>
      <c r="B32" s="12" t="s">
        <v>684</v>
      </c>
      <c r="C32" s="12" t="s">
        <v>674</v>
      </c>
      <c r="D32" s="12" t="str">
        <f>"0,7166"</f>
        <v>0,7166</v>
      </c>
      <c r="E32" s="12" t="s">
        <v>20</v>
      </c>
      <c r="F32" s="12" t="s">
        <v>46</v>
      </c>
      <c r="G32" s="13" t="s">
        <v>178</v>
      </c>
      <c r="H32" s="13" t="s">
        <v>403</v>
      </c>
      <c r="I32" s="14" t="s">
        <v>506</v>
      </c>
      <c r="J32" s="14"/>
      <c r="K32" s="21" t="str">
        <f>"132,5"</f>
        <v>132,5</v>
      </c>
      <c r="L32" s="22" t="str">
        <f>"94,9495"</f>
        <v>94,9495</v>
      </c>
      <c r="M32" s="12" t="s">
        <v>675</v>
      </c>
    </row>
    <row r="33" spans="1:13" x14ac:dyDescent="0.25">
      <c r="A33" s="12" t="s">
        <v>686</v>
      </c>
      <c r="B33" s="12" t="s">
        <v>687</v>
      </c>
      <c r="C33" s="12" t="s">
        <v>688</v>
      </c>
      <c r="D33" s="12" t="str">
        <f>"0,7159"</f>
        <v>0,7159</v>
      </c>
      <c r="E33" s="12" t="s">
        <v>20</v>
      </c>
      <c r="F33" s="12" t="s">
        <v>689</v>
      </c>
      <c r="G33" s="13" t="s">
        <v>170</v>
      </c>
      <c r="H33" s="14" t="s">
        <v>177</v>
      </c>
      <c r="I33" s="14" t="s">
        <v>177</v>
      </c>
      <c r="J33" s="14"/>
      <c r="K33" s="21" t="str">
        <f>"110,0"</f>
        <v>110,0</v>
      </c>
      <c r="L33" s="22" t="str">
        <f>"78,7490"</f>
        <v>78,7490</v>
      </c>
      <c r="M33" s="12" t="s">
        <v>690</v>
      </c>
    </row>
    <row r="34" spans="1:13" x14ac:dyDescent="0.25">
      <c r="A34" s="9" t="s">
        <v>692</v>
      </c>
      <c r="B34" s="9" t="s">
        <v>693</v>
      </c>
      <c r="C34" s="9" t="s">
        <v>694</v>
      </c>
      <c r="D34" s="9" t="str">
        <f>"0,7126"</f>
        <v>0,7126</v>
      </c>
      <c r="E34" s="9" t="s">
        <v>20</v>
      </c>
      <c r="F34" s="9" t="s">
        <v>549</v>
      </c>
      <c r="G34" s="10" t="s">
        <v>318</v>
      </c>
      <c r="H34" s="11" t="s">
        <v>319</v>
      </c>
      <c r="I34" s="11" t="s">
        <v>319</v>
      </c>
      <c r="J34" s="11"/>
      <c r="K34" s="19" t="str">
        <f>"80,0"</f>
        <v>80,0</v>
      </c>
      <c r="L34" s="20" t="str">
        <f>"122,1681"</f>
        <v>122,1681</v>
      </c>
      <c r="M34" s="9" t="s">
        <v>120</v>
      </c>
    </row>
    <row r="36" spans="1:13" ht="15.6" x14ac:dyDescent="0.3">
      <c r="A36" s="36" t="s">
        <v>163</v>
      </c>
      <c r="B36" s="36"/>
      <c r="C36" s="36"/>
      <c r="D36" s="36"/>
      <c r="E36" s="36"/>
      <c r="F36" s="36"/>
      <c r="G36" s="36"/>
      <c r="H36" s="36"/>
      <c r="I36" s="36"/>
      <c r="J36" s="36"/>
    </row>
    <row r="37" spans="1:13" x14ac:dyDescent="0.25">
      <c r="A37" s="6" t="s">
        <v>696</v>
      </c>
      <c r="B37" s="6" t="s">
        <v>697</v>
      </c>
      <c r="C37" s="6" t="s">
        <v>698</v>
      </c>
      <c r="D37" s="6" t="str">
        <f>"0,6709"</f>
        <v>0,6709</v>
      </c>
      <c r="E37" s="6" t="s">
        <v>20</v>
      </c>
      <c r="F37" s="6" t="s">
        <v>46</v>
      </c>
      <c r="G37" s="7" t="s">
        <v>187</v>
      </c>
      <c r="H37" s="7" t="s">
        <v>531</v>
      </c>
      <c r="I37" s="7" t="s">
        <v>188</v>
      </c>
      <c r="J37" s="8"/>
      <c r="K37" s="17" t="str">
        <f>"152,5"</f>
        <v>152,5</v>
      </c>
      <c r="L37" s="18" t="str">
        <f>"102,3122"</f>
        <v>102,3122</v>
      </c>
      <c r="M37" s="6" t="s">
        <v>120</v>
      </c>
    </row>
    <row r="38" spans="1:13" x14ac:dyDescent="0.25">
      <c r="A38" s="12" t="s">
        <v>700</v>
      </c>
      <c r="B38" s="12" t="s">
        <v>701</v>
      </c>
      <c r="C38" s="12" t="s">
        <v>702</v>
      </c>
      <c r="D38" s="12" t="str">
        <f>"0,6779"</f>
        <v>0,6779</v>
      </c>
      <c r="E38" s="12" t="s">
        <v>20</v>
      </c>
      <c r="F38" s="12" t="s">
        <v>703</v>
      </c>
      <c r="G38" s="13" t="s">
        <v>37</v>
      </c>
      <c r="H38" s="14" t="s">
        <v>531</v>
      </c>
      <c r="I38" s="13" t="s">
        <v>531</v>
      </c>
      <c r="J38" s="14"/>
      <c r="K38" s="21" t="str">
        <f>"147,5"</f>
        <v>147,5</v>
      </c>
      <c r="L38" s="22" t="str">
        <f>"99,9903"</f>
        <v>99,9903</v>
      </c>
      <c r="M38" s="12" t="s">
        <v>704</v>
      </c>
    </row>
    <row r="39" spans="1:13" x14ac:dyDescent="0.25">
      <c r="A39" s="12" t="s">
        <v>706</v>
      </c>
      <c r="B39" s="12" t="s">
        <v>707</v>
      </c>
      <c r="C39" s="12" t="s">
        <v>708</v>
      </c>
      <c r="D39" s="12" t="str">
        <f>"0,7042"</f>
        <v>0,7042</v>
      </c>
      <c r="E39" s="12" t="s">
        <v>20</v>
      </c>
      <c r="F39" s="12" t="s">
        <v>709</v>
      </c>
      <c r="G39" s="14"/>
      <c r="H39" s="13" t="s">
        <v>177</v>
      </c>
      <c r="I39" s="13" t="s">
        <v>179</v>
      </c>
      <c r="J39" s="14"/>
      <c r="K39" s="21" t="str">
        <f>"130,0"</f>
        <v>130,0</v>
      </c>
      <c r="L39" s="22" t="str">
        <f>"91,5460"</f>
        <v>91,5460</v>
      </c>
      <c r="M39" s="12" t="s">
        <v>710</v>
      </c>
    </row>
    <row r="40" spans="1:13" x14ac:dyDescent="0.25">
      <c r="A40" s="12" t="s">
        <v>712</v>
      </c>
      <c r="B40" s="12" t="s">
        <v>713</v>
      </c>
      <c r="C40" s="12" t="s">
        <v>714</v>
      </c>
      <c r="D40" s="12" t="str">
        <f>"0,6749"</f>
        <v>0,6749</v>
      </c>
      <c r="E40" s="12" t="s">
        <v>20</v>
      </c>
      <c r="F40" s="12" t="s">
        <v>715</v>
      </c>
      <c r="G40" s="13" t="s">
        <v>178</v>
      </c>
      <c r="H40" s="14" t="s">
        <v>179</v>
      </c>
      <c r="I40" s="14" t="s">
        <v>179</v>
      </c>
      <c r="J40" s="14"/>
      <c r="K40" s="21" t="str">
        <f>"125,0"</f>
        <v>125,0</v>
      </c>
      <c r="L40" s="22" t="str">
        <f>"84,3625"</f>
        <v>84,3625</v>
      </c>
      <c r="M40" s="12" t="s">
        <v>435</v>
      </c>
    </row>
    <row r="41" spans="1:13" x14ac:dyDescent="0.25">
      <c r="A41" s="12" t="s">
        <v>399</v>
      </c>
      <c r="B41" s="12" t="s">
        <v>400</v>
      </c>
      <c r="C41" s="12" t="s">
        <v>401</v>
      </c>
      <c r="D41" s="12" t="str">
        <f>"0,6774"</f>
        <v>0,6774</v>
      </c>
      <c r="E41" s="12" t="s">
        <v>20</v>
      </c>
      <c r="F41" s="12" t="s">
        <v>46</v>
      </c>
      <c r="G41" s="13" t="s">
        <v>177</v>
      </c>
      <c r="H41" s="13" t="s">
        <v>179</v>
      </c>
      <c r="I41" s="14" t="s">
        <v>403</v>
      </c>
      <c r="J41" s="14"/>
      <c r="K41" s="21" t="str">
        <f>"130,0"</f>
        <v>130,0</v>
      </c>
      <c r="L41" s="22" t="str">
        <f>"101,0071"</f>
        <v>101,0071</v>
      </c>
      <c r="M41" s="12" t="s">
        <v>406</v>
      </c>
    </row>
    <row r="42" spans="1:13" x14ac:dyDescent="0.25">
      <c r="A42" s="12" t="s">
        <v>408</v>
      </c>
      <c r="B42" s="12" t="s">
        <v>409</v>
      </c>
      <c r="C42" s="12" t="s">
        <v>410</v>
      </c>
      <c r="D42" s="12" t="str">
        <f>"0,6827"</f>
        <v>0,6827</v>
      </c>
      <c r="E42" s="12" t="s">
        <v>20</v>
      </c>
      <c r="F42" s="12" t="s">
        <v>35</v>
      </c>
      <c r="G42" s="13" t="s">
        <v>187</v>
      </c>
      <c r="H42" s="13" t="s">
        <v>37</v>
      </c>
      <c r="I42" s="13" t="s">
        <v>411</v>
      </c>
      <c r="J42" s="14"/>
      <c r="K42" s="21" t="str">
        <f>"142,5"</f>
        <v>142,5</v>
      </c>
      <c r="L42" s="22" t="str">
        <f>"121,2168"</f>
        <v>121,2168</v>
      </c>
      <c r="M42" s="12" t="s">
        <v>412</v>
      </c>
    </row>
    <row r="43" spans="1:13" x14ac:dyDescent="0.25">
      <c r="A43" s="12" t="s">
        <v>717</v>
      </c>
      <c r="B43" s="12" t="s">
        <v>718</v>
      </c>
      <c r="C43" s="12" t="s">
        <v>719</v>
      </c>
      <c r="D43" s="12" t="str">
        <f>"0,6945"</f>
        <v>0,6945</v>
      </c>
      <c r="E43" s="12" t="s">
        <v>20</v>
      </c>
      <c r="F43" s="12" t="s">
        <v>720</v>
      </c>
      <c r="G43" s="13" t="s">
        <v>324</v>
      </c>
      <c r="H43" s="14" t="s">
        <v>177</v>
      </c>
      <c r="I43" s="13" t="s">
        <v>178</v>
      </c>
      <c r="J43" s="14"/>
      <c r="K43" s="21" t="str">
        <f>"125,0"</f>
        <v>125,0</v>
      </c>
      <c r="L43" s="22" t="str">
        <f>"106,3453"</f>
        <v>106,3453</v>
      </c>
      <c r="M43" s="12" t="s">
        <v>645</v>
      </c>
    </row>
    <row r="44" spans="1:13" x14ac:dyDescent="0.25">
      <c r="A44" s="12" t="s">
        <v>722</v>
      </c>
      <c r="B44" s="12" t="s">
        <v>723</v>
      </c>
      <c r="C44" s="12" t="s">
        <v>724</v>
      </c>
      <c r="D44" s="12" t="str">
        <f>"0,7055"</f>
        <v>0,7055</v>
      </c>
      <c r="E44" s="12" t="s">
        <v>20</v>
      </c>
      <c r="F44" s="12" t="s">
        <v>270</v>
      </c>
      <c r="G44" s="13" t="s">
        <v>318</v>
      </c>
      <c r="H44" s="13" t="s">
        <v>320</v>
      </c>
      <c r="I44" s="14" t="s">
        <v>498</v>
      </c>
      <c r="J44" s="14"/>
      <c r="K44" s="21" t="str">
        <f>"85,0"</f>
        <v>85,0</v>
      </c>
      <c r="L44" s="22" t="str">
        <f>"85,2138"</f>
        <v>85,2138</v>
      </c>
      <c r="M44" s="12" t="s">
        <v>271</v>
      </c>
    </row>
    <row r="45" spans="1:13" x14ac:dyDescent="0.25">
      <c r="A45" s="12" t="s">
        <v>726</v>
      </c>
      <c r="B45" s="12" t="s">
        <v>727</v>
      </c>
      <c r="C45" s="12" t="s">
        <v>728</v>
      </c>
      <c r="D45" s="12" t="str">
        <f>"0,6785"</f>
        <v>0,6785</v>
      </c>
      <c r="E45" s="12" t="s">
        <v>20</v>
      </c>
      <c r="F45" s="12" t="s">
        <v>644</v>
      </c>
      <c r="G45" s="13" t="s">
        <v>170</v>
      </c>
      <c r="H45" s="13" t="s">
        <v>180</v>
      </c>
      <c r="I45" s="13" t="s">
        <v>177</v>
      </c>
      <c r="J45" s="14"/>
      <c r="K45" s="21" t="str">
        <f>"120,0"</f>
        <v>120,0</v>
      </c>
      <c r="L45" s="22" t="str">
        <f>"128,3179"</f>
        <v>128,3179</v>
      </c>
      <c r="M45" s="12" t="s">
        <v>645</v>
      </c>
    </row>
    <row r="46" spans="1:13" x14ac:dyDescent="0.25">
      <c r="A46" s="12" t="s">
        <v>513</v>
      </c>
      <c r="B46" s="12" t="s">
        <v>514</v>
      </c>
      <c r="C46" s="12" t="s">
        <v>515</v>
      </c>
      <c r="D46" s="12" t="str">
        <f>"0,6739"</f>
        <v>0,6739</v>
      </c>
      <c r="E46" s="12" t="s">
        <v>20</v>
      </c>
      <c r="F46" s="12" t="s">
        <v>516</v>
      </c>
      <c r="G46" s="13" t="s">
        <v>180</v>
      </c>
      <c r="H46" s="13" t="s">
        <v>82</v>
      </c>
      <c r="I46" s="13" t="s">
        <v>178</v>
      </c>
      <c r="J46" s="13" t="s">
        <v>83</v>
      </c>
      <c r="K46" s="21" t="str">
        <f>"125,0"</f>
        <v>125,0</v>
      </c>
      <c r="L46" s="22" t="str">
        <f>"158,0296"</f>
        <v>158,0296</v>
      </c>
      <c r="M46" s="12" t="s">
        <v>120</v>
      </c>
    </row>
    <row r="47" spans="1:13" x14ac:dyDescent="0.25">
      <c r="A47" s="9" t="s">
        <v>730</v>
      </c>
      <c r="B47" s="9" t="s">
        <v>731</v>
      </c>
      <c r="C47" s="9" t="s">
        <v>732</v>
      </c>
      <c r="D47" s="9" t="str">
        <f>"0,6811"</f>
        <v>0,6811</v>
      </c>
      <c r="E47" s="9" t="s">
        <v>20</v>
      </c>
      <c r="F47" s="9" t="s">
        <v>549</v>
      </c>
      <c r="G47" s="10" t="s">
        <v>318</v>
      </c>
      <c r="H47" s="11" t="s">
        <v>319</v>
      </c>
      <c r="I47" s="11"/>
      <c r="J47" s="11"/>
      <c r="K47" s="19" t="str">
        <f>"80,0"</f>
        <v>80,0</v>
      </c>
      <c r="L47" s="20" t="str">
        <f>"99,9855"</f>
        <v>99,9855</v>
      </c>
      <c r="M47" s="9" t="s">
        <v>733</v>
      </c>
    </row>
    <row r="49" spans="1:13" ht="15.6" x14ac:dyDescent="0.3">
      <c r="A49" s="36" t="s">
        <v>15</v>
      </c>
      <c r="B49" s="36"/>
      <c r="C49" s="36"/>
      <c r="D49" s="36"/>
      <c r="E49" s="36"/>
      <c r="F49" s="36"/>
      <c r="G49" s="36"/>
      <c r="H49" s="36"/>
      <c r="I49" s="36"/>
      <c r="J49" s="36"/>
    </row>
    <row r="50" spans="1:13" x14ac:dyDescent="0.25">
      <c r="A50" s="6" t="s">
        <v>735</v>
      </c>
      <c r="B50" s="6" t="s">
        <v>736</v>
      </c>
      <c r="C50" s="6" t="s">
        <v>737</v>
      </c>
      <c r="D50" s="6" t="str">
        <f>"0,6475"</f>
        <v>0,6475</v>
      </c>
      <c r="E50" s="6" t="s">
        <v>20</v>
      </c>
      <c r="F50" s="6" t="s">
        <v>738</v>
      </c>
      <c r="G50" s="7" t="s">
        <v>26</v>
      </c>
      <c r="H50" s="7" t="s">
        <v>62</v>
      </c>
      <c r="I50" s="7" t="s">
        <v>27</v>
      </c>
      <c r="J50" s="8"/>
      <c r="K50" s="17" t="str">
        <f>"165,0"</f>
        <v>165,0</v>
      </c>
      <c r="L50" s="18" t="str">
        <f>"106,8375"</f>
        <v>106,8375</v>
      </c>
      <c r="M50" s="6" t="s">
        <v>704</v>
      </c>
    </row>
    <row r="51" spans="1:13" x14ac:dyDescent="0.25">
      <c r="A51" s="12" t="s">
        <v>740</v>
      </c>
      <c r="B51" s="12" t="s">
        <v>741</v>
      </c>
      <c r="C51" s="12" t="s">
        <v>416</v>
      </c>
      <c r="D51" s="12" t="str">
        <f>"0,6436"</f>
        <v>0,6436</v>
      </c>
      <c r="E51" s="12" t="s">
        <v>20</v>
      </c>
      <c r="F51" s="12" t="s">
        <v>46</v>
      </c>
      <c r="G51" s="13" t="s">
        <v>179</v>
      </c>
      <c r="H51" s="13" t="s">
        <v>37</v>
      </c>
      <c r="I51" s="14" t="s">
        <v>38</v>
      </c>
      <c r="J51" s="14"/>
      <c r="K51" s="21" t="str">
        <f>"140,0"</f>
        <v>140,0</v>
      </c>
      <c r="L51" s="22" t="str">
        <f>"90,1040"</f>
        <v>90,1040</v>
      </c>
      <c r="M51" s="12" t="s">
        <v>742</v>
      </c>
    </row>
    <row r="52" spans="1:13" x14ac:dyDescent="0.25">
      <c r="A52" s="12" t="s">
        <v>744</v>
      </c>
      <c r="B52" s="12" t="s">
        <v>745</v>
      </c>
      <c r="C52" s="12" t="s">
        <v>746</v>
      </c>
      <c r="D52" s="12" t="str">
        <f>"0,6384"</f>
        <v>0,6384</v>
      </c>
      <c r="E52" s="12" t="s">
        <v>20</v>
      </c>
      <c r="F52" s="12" t="s">
        <v>46</v>
      </c>
      <c r="G52" s="13" t="s">
        <v>205</v>
      </c>
      <c r="H52" s="13" t="s">
        <v>48</v>
      </c>
      <c r="I52" s="14" t="s">
        <v>49</v>
      </c>
      <c r="J52" s="14"/>
      <c r="K52" s="21" t="str">
        <f>"180,0"</f>
        <v>180,0</v>
      </c>
      <c r="L52" s="22" t="str">
        <f>"114,9120"</f>
        <v>114,9120</v>
      </c>
      <c r="M52" s="12" t="s">
        <v>747</v>
      </c>
    </row>
    <row r="53" spans="1:13" x14ac:dyDescent="0.25">
      <c r="A53" s="12" t="s">
        <v>749</v>
      </c>
      <c r="B53" s="12" t="s">
        <v>750</v>
      </c>
      <c r="C53" s="12" t="s">
        <v>751</v>
      </c>
      <c r="D53" s="12" t="str">
        <f>"0,6444"</f>
        <v>0,6444</v>
      </c>
      <c r="E53" s="12" t="s">
        <v>20</v>
      </c>
      <c r="F53" s="12" t="s">
        <v>549</v>
      </c>
      <c r="G53" s="13" t="s">
        <v>62</v>
      </c>
      <c r="H53" s="13" t="s">
        <v>63</v>
      </c>
      <c r="I53" s="13" t="s">
        <v>107</v>
      </c>
      <c r="J53" s="14"/>
      <c r="K53" s="21" t="str">
        <f>"177,5"</f>
        <v>177,5</v>
      </c>
      <c r="L53" s="22" t="str">
        <f>"114,3810"</f>
        <v>114,3810</v>
      </c>
      <c r="M53" s="12" t="s">
        <v>120</v>
      </c>
    </row>
    <row r="54" spans="1:13" x14ac:dyDescent="0.25">
      <c r="A54" s="12" t="s">
        <v>753</v>
      </c>
      <c r="B54" s="12" t="s">
        <v>754</v>
      </c>
      <c r="C54" s="12" t="s">
        <v>755</v>
      </c>
      <c r="D54" s="12" t="str">
        <f>"0,6624"</f>
        <v>0,6624</v>
      </c>
      <c r="E54" s="12" t="s">
        <v>20</v>
      </c>
      <c r="F54" s="12" t="s">
        <v>46</v>
      </c>
      <c r="G54" s="13" t="s">
        <v>205</v>
      </c>
      <c r="H54" s="14" t="s">
        <v>48</v>
      </c>
      <c r="I54" s="14" t="s">
        <v>48</v>
      </c>
      <c r="J54" s="14"/>
      <c r="K54" s="21" t="str">
        <f>"175,0"</f>
        <v>175,0</v>
      </c>
      <c r="L54" s="22" t="str">
        <f>"115,9200"</f>
        <v>115,9200</v>
      </c>
      <c r="M54" s="12" t="s">
        <v>756</v>
      </c>
    </row>
    <row r="55" spans="1:13" x14ac:dyDescent="0.25">
      <c r="A55" s="12" t="s">
        <v>758</v>
      </c>
      <c r="B55" s="12" t="s">
        <v>759</v>
      </c>
      <c r="C55" s="12" t="s">
        <v>737</v>
      </c>
      <c r="D55" s="12" t="str">
        <f>"0,6475"</f>
        <v>0,6475</v>
      </c>
      <c r="E55" s="12" t="s">
        <v>20</v>
      </c>
      <c r="F55" s="12" t="s">
        <v>738</v>
      </c>
      <c r="G55" s="13" t="s">
        <v>26</v>
      </c>
      <c r="H55" s="14" t="s">
        <v>73</v>
      </c>
      <c r="I55" s="13" t="s">
        <v>73</v>
      </c>
      <c r="J55" s="14"/>
      <c r="K55" s="21" t="str">
        <f>"157,5"</f>
        <v>157,5</v>
      </c>
      <c r="L55" s="22" t="str">
        <f>"101,9812"</f>
        <v>101,9812</v>
      </c>
      <c r="M55" s="12" t="s">
        <v>760</v>
      </c>
    </row>
    <row r="56" spans="1:13" x14ac:dyDescent="0.25">
      <c r="A56" s="12" t="s">
        <v>762</v>
      </c>
      <c r="B56" s="12" t="s">
        <v>763</v>
      </c>
      <c r="C56" s="12" t="s">
        <v>746</v>
      </c>
      <c r="D56" s="12" t="str">
        <f>"0,6384"</f>
        <v>0,6384</v>
      </c>
      <c r="E56" s="12" t="s">
        <v>20</v>
      </c>
      <c r="F56" s="12" t="s">
        <v>46</v>
      </c>
      <c r="G56" s="13" t="s">
        <v>187</v>
      </c>
      <c r="H56" s="14" t="s">
        <v>26</v>
      </c>
      <c r="I56" s="13" t="s">
        <v>26</v>
      </c>
      <c r="J56" s="14"/>
      <c r="K56" s="21" t="str">
        <f>"155,0"</f>
        <v>155,0</v>
      </c>
      <c r="L56" s="22" t="str">
        <f>"98,9520"</f>
        <v>98,9520</v>
      </c>
      <c r="M56" s="12" t="s">
        <v>66</v>
      </c>
    </row>
    <row r="57" spans="1:13" x14ac:dyDescent="0.25">
      <c r="A57" s="12" t="s">
        <v>765</v>
      </c>
      <c r="B57" s="12" t="s">
        <v>766</v>
      </c>
      <c r="C57" s="12" t="s">
        <v>767</v>
      </c>
      <c r="D57" s="12" t="str">
        <f>"0,6515"</f>
        <v>0,6515</v>
      </c>
      <c r="E57" s="12" t="s">
        <v>20</v>
      </c>
      <c r="F57" s="12" t="s">
        <v>46</v>
      </c>
      <c r="G57" s="13" t="s">
        <v>187</v>
      </c>
      <c r="H57" s="13" t="s">
        <v>411</v>
      </c>
      <c r="I57" s="14" t="s">
        <v>531</v>
      </c>
      <c r="J57" s="14"/>
      <c r="K57" s="21" t="str">
        <f>"142,5"</f>
        <v>142,5</v>
      </c>
      <c r="L57" s="22" t="str">
        <f>"92,8387"</f>
        <v>92,8387</v>
      </c>
      <c r="M57" s="12" t="s">
        <v>768</v>
      </c>
    </row>
    <row r="58" spans="1:13" x14ac:dyDescent="0.25">
      <c r="A58" s="12" t="s">
        <v>770</v>
      </c>
      <c r="B58" s="12" t="s">
        <v>771</v>
      </c>
      <c r="C58" s="12" t="s">
        <v>197</v>
      </c>
      <c r="D58" s="12" t="str">
        <f>"0,6421"</f>
        <v>0,6421</v>
      </c>
      <c r="E58" s="12" t="s">
        <v>20</v>
      </c>
      <c r="F58" s="12" t="s">
        <v>275</v>
      </c>
      <c r="G58" s="13" t="s">
        <v>38</v>
      </c>
      <c r="H58" s="13" t="s">
        <v>73</v>
      </c>
      <c r="I58" s="13" t="s">
        <v>62</v>
      </c>
      <c r="J58" s="14"/>
      <c r="K58" s="21" t="str">
        <f>"160,0"</f>
        <v>160,0</v>
      </c>
      <c r="L58" s="22" t="str">
        <f>"102,7360"</f>
        <v>102,7360</v>
      </c>
      <c r="M58" s="12" t="s">
        <v>772</v>
      </c>
    </row>
    <row r="59" spans="1:13" x14ac:dyDescent="0.25">
      <c r="A59" s="12" t="s">
        <v>774</v>
      </c>
      <c r="B59" s="12" t="s">
        <v>775</v>
      </c>
      <c r="C59" s="12" t="s">
        <v>776</v>
      </c>
      <c r="D59" s="12" t="str">
        <f>"0,6447"</f>
        <v>0,6447</v>
      </c>
      <c r="E59" s="12" t="s">
        <v>20</v>
      </c>
      <c r="F59" s="12" t="s">
        <v>644</v>
      </c>
      <c r="G59" s="13" t="s">
        <v>187</v>
      </c>
      <c r="H59" s="13" t="s">
        <v>37</v>
      </c>
      <c r="I59" s="13" t="s">
        <v>25</v>
      </c>
      <c r="J59" s="14"/>
      <c r="K59" s="21" t="str">
        <f>"145,0"</f>
        <v>145,0</v>
      </c>
      <c r="L59" s="22" t="str">
        <f>"94,4163"</f>
        <v>94,4163</v>
      </c>
      <c r="M59" s="12" t="s">
        <v>645</v>
      </c>
    </row>
    <row r="60" spans="1:13" x14ac:dyDescent="0.25">
      <c r="A60" s="12" t="s">
        <v>778</v>
      </c>
      <c r="B60" s="12" t="s">
        <v>779</v>
      </c>
      <c r="C60" s="12" t="s">
        <v>192</v>
      </c>
      <c r="D60" s="12" t="str">
        <f>"0,6451"</f>
        <v>0,6451</v>
      </c>
      <c r="E60" s="12" t="s">
        <v>20</v>
      </c>
      <c r="F60" s="12" t="s">
        <v>644</v>
      </c>
      <c r="G60" s="13" t="s">
        <v>26</v>
      </c>
      <c r="H60" s="14" t="s">
        <v>89</v>
      </c>
      <c r="I60" s="14" t="s">
        <v>89</v>
      </c>
      <c r="J60" s="14"/>
      <c r="K60" s="21" t="str">
        <f>"155,0"</f>
        <v>155,0</v>
      </c>
      <c r="L60" s="22" t="str">
        <f>"106,7899"</f>
        <v>106,7899</v>
      </c>
      <c r="M60" s="12" t="s">
        <v>645</v>
      </c>
    </row>
    <row r="61" spans="1:13" x14ac:dyDescent="0.25">
      <c r="A61" s="12" t="s">
        <v>781</v>
      </c>
      <c r="B61" s="12" t="s">
        <v>782</v>
      </c>
      <c r="C61" s="12" t="s">
        <v>424</v>
      </c>
      <c r="D61" s="12" t="str">
        <f>"0,6471"</f>
        <v>0,6471</v>
      </c>
      <c r="E61" s="12" t="s">
        <v>20</v>
      </c>
      <c r="F61" s="12" t="s">
        <v>46</v>
      </c>
      <c r="G61" s="13" t="s">
        <v>187</v>
      </c>
      <c r="H61" s="13" t="s">
        <v>411</v>
      </c>
      <c r="I61" s="13" t="s">
        <v>25</v>
      </c>
      <c r="J61" s="14"/>
      <c r="K61" s="21" t="str">
        <f>"145,0"</f>
        <v>145,0</v>
      </c>
      <c r="L61" s="22" t="str">
        <f>"101,5235"</f>
        <v>101,5235</v>
      </c>
      <c r="M61" s="12" t="s">
        <v>783</v>
      </c>
    </row>
    <row r="62" spans="1:13" x14ac:dyDescent="0.25">
      <c r="A62" s="12" t="s">
        <v>785</v>
      </c>
      <c r="B62" s="12" t="s">
        <v>786</v>
      </c>
      <c r="C62" s="12" t="s">
        <v>540</v>
      </c>
      <c r="D62" s="12" t="str">
        <f>"0,6432"</f>
        <v>0,6432</v>
      </c>
      <c r="E62" s="12" t="s">
        <v>20</v>
      </c>
      <c r="F62" s="12" t="s">
        <v>185</v>
      </c>
      <c r="G62" s="13" t="s">
        <v>531</v>
      </c>
      <c r="H62" s="13" t="s">
        <v>26</v>
      </c>
      <c r="I62" s="14" t="s">
        <v>73</v>
      </c>
      <c r="J62" s="14"/>
      <c r="K62" s="21" t="str">
        <f>"155,0"</f>
        <v>155,0</v>
      </c>
      <c r="L62" s="22" t="str">
        <f>"136,1847"</f>
        <v>136,1847</v>
      </c>
      <c r="M62" s="12" t="s">
        <v>120</v>
      </c>
    </row>
    <row r="63" spans="1:13" x14ac:dyDescent="0.25">
      <c r="A63" s="9" t="s">
        <v>788</v>
      </c>
      <c r="B63" s="9" t="s">
        <v>789</v>
      </c>
      <c r="C63" s="9" t="s">
        <v>790</v>
      </c>
      <c r="D63" s="9" t="str">
        <f>"0,6402"</f>
        <v>0,6402</v>
      </c>
      <c r="E63" s="9" t="s">
        <v>20</v>
      </c>
      <c r="F63" s="9" t="s">
        <v>46</v>
      </c>
      <c r="G63" s="10" t="s">
        <v>180</v>
      </c>
      <c r="H63" s="11" t="s">
        <v>178</v>
      </c>
      <c r="I63" s="11" t="s">
        <v>178</v>
      </c>
      <c r="J63" s="11"/>
      <c r="K63" s="19" t="str">
        <f>"115,0"</f>
        <v>115,0</v>
      </c>
      <c r="L63" s="20" t="str">
        <f>"104,6183"</f>
        <v>104,6183</v>
      </c>
      <c r="M63" s="9" t="s">
        <v>791</v>
      </c>
    </row>
    <row r="65" spans="1:13" ht="15.6" x14ac:dyDescent="0.3">
      <c r="A65" s="36" t="s">
        <v>41</v>
      </c>
      <c r="B65" s="36"/>
      <c r="C65" s="36"/>
      <c r="D65" s="36"/>
      <c r="E65" s="36"/>
      <c r="F65" s="36"/>
      <c r="G65" s="36"/>
      <c r="H65" s="36"/>
      <c r="I65" s="36"/>
      <c r="J65" s="36"/>
    </row>
    <row r="66" spans="1:13" x14ac:dyDescent="0.25">
      <c r="A66" s="6" t="s">
        <v>427</v>
      </c>
      <c r="B66" s="6" t="s">
        <v>428</v>
      </c>
      <c r="C66" s="6" t="s">
        <v>429</v>
      </c>
      <c r="D66" s="6" t="str">
        <f>"0,6172"</f>
        <v>0,6172</v>
      </c>
      <c r="E66" s="6" t="s">
        <v>20</v>
      </c>
      <c r="F66" s="6" t="s">
        <v>46</v>
      </c>
      <c r="G66" s="7" t="s">
        <v>377</v>
      </c>
      <c r="H66" s="8" t="s">
        <v>331</v>
      </c>
      <c r="I66" s="8"/>
      <c r="J66" s="8"/>
      <c r="K66" s="17" t="str">
        <f>"57,5"</f>
        <v>57,5</v>
      </c>
      <c r="L66" s="18" t="str">
        <f>"35,4890"</f>
        <v>35,4890</v>
      </c>
      <c r="M66" s="6" t="s">
        <v>430</v>
      </c>
    </row>
    <row r="67" spans="1:13" x14ac:dyDescent="0.25">
      <c r="A67" s="12" t="s">
        <v>793</v>
      </c>
      <c r="B67" s="12" t="s">
        <v>794</v>
      </c>
      <c r="C67" s="12" t="s">
        <v>45</v>
      </c>
      <c r="D67" s="12" t="str">
        <f>"0,6113"</f>
        <v>0,6113</v>
      </c>
      <c r="E67" s="12" t="s">
        <v>20</v>
      </c>
      <c r="F67" s="12" t="s">
        <v>79</v>
      </c>
      <c r="G67" s="13" t="s">
        <v>25</v>
      </c>
      <c r="H67" s="13" t="s">
        <v>26</v>
      </c>
      <c r="I67" s="14" t="s">
        <v>27</v>
      </c>
      <c r="J67" s="14"/>
      <c r="K67" s="21" t="str">
        <f>"155,0"</f>
        <v>155,0</v>
      </c>
      <c r="L67" s="22" t="str">
        <f>"94,7515"</f>
        <v>94,7515</v>
      </c>
      <c r="M67" s="12" t="s">
        <v>675</v>
      </c>
    </row>
    <row r="68" spans="1:13" x14ac:dyDescent="0.25">
      <c r="A68" s="12" t="s">
        <v>796</v>
      </c>
      <c r="B68" s="12" t="s">
        <v>797</v>
      </c>
      <c r="C68" s="12" t="s">
        <v>798</v>
      </c>
      <c r="D68" s="12" t="str">
        <f>"0,6214"</f>
        <v>0,6214</v>
      </c>
      <c r="E68" s="12" t="s">
        <v>20</v>
      </c>
      <c r="F68" s="12" t="s">
        <v>634</v>
      </c>
      <c r="G68" s="14" t="s">
        <v>49</v>
      </c>
      <c r="H68" s="13" t="s">
        <v>49</v>
      </c>
      <c r="I68" s="14" t="s">
        <v>50</v>
      </c>
      <c r="J68" s="14"/>
      <c r="K68" s="21" t="str">
        <f>"185,0"</f>
        <v>185,0</v>
      </c>
      <c r="L68" s="22" t="str">
        <f>"114,9590"</f>
        <v>114,9590</v>
      </c>
      <c r="M68" s="12" t="s">
        <v>120</v>
      </c>
    </row>
    <row r="69" spans="1:13" x14ac:dyDescent="0.25">
      <c r="A69" s="12" t="s">
        <v>800</v>
      </c>
      <c r="B69" s="12" t="s">
        <v>801</v>
      </c>
      <c r="C69" s="12" t="s">
        <v>802</v>
      </c>
      <c r="D69" s="12" t="str">
        <f>"0,6101"</f>
        <v>0,6101</v>
      </c>
      <c r="E69" s="12" t="s">
        <v>20</v>
      </c>
      <c r="F69" s="12" t="s">
        <v>46</v>
      </c>
      <c r="G69" s="13" t="s">
        <v>62</v>
      </c>
      <c r="H69" s="13" t="s">
        <v>63</v>
      </c>
      <c r="I69" s="14" t="s">
        <v>205</v>
      </c>
      <c r="J69" s="14"/>
      <c r="K69" s="21" t="str">
        <f>"170,0"</f>
        <v>170,0</v>
      </c>
      <c r="L69" s="22" t="str">
        <f>"103,7170"</f>
        <v>103,7170</v>
      </c>
      <c r="M69" s="12" t="s">
        <v>803</v>
      </c>
    </row>
    <row r="70" spans="1:13" x14ac:dyDescent="0.25">
      <c r="A70" s="12" t="s">
        <v>805</v>
      </c>
      <c r="B70" s="12" t="s">
        <v>806</v>
      </c>
      <c r="C70" s="12" t="s">
        <v>807</v>
      </c>
      <c r="D70" s="12" t="str">
        <f>"0,6318"</f>
        <v>0,6318</v>
      </c>
      <c r="E70" s="12" t="s">
        <v>20</v>
      </c>
      <c r="F70" s="12" t="s">
        <v>808</v>
      </c>
      <c r="G70" s="13" t="s">
        <v>27</v>
      </c>
      <c r="H70" s="14" t="s">
        <v>63</v>
      </c>
      <c r="I70" s="14" t="s">
        <v>64</v>
      </c>
      <c r="J70" s="14"/>
      <c r="K70" s="21" t="str">
        <f>"165,0"</f>
        <v>165,0</v>
      </c>
      <c r="L70" s="22" t="str">
        <f>"104,2470"</f>
        <v>104,2470</v>
      </c>
      <c r="M70" s="12" t="s">
        <v>620</v>
      </c>
    </row>
    <row r="71" spans="1:13" x14ac:dyDescent="0.25">
      <c r="A71" s="12" t="s">
        <v>809</v>
      </c>
      <c r="B71" s="12" t="s">
        <v>810</v>
      </c>
      <c r="C71" s="12" t="s">
        <v>45</v>
      </c>
      <c r="D71" s="12" t="str">
        <f>"0,6113"</f>
        <v>0,6113</v>
      </c>
      <c r="E71" s="12" t="s">
        <v>20</v>
      </c>
      <c r="F71" s="12" t="s">
        <v>79</v>
      </c>
      <c r="G71" s="13" t="s">
        <v>25</v>
      </c>
      <c r="H71" s="13" t="s">
        <v>26</v>
      </c>
      <c r="I71" s="14" t="s">
        <v>27</v>
      </c>
      <c r="J71" s="14"/>
      <c r="K71" s="21" t="str">
        <f>"155,0"</f>
        <v>155,0</v>
      </c>
      <c r="L71" s="22" t="str">
        <f>"94,7515"</f>
        <v>94,7515</v>
      </c>
      <c r="M71" s="12" t="s">
        <v>675</v>
      </c>
    </row>
    <row r="72" spans="1:13" x14ac:dyDescent="0.25">
      <c r="A72" s="12" t="s">
        <v>442</v>
      </c>
      <c r="B72" s="12" t="s">
        <v>443</v>
      </c>
      <c r="C72" s="12" t="s">
        <v>444</v>
      </c>
      <c r="D72" s="12" t="str">
        <f>"0,6235"</f>
        <v>0,6235</v>
      </c>
      <c r="E72" s="12" t="s">
        <v>20</v>
      </c>
      <c r="F72" s="12" t="s">
        <v>439</v>
      </c>
      <c r="G72" s="13" t="s">
        <v>62</v>
      </c>
      <c r="H72" s="13" t="s">
        <v>63</v>
      </c>
      <c r="I72" s="14" t="s">
        <v>64</v>
      </c>
      <c r="J72" s="14"/>
      <c r="K72" s="21" t="str">
        <f>"170,0"</f>
        <v>170,0</v>
      </c>
      <c r="L72" s="22" t="str">
        <f>"107,0549"</f>
        <v>107,0549</v>
      </c>
      <c r="M72" s="12" t="s">
        <v>440</v>
      </c>
    </row>
    <row r="73" spans="1:13" x14ac:dyDescent="0.25">
      <c r="A73" s="12" t="s">
        <v>812</v>
      </c>
      <c r="B73" s="12" t="s">
        <v>813</v>
      </c>
      <c r="C73" s="12" t="s">
        <v>814</v>
      </c>
      <c r="D73" s="12" t="str">
        <f>"0,6158"</f>
        <v>0,6158</v>
      </c>
      <c r="E73" s="12" t="s">
        <v>20</v>
      </c>
      <c r="F73" s="12" t="s">
        <v>185</v>
      </c>
      <c r="G73" s="13" t="s">
        <v>25</v>
      </c>
      <c r="H73" s="13" t="s">
        <v>38</v>
      </c>
      <c r="I73" s="13" t="s">
        <v>188</v>
      </c>
      <c r="J73" s="14"/>
      <c r="K73" s="21" t="str">
        <f>"152,5"</f>
        <v>152,5</v>
      </c>
      <c r="L73" s="22" t="str">
        <f>"94,8486"</f>
        <v>94,8486</v>
      </c>
      <c r="M73" s="12" t="s">
        <v>620</v>
      </c>
    </row>
    <row r="74" spans="1:13" x14ac:dyDescent="0.25">
      <c r="A74" s="9" t="s">
        <v>815</v>
      </c>
      <c r="B74" s="9" t="s">
        <v>816</v>
      </c>
      <c r="C74" s="9" t="s">
        <v>817</v>
      </c>
      <c r="D74" s="9" t="str">
        <f>"0,6088"</f>
        <v>0,6088</v>
      </c>
      <c r="E74" s="9" t="s">
        <v>20</v>
      </c>
      <c r="F74" s="9" t="s">
        <v>818</v>
      </c>
      <c r="G74" s="10" t="s">
        <v>170</v>
      </c>
      <c r="H74" s="10" t="s">
        <v>180</v>
      </c>
      <c r="I74" s="10" t="s">
        <v>177</v>
      </c>
      <c r="J74" s="11"/>
      <c r="K74" s="19" t="str">
        <f>"120,0"</f>
        <v>120,0</v>
      </c>
      <c r="L74" s="20" t="str">
        <f>"79,0466"</f>
        <v>79,0466</v>
      </c>
      <c r="M74" s="9" t="s">
        <v>819</v>
      </c>
    </row>
    <row r="76" spans="1:13" ht="15.6" x14ac:dyDescent="0.3">
      <c r="A76" s="36" t="s">
        <v>84</v>
      </c>
      <c r="B76" s="36"/>
      <c r="C76" s="36"/>
      <c r="D76" s="36"/>
      <c r="E76" s="36"/>
      <c r="F76" s="36"/>
      <c r="G76" s="36"/>
      <c r="H76" s="36"/>
      <c r="I76" s="36"/>
      <c r="J76" s="36"/>
    </row>
    <row r="77" spans="1:13" x14ac:dyDescent="0.25">
      <c r="A77" s="6" t="s">
        <v>821</v>
      </c>
      <c r="B77" s="6" t="s">
        <v>822</v>
      </c>
      <c r="C77" s="6" t="s">
        <v>823</v>
      </c>
      <c r="D77" s="6" t="str">
        <f>"0,5905"</f>
        <v>0,5905</v>
      </c>
      <c r="E77" s="6" t="s">
        <v>20</v>
      </c>
      <c r="F77" s="6" t="s">
        <v>292</v>
      </c>
      <c r="G77" s="7" t="s">
        <v>205</v>
      </c>
      <c r="H77" s="7" t="s">
        <v>49</v>
      </c>
      <c r="I77" s="7" t="s">
        <v>50</v>
      </c>
      <c r="J77" s="8"/>
      <c r="K77" s="17" t="str">
        <f>"190,0"</f>
        <v>190,0</v>
      </c>
      <c r="L77" s="18" t="str">
        <f>"112,1950"</f>
        <v>112,1950</v>
      </c>
      <c r="M77" s="6" t="s">
        <v>824</v>
      </c>
    </row>
    <row r="78" spans="1:13" x14ac:dyDescent="0.25">
      <c r="A78" s="12" t="s">
        <v>826</v>
      </c>
      <c r="B78" s="12" t="s">
        <v>827</v>
      </c>
      <c r="C78" s="12" t="s">
        <v>823</v>
      </c>
      <c r="D78" s="12" t="str">
        <f>"0,5905"</f>
        <v>0,5905</v>
      </c>
      <c r="E78" s="12" t="s">
        <v>20</v>
      </c>
      <c r="F78" s="12" t="s">
        <v>549</v>
      </c>
      <c r="G78" s="13" t="s">
        <v>62</v>
      </c>
      <c r="H78" s="13" t="s">
        <v>63</v>
      </c>
      <c r="I78" s="14" t="s">
        <v>205</v>
      </c>
      <c r="J78" s="14"/>
      <c r="K78" s="21" t="str">
        <f>"170,0"</f>
        <v>170,0</v>
      </c>
      <c r="L78" s="22" t="str">
        <f>"100,3850"</f>
        <v>100,3850</v>
      </c>
      <c r="M78" s="12" t="s">
        <v>120</v>
      </c>
    </row>
    <row r="79" spans="1:13" x14ac:dyDescent="0.25">
      <c r="A79" s="12" t="s">
        <v>829</v>
      </c>
      <c r="B79" s="12" t="s">
        <v>830</v>
      </c>
      <c r="C79" s="12" t="s">
        <v>831</v>
      </c>
      <c r="D79" s="12" t="str">
        <f>"0,5954"</f>
        <v>0,5954</v>
      </c>
      <c r="E79" s="12" t="s">
        <v>20</v>
      </c>
      <c r="F79" s="12" t="s">
        <v>46</v>
      </c>
      <c r="G79" s="13" t="s">
        <v>531</v>
      </c>
      <c r="H79" s="13" t="s">
        <v>26</v>
      </c>
      <c r="I79" s="13" t="s">
        <v>62</v>
      </c>
      <c r="J79" s="14"/>
      <c r="K79" s="21" t="str">
        <f>"160,0"</f>
        <v>160,0</v>
      </c>
      <c r="L79" s="22" t="str">
        <f>"95,2640"</f>
        <v>95,2640</v>
      </c>
      <c r="M79" s="12" t="s">
        <v>832</v>
      </c>
    </row>
    <row r="80" spans="1:13" x14ac:dyDescent="0.25">
      <c r="A80" s="12" t="s">
        <v>834</v>
      </c>
      <c r="B80" s="12" t="s">
        <v>835</v>
      </c>
      <c r="C80" s="12" t="s">
        <v>559</v>
      </c>
      <c r="D80" s="12" t="str">
        <f>"0,5921"</f>
        <v>0,5921</v>
      </c>
      <c r="E80" s="12" t="s">
        <v>20</v>
      </c>
      <c r="F80" s="12" t="s">
        <v>46</v>
      </c>
      <c r="G80" s="13" t="s">
        <v>177</v>
      </c>
      <c r="H80" s="13" t="s">
        <v>179</v>
      </c>
      <c r="I80" s="14" t="s">
        <v>37</v>
      </c>
      <c r="J80" s="14"/>
      <c r="K80" s="21" t="str">
        <f>"130,0"</f>
        <v>130,0</v>
      </c>
      <c r="L80" s="22" t="str">
        <f>"76,9730"</f>
        <v>76,9730</v>
      </c>
      <c r="M80" s="12" t="s">
        <v>836</v>
      </c>
    </row>
    <row r="81" spans="1:13" x14ac:dyDescent="0.25">
      <c r="A81" s="12" t="s">
        <v>838</v>
      </c>
      <c r="B81" s="12" t="s">
        <v>839</v>
      </c>
      <c r="C81" s="12" t="s">
        <v>840</v>
      </c>
      <c r="D81" s="12" t="str">
        <f>"0,5937"</f>
        <v>0,5937</v>
      </c>
      <c r="E81" s="12" t="s">
        <v>20</v>
      </c>
      <c r="F81" s="12" t="s">
        <v>119</v>
      </c>
      <c r="G81" s="13" t="s">
        <v>25</v>
      </c>
      <c r="H81" s="13" t="s">
        <v>89</v>
      </c>
      <c r="I81" s="14"/>
      <c r="J81" s="14"/>
      <c r="K81" s="21" t="str">
        <f>"162,5"</f>
        <v>162,5</v>
      </c>
      <c r="L81" s="22" t="str">
        <f>"97,4410"</f>
        <v>97,4410</v>
      </c>
      <c r="M81" s="12" t="s">
        <v>841</v>
      </c>
    </row>
    <row r="82" spans="1:13" x14ac:dyDescent="0.25">
      <c r="A82" s="12" t="s">
        <v>843</v>
      </c>
      <c r="B82" s="12" t="s">
        <v>844</v>
      </c>
      <c r="C82" s="12" t="s">
        <v>845</v>
      </c>
      <c r="D82" s="12" t="str">
        <f>"0,6044"</f>
        <v>0,6044</v>
      </c>
      <c r="E82" s="12" t="s">
        <v>20</v>
      </c>
      <c r="F82" s="12" t="s">
        <v>46</v>
      </c>
      <c r="G82" s="13" t="s">
        <v>26</v>
      </c>
      <c r="H82" s="14" t="s">
        <v>89</v>
      </c>
      <c r="I82" s="14" t="s">
        <v>89</v>
      </c>
      <c r="J82" s="14"/>
      <c r="K82" s="21" t="str">
        <f>"155,0"</f>
        <v>155,0</v>
      </c>
      <c r="L82" s="22" t="str">
        <f>"93,6820"</f>
        <v>93,6820</v>
      </c>
      <c r="M82" s="12" t="s">
        <v>435</v>
      </c>
    </row>
    <row r="83" spans="1:13" x14ac:dyDescent="0.25">
      <c r="A83" s="12" t="s">
        <v>847</v>
      </c>
      <c r="B83" s="12" t="s">
        <v>848</v>
      </c>
      <c r="C83" s="12" t="s">
        <v>849</v>
      </c>
      <c r="D83" s="12" t="str">
        <f>"0,5903"</f>
        <v>0,5903</v>
      </c>
      <c r="E83" s="12" t="s">
        <v>20</v>
      </c>
      <c r="F83" s="12" t="s">
        <v>46</v>
      </c>
      <c r="G83" s="13" t="s">
        <v>73</v>
      </c>
      <c r="H83" s="14" t="s">
        <v>89</v>
      </c>
      <c r="I83" s="13" t="s">
        <v>89</v>
      </c>
      <c r="J83" s="14"/>
      <c r="K83" s="21" t="str">
        <f>"162,5"</f>
        <v>162,5</v>
      </c>
      <c r="L83" s="22" t="str">
        <f>"110,0245"</f>
        <v>110,0245</v>
      </c>
      <c r="M83" s="12" t="s">
        <v>120</v>
      </c>
    </row>
    <row r="84" spans="1:13" x14ac:dyDescent="0.25">
      <c r="A84" s="12" t="s">
        <v>851</v>
      </c>
      <c r="B84" s="12" t="s">
        <v>852</v>
      </c>
      <c r="C84" s="12" t="s">
        <v>853</v>
      </c>
      <c r="D84" s="12" t="str">
        <f>"0,5930"</f>
        <v>0,5930</v>
      </c>
      <c r="E84" s="12" t="s">
        <v>20</v>
      </c>
      <c r="F84" s="12" t="s">
        <v>46</v>
      </c>
      <c r="G84" s="13" t="s">
        <v>187</v>
      </c>
      <c r="H84" s="13" t="s">
        <v>411</v>
      </c>
      <c r="I84" s="14" t="s">
        <v>531</v>
      </c>
      <c r="J84" s="14"/>
      <c r="K84" s="21" t="str">
        <f>"142,5"</f>
        <v>142,5</v>
      </c>
      <c r="L84" s="22" t="str">
        <f>"95,4878"</f>
        <v>95,4878</v>
      </c>
      <c r="M84" s="12" t="s">
        <v>854</v>
      </c>
    </row>
    <row r="85" spans="1:13" x14ac:dyDescent="0.25">
      <c r="A85" s="12" t="s">
        <v>856</v>
      </c>
      <c r="B85" s="12" t="s">
        <v>857</v>
      </c>
      <c r="C85" s="12" t="s">
        <v>573</v>
      </c>
      <c r="D85" s="12" t="str">
        <f>"0,5945"</f>
        <v>0,5945</v>
      </c>
      <c r="E85" s="12" t="s">
        <v>20</v>
      </c>
      <c r="F85" s="12" t="s">
        <v>185</v>
      </c>
      <c r="G85" s="13" t="s">
        <v>506</v>
      </c>
      <c r="H85" s="13" t="s">
        <v>411</v>
      </c>
      <c r="I85" s="13" t="s">
        <v>25</v>
      </c>
      <c r="J85" s="14"/>
      <c r="K85" s="21" t="str">
        <f>"145,0"</f>
        <v>145,0</v>
      </c>
      <c r="L85" s="22" t="str">
        <f>"111,2874"</f>
        <v>111,2874</v>
      </c>
      <c r="M85" s="12" t="s">
        <v>620</v>
      </c>
    </row>
    <row r="86" spans="1:13" x14ac:dyDescent="0.25">
      <c r="A86" s="9" t="s">
        <v>859</v>
      </c>
      <c r="B86" s="9" t="s">
        <v>860</v>
      </c>
      <c r="C86" s="9" t="s">
        <v>861</v>
      </c>
      <c r="D86" s="9" t="str">
        <f>"0,5935"</f>
        <v>0,5935</v>
      </c>
      <c r="E86" s="9" t="s">
        <v>20</v>
      </c>
      <c r="F86" s="9" t="s">
        <v>862</v>
      </c>
      <c r="G86" s="10" t="s">
        <v>179</v>
      </c>
      <c r="H86" s="10" t="s">
        <v>187</v>
      </c>
      <c r="I86" s="11" t="s">
        <v>411</v>
      </c>
      <c r="J86" s="11"/>
      <c r="K86" s="19" t="str">
        <f>"135,0"</f>
        <v>135,0</v>
      </c>
      <c r="L86" s="20" t="str">
        <f>"101,5953"</f>
        <v>101,5953</v>
      </c>
      <c r="M86" s="9" t="s">
        <v>819</v>
      </c>
    </row>
    <row r="88" spans="1:13" ht="15.6" x14ac:dyDescent="0.3">
      <c r="A88" s="36" t="s">
        <v>281</v>
      </c>
      <c r="B88" s="36"/>
      <c r="C88" s="36"/>
      <c r="D88" s="36"/>
      <c r="E88" s="36"/>
      <c r="F88" s="36"/>
      <c r="G88" s="36"/>
      <c r="H88" s="36"/>
      <c r="I88" s="36"/>
      <c r="J88" s="36"/>
    </row>
    <row r="89" spans="1:13" x14ac:dyDescent="0.25">
      <c r="A89" s="6" t="s">
        <v>864</v>
      </c>
      <c r="B89" s="6" t="s">
        <v>865</v>
      </c>
      <c r="C89" s="6" t="s">
        <v>866</v>
      </c>
      <c r="D89" s="6" t="str">
        <f>"0,5731"</f>
        <v>0,5731</v>
      </c>
      <c r="E89" s="6" t="s">
        <v>20</v>
      </c>
      <c r="F89" s="6" t="s">
        <v>867</v>
      </c>
      <c r="G89" s="7" t="s">
        <v>63</v>
      </c>
      <c r="H89" s="7" t="s">
        <v>48</v>
      </c>
      <c r="I89" s="7" t="s">
        <v>50</v>
      </c>
      <c r="J89" s="8"/>
      <c r="K89" s="17" t="str">
        <f>"190,0"</f>
        <v>190,0</v>
      </c>
      <c r="L89" s="18" t="str">
        <f>"108,8890"</f>
        <v>108,8890</v>
      </c>
      <c r="M89" s="6" t="s">
        <v>120</v>
      </c>
    </row>
    <row r="90" spans="1:13" x14ac:dyDescent="0.25">
      <c r="A90" s="12" t="s">
        <v>869</v>
      </c>
      <c r="B90" s="12" t="s">
        <v>870</v>
      </c>
      <c r="C90" s="12" t="s">
        <v>871</v>
      </c>
      <c r="D90" s="12" t="str">
        <f>"0,5830"</f>
        <v>0,5830</v>
      </c>
      <c r="E90" s="12" t="s">
        <v>20</v>
      </c>
      <c r="F90" s="12" t="s">
        <v>46</v>
      </c>
      <c r="G90" s="14" t="s">
        <v>38</v>
      </c>
      <c r="H90" s="14" t="s">
        <v>38</v>
      </c>
      <c r="I90" s="13" t="s">
        <v>38</v>
      </c>
      <c r="J90" s="14"/>
      <c r="K90" s="21" t="str">
        <f>"150,0"</f>
        <v>150,0</v>
      </c>
      <c r="L90" s="22" t="str">
        <f>"87,4500"</f>
        <v>87,4500</v>
      </c>
      <c r="M90" s="12" t="s">
        <v>435</v>
      </c>
    </row>
    <row r="91" spans="1:13" x14ac:dyDescent="0.25">
      <c r="A91" s="12" t="s">
        <v>873</v>
      </c>
      <c r="B91" s="12" t="s">
        <v>874</v>
      </c>
      <c r="C91" s="12" t="s">
        <v>875</v>
      </c>
      <c r="D91" s="12" t="str">
        <f>"0,5723"</f>
        <v>0,5723</v>
      </c>
      <c r="E91" s="12" t="s">
        <v>20</v>
      </c>
      <c r="F91" s="12" t="s">
        <v>46</v>
      </c>
      <c r="G91" s="13" t="s">
        <v>63</v>
      </c>
      <c r="H91" s="14" t="s">
        <v>107</v>
      </c>
      <c r="I91" s="14" t="s">
        <v>107</v>
      </c>
      <c r="J91" s="14"/>
      <c r="K91" s="21" t="str">
        <f>"170,0"</f>
        <v>170,0</v>
      </c>
      <c r="L91" s="22" t="str">
        <f>"98,2639"</f>
        <v>98,2639</v>
      </c>
      <c r="M91" s="12" t="s">
        <v>876</v>
      </c>
    </row>
    <row r="92" spans="1:13" x14ac:dyDescent="0.25">
      <c r="A92" s="9" t="s">
        <v>877</v>
      </c>
      <c r="B92" s="9" t="s">
        <v>878</v>
      </c>
      <c r="C92" s="9" t="s">
        <v>879</v>
      </c>
      <c r="D92" s="9" t="str">
        <f>"0,5755"</f>
        <v>0,5755</v>
      </c>
      <c r="E92" s="9" t="s">
        <v>20</v>
      </c>
      <c r="F92" s="9" t="s">
        <v>880</v>
      </c>
      <c r="G92" s="10" t="s">
        <v>179</v>
      </c>
      <c r="H92" s="11" t="s">
        <v>187</v>
      </c>
      <c r="I92" s="11" t="s">
        <v>187</v>
      </c>
      <c r="J92" s="11"/>
      <c r="K92" s="19" t="str">
        <f>"130,0"</f>
        <v>130,0</v>
      </c>
      <c r="L92" s="20" t="str">
        <f>"77,1343"</f>
        <v>77,1343</v>
      </c>
      <c r="M92" s="9" t="s">
        <v>881</v>
      </c>
    </row>
    <row r="94" spans="1:13" ht="15.6" x14ac:dyDescent="0.3">
      <c r="A94" s="36" t="s">
        <v>579</v>
      </c>
      <c r="B94" s="36"/>
      <c r="C94" s="36"/>
      <c r="D94" s="36"/>
      <c r="E94" s="36"/>
      <c r="F94" s="36"/>
      <c r="G94" s="36"/>
      <c r="H94" s="36"/>
      <c r="I94" s="36"/>
      <c r="J94" s="36"/>
    </row>
    <row r="95" spans="1:13" x14ac:dyDescent="0.25">
      <c r="A95" s="6" t="s">
        <v>883</v>
      </c>
      <c r="B95" s="6" t="s">
        <v>884</v>
      </c>
      <c r="C95" s="6" t="s">
        <v>885</v>
      </c>
      <c r="D95" s="6" t="str">
        <f>"0,5605"</f>
        <v>0,5605</v>
      </c>
      <c r="E95" s="6" t="s">
        <v>20</v>
      </c>
      <c r="F95" s="6" t="s">
        <v>46</v>
      </c>
      <c r="G95" s="7" t="s">
        <v>107</v>
      </c>
      <c r="H95" s="7" t="s">
        <v>49</v>
      </c>
      <c r="I95" s="7" t="s">
        <v>50</v>
      </c>
      <c r="J95" s="8"/>
      <c r="K95" s="17" t="str">
        <f>"190,0"</f>
        <v>190,0</v>
      </c>
      <c r="L95" s="18" t="str">
        <f>"106,4950"</f>
        <v>106,4950</v>
      </c>
      <c r="M95" s="6" t="s">
        <v>120</v>
      </c>
    </row>
    <row r="96" spans="1:13" x14ac:dyDescent="0.25">
      <c r="A96" s="12" t="s">
        <v>887</v>
      </c>
      <c r="B96" s="12" t="s">
        <v>888</v>
      </c>
      <c r="C96" s="12" t="s">
        <v>889</v>
      </c>
      <c r="D96" s="12" t="str">
        <f>"0,5626"</f>
        <v>0,5626</v>
      </c>
      <c r="E96" s="12" t="s">
        <v>20</v>
      </c>
      <c r="F96" s="12" t="s">
        <v>46</v>
      </c>
      <c r="G96" s="13" t="s">
        <v>48</v>
      </c>
      <c r="H96" s="14" t="s">
        <v>49</v>
      </c>
      <c r="I96" s="14" t="s">
        <v>49</v>
      </c>
      <c r="J96" s="14"/>
      <c r="K96" s="21" t="str">
        <f>"180,0"</f>
        <v>180,0</v>
      </c>
      <c r="L96" s="22" t="str">
        <f>"101,2680"</f>
        <v>101,2680</v>
      </c>
      <c r="M96" s="12" t="s">
        <v>435</v>
      </c>
    </row>
    <row r="97" spans="1:13" x14ac:dyDescent="0.25">
      <c r="A97" s="9" t="s">
        <v>891</v>
      </c>
      <c r="B97" s="9" t="s">
        <v>892</v>
      </c>
      <c r="C97" s="9" t="s">
        <v>893</v>
      </c>
      <c r="D97" s="9" t="str">
        <f>"0,5628"</f>
        <v>0,5628</v>
      </c>
      <c r="E97" s="9" t="s">
        <v>20</v>
      </c>
      <c r="F97" s="9" t="s">
        <v>46</v>
      </c>
      <c r="G97" s="10" t="s">
        <v>64</v>
      </c>
      <c r="H97" s="10" t="s">
        <v>107</v>
      </c>
      <c r="I97" s="11" t="s">
        <v>48</v>
      </c>
      <c r="J97" s="11"/>
      <c r="K97" s="19" t="str">
        <f>"177,5"</f>
        <v>177,5</v>
      </c>
      <c r="L97" s="20" t="str">
        <f>"124,4717"</f>
        <v>124,4717</v>
      </c>
      <c r="M97" s="9" t="s">
        <v>120</v>
      </c>
    </row>
    <row r="99" spans="1:13" ht="15" x14ac:dyDescent="0.25">
      <c r="E99" s="15" t="s">
        <v>121</v>
      </c>
    </row>
    <row r="100" spans="1:13" ht="15" x14ac:dyDescent="0.25">
      <c r="E100" s="15" t="s">
        <v>122</v>
      </c>
    </row>
    <row r="101" spans="1:13" ht="15" x14ac:dyDescent="0.25">
      <c r="E101" s="15" t="s">
        <v>123</v>
      </c>
    </row>
    <row r="102" spans="1:13" ht="15" x14ac:dyDescent="0.25">
      <c r="E102" s="15" t="s">
        <v>124</v>
      </c>
    </row>
    <row r="103" spans="1:13" ht="15" x14ac:dyDescent="0.25">
      <c r="E103" s="15" t="s">
        <v>124</v>
      </c>
    </row>
    <row r="104" spans="1:13" ht="15" x14ac:dyDescent="0.25">
      <c r="E104" s="15" t="s">
        <v>125</v>
      </c>
    </row>
    <row r="105" spans="1:13" ht="15" x14ac:dyDescent="0.25">
      <c r="E105" s="15"/>
    </row>
    <row r="107" spans="1:13" ht="17.399999999999999" x14ac:dyDescent="0.3">
      <c r="A107" s="23" t="s">
        <v>126</v>
      </c>
      <c r="B107" s="23"/>
    </row>
    <row r="108" spans="1:13" ht="15.6" x14ac:dyDescent="0.3">
      <c r="A108" s="24" t="s">
        <v>233</v>
      </c>
      <c r="B108" s="24"/>
    </row>
    <row r="109" spans="1:13" ht="14.4" x14ac:dyDescent="0.3">
      <c r="A109" s="26"/>
      <c r="B109" s="27" t="s">
        <v>138</v>
      </c>
    </row>
    <row r="110" spans="1:13" ht="13.8" x14ac:dyDescent="0.25">
      <c r="A110" s="29" t="s">
        <v>129</v>
      </c>
      <c r="B110" s="29" t="s">
        <v>130</v>
      </c>
      <c r="C110" s="29" t="s">
        <v>131</v>
      </c>
      <c r="D110" s="29" t="s">
        <v>584</v>
      </c>
      <c r="E110" s="29" t="s">
        <v>133</v>
      </c>
    </row>
    <row r="111" spans="1:13" x14ac:dyDescent="0.25">
      <c r="A111" s="25" t="s">
        <v>626</v>
      </c>
      <c r="B111" s="4" t="s">
        <v>138</v>
      </c>
      <c r="C111" s="4" t="s">
        <v>894</v>
      </c>
      <c r="D111" s="4" t="s">
        <v>332</v>
      </c>
      <c r="E111" s="16" t="s">
        <v>895</v>
      </c>
    </row>
    <row r="112" spans="1:13" x14ac:dyDescent="0.25">
      <c r="A112" s="25" t="s">
        <v>621</v>
      </c>
      <c r="B112" s="4" t="s">
        <v>138</v>
      </c>
      <c r="C112" s="4" t="s">
        <v>459</v>
      </c>
      <c r="D112" s="4" t="s">
        <v>346</v>
      </c>
      <c r="E112" s="16" t="s">
        <v>896</v>
      </c>
    </row>
    <row r="113" spans="1:5" x14ac:dyDescent="0.25">
      <c r="A113" s="25" t="s">
        <v>616</v>
      </c>
      <c r="B113" s="4" t="s">
        <v>138</v>
      </c>
      <c r="C113" s="4" t="s">
        <v>456</v>
      </c>
      <c r="D113" s="4" t="s">
        <v>322</v>
      </c>
      <c r="E113" s="16" t="s">
        <v>897</v>
      </c>
    </row>
    <row r="114" spans="1:5" x14ac:dyDescent="0.25">
      <c r="A114" s="25" t="s">
        <v>646</v>
      </c>
      <c r="B114" s="4" t="s">
        <v>138</v>
      </c>
      <c r="C114" s="4" t="s">
        <v>297</v>
      </c>
      <c r="D114" s="4" t="s">
        <v>340</v>
      </c>
      <c r="E114" s="16" t="s">
        <v>898</v>
      </c>
    </row>
    <row r="115" spans="1:5" x14ac:dyDescent="0.25">
      <c r="A115" s="25" t="s">
        <v>630</v>
      </c>
      <c r="B115" s="4" t="s">
        <v>138</v>
      </c>
      <c r="C115" s="4" t="s">
        <v>894</v>
      </c>
      <c r="D115" s="4" t="s">
        <v>339</v>
      </c>
      <c r="E115" s="16" t="s">
        <v>899</v>
      </c>
    </row>
    <row r="116" spans="1:5" x14ac:dyDescent="0.25">
      <c r="A116" s="25" t="s">
        <v>636</v>
      </c>
      <c r="B116" s="4" t="s">
        <v>138</v>
      </c>
      <c r="C116" s="4" t="s">
        <v>894</v>
      </c>
      <c r="D116" s="4" t="s">
        <v>323</v>
      </c>
      <c r="E116" s="16" t="s">
        <v>900</v>
      </c>
    </row>
    <row r="117" spans="1:5" x14ac:dyDescent="0.25">
      <c r="A117" s="25" t="s">
        <v>640</v>
      </c>
      <c r="B117" s="4" t="s">
        <v>138</v>
      </c>
      <c r="C117" s="4" t="s">
        <v>894</v>
      </c>
      <c r="D117" s="4" t="s">
        <v>321</v>
      </c>
      <c r="E117" s="16" t="s">
        <v>901</v>
      </c>
    </row>
    <row r="119" spans="1:5" ht="14.4" x14ac:dyDescent="0.3">
      <c r="A119" s="26"/>
      <c r="B119" s="27" t="s">
        <v>159</v>
      </c>
    </row>
    <row r="120" spans="1:5" ht="13.8" x14ac:dyDescent="0.25">
      <c r="A120" s="29" t="s">
        <v>129</v>
      </c>
      <c r="B120" s="29" t="s">
        <v>130</v>
      </c>
      <c r="C120" s="29" t="s">
        <v>131</v>
      </c>
      <c r="D120" s="29" t="s">
        <v>584</v>
      </c>
      <c r="E120" s="29" t="s">
        <v>133</v>
      </c>
    </row>
    <row r="121" spans="1:5" x14ac:dyDescent="0.25">
      <c r="A121" s="25" t="s">
        <v>650</v>
      </c>
      <c r="B121" s="4" t="s">
        <v>160</v>
      </c>
      <c r="C121" s="4" t="s">
        <v>453</v>
      </c>
      <c r="D121" s="4" t="s">
        <v>361</v>
      </c>
      <c r="E121" s="16" t="s">
        <v>902</v>
      </c>
    </row>
    <row r="124" spans="1:5" ht="15.6" x14ac:dyDescent="0.3">
      <c r="A124" s="24" t="s">
        <v>127</v>
      </c>
      <c r="B124" s="24"/>
    </row>
    <row r="125" spans="1:5" ht="14.4" x14ac:dyDescent="0.3">
      <c r="A125" s="26"/>
      <c r="B125" s="27" t="s">
        <v>468</v>
      </c>
    </row>
    <row r="126" spans="1:5" ht="13.8" x14ac:dyDescent="0.25">
      <c r="A126" s="29" t="s">
        <v>129</v>
      </c>
      <c r="B126" s="29" t="s">
        <v>130</v>
      </c>
      <c r="C126" s="29" t="s">
        <v>131</v>
      </c>
      <c r="D126" s="29" t="s">
        <v>584</v>
      </c>
      <c r="E126" s="29" t="s">
        <v>133</v>
      </c>
    </row>
    <row r="127" spans="1:5" x14ac:dyDescent="0.25">
      <c r="A127" s="25" t="s">
        <v>734</v>
      </c>
      <c r="B127" s="4" t="s">
        <v>450</v>
      </c>
      <c r="C127" s="4" t="s">
        <v>150</v>
      </c>
      <c r="D127" s="4" t="s">
        <v>27</v>
      </c>
      <c r="E127" s="16" t="s">
        <v>903</v>
      </c>
    </row>
    <row r="128" spans="1:5" x14ac:dyDescent="0.25">
      <c r="A128" s="25" t="s">
        <v>656</v>
      </c>
      <c r="B128" s="4" t="s">
        <v>450</v>
      </c>
      <c r="C128" s="4" t="s">
        <v>894</v>
      </c>
      <c r="D128" s="4" t="s">
        <v>332</v>
      </c>
      <c r="E128" s="16" t="s">
        <v>904</v>
      </c>
    </row>
    <row r="129" spans="1:5" x14ac:dyDescent="0.25">
      <c r="A129" s="25" t="s">
        <v>661</v>
      </c>
      <c r="B129" s="4" t="s">
        <v>450</v>
      </c>
      <c r="C129" s="4" t="s">
        <v>894</v>
      </c>
      <c r="D129" s="4" t="s">
        <v>340</v>
      </c>
      <c r="E129" s="16" t="s">
        <v>905</v>
      </c>
    </row>
    <row r="130" spans="1:5" x14ac:dyDescent="0.25">
      <c r="A130" s="25" t="s">
        <v>666</v>
      </c>
      <c r="B130" s="4" t="s">
        <v>450</v>
      </c>
      <c r="C130" s="4" t="s">
        <v>894</v>
      </c>
      <c r="D130" s="4" t="s">
        <v>322</v>
      </c>
      <c r="E130" s="16" t="s">
        <v>906</v>
      </c>
    </row>
    <row r="131" spans="1:5" x14ac:dyDescent="0.25">
      <c r="A131" s="25" t="s">
        <v>426</v>
      </c>
      <c r="B131" s="4" t="s">
        <v>450</v>
      </c>
      <c r="C131" s="4" t="s">
        <v>141</v>
      </c>
      <c r="D131" s="4" t="s">
        <v>377</v>
      </c>
      <c r="E131" s="16" t="s">
        <v>907</v>
      </c>
    </row>
    <row r="133" spans="1:5" ht="14.4" x14ac:dyDescent="0.3">
      <c r="A133" s="26"/>
      <c r="B133" s="27" t="s">
        <v>128</v>
      </c>
    </row>
    <row r="134" spans="1:5" ht="13.8" x14ac:dyDescent="0.25">
      <c r="A134" s="29" t="s">
        <v>129</v>
      </c>
      <c r="B134" s="29" t="s">
        <v>130</v>
      </c>
      <c r="C134" s="29" t="s">
        <v>131</v>
      </c>
      <c r="D134" s="29" t="s">
        <v>584</v>
      </c>
      <c r="E134" s="29" t="s">
        <v>133</v>
      </c>
    </row>
    <row r="135" spans="1:5" x14ac:dyDescent="0.25">
      <c r="A135" s="25" t="s">
        <v>882</v>
      </c>
      <c r="B135" s="4" t="s">
        <v>134</v>
      </c>
      <c r="C135" s="4" t="s">
        <v>588</v>
      </c>
      <c r="D135" s="4" t="s">
        <v>50</v>
      </c>
      <c r="E135" s="16" t="s">
        <v>908</v>
      </c>
    </row>
    <row r="136" spans="1:5" x14ac:dyDescent="0.25">
      <c r="A136" s="25" t="s">
        <v>671</v>
      </c>
      <c r="B136" s="4" t="s">
        <v>134</v>
      </c>
      <c r="C136" s="4" t="s">
        <v>245</v>
      </c>
      <c r="D136" s="4" t="s">
        <v>403</v>
      </c>
      <c r="E136" s="16" t="s">
        <v>909</v>
      </c>
    </row>
    <row r="137" spans="1:5" x14ac:dyDescent="0.25">
      <c r="A137" s="25" t="s">
        <v>792</v>
      </c>
      <c r="B137" s="4" t="s">
        <v>134</v>
      </c>
      <c r="C137" s="4" t="s">
        <v>141</v>
      </c>
      <c r="D137" s="4" t="s">
        <v>26</v>
      </c>
      <c r="E137" s="16" t="s">
        <v>910</v>
      </c>
    </row>
    <row r="138" spans="1:5" x14ac:dyDescent="0.25">
      <c r="A138" s="25" t="s">
        <v>676</v>
      </c>
      <c r="B138" s="4" t="s">
        <v>134</v>
      </c>
      <c r="C138" s="4" t="s">
        <v>245</v>
      </c>
      <c r="D138" s="4" t="s">
        <v>179</v>
      </c>
      <c r="E138" s="16" t="s">
        <v>911</v>
      </c>
    </row>
    <row r="139" spans="1:5" x14ac:dyDescent="0.25">
      <c r="A139" s="25" t="s">
        <v>739</v>
      </c>
      <c r="B139" s="4" t="s">
        <v>134</v>
      </c>
      <c r="C139" s="4" t="s">
        <v>150</v>
      </c>
      <c r="D139" s="4" t="s">
        <v>37</v>
      </c>
      <c r="E139" s="16" t="s">
        <v>912</v>
      </c>
    </row>
    <row r="140" spans="1:5" x14ac:dyDescent="0.25">
      <c r="A140" s="25" t="s">
        <v>679</v>
      </c>
      <c r="B140" s="4" t="s">
        <v>134</v>
      </c>
      <c r="C140" s="4" t="s">
        <v>245</v>
      </c>
      <c r="D140" s="4" t="s">
        <v>170</v>
      </c>
      <c r="E140" s="16" t="s">
        <v>913</v>
      </c>
    </row>
    <row r="142" spans="1:5" ht="14.4" x14ac:dyDescent="0.3">
      <c r="A142" s="26"/>
      <c r="B142" s="27" t="s">
        <v>138</v>
      </c>
    </row>
    <row r="143" spans="1:5" ht="13.8" x14ac:dyDescent="0.25">
      <c r="A143" s="29" t="s">
        <v>129</v>
      </c>
      <c r="B143" s="29" t="s">
        <v>130</v>
      </c>
      <c r="C143" s="29" t="s">
        <v>131</v>
      </c>
      <c r="D143" s="29" t="s">
        <v>584</v>
      </c>
      <c r="E143" s="29" t="s">
        <v>133</v>
      </c>
    </row>
    <row r="144" spans="1:5" x14ac:dyDescent="0.25">
      <c r="A144" s="25" t="s">
        <v>752</v>
      </c>
      <c r="B144" s="4" t="s">
        <v>138</v>
      </c>
      <c r="C144" s="4" t="s">
        <v>150</v>
      </c>
      <c r="D144" s="4" t="s">
        <v>205</v>
      </c>
      <c r="E144" s="16" t="s">
        <v>914</v>
      </c>
    </row>
    <row r="145" spans="1:5" x14ac:dyDescent="0.25">
      <c r="A145" s="25" t="s">
        <v>795</v>
      </c>
      <c r="B145" s="4" t="s">
        <v>138</v>
      </c>
      <c r="C145" s="4" t="s">
        <v>141</v>
      </c>
      <c r="D145" s="4" t="s">
        <v>49</v>
      </c>
      <c r="E145" s="16" t="s">
        <v>915</v>
      </c>
    </row>
    <row r="146" spans="1:5" x14ac:dyDescent="0.25">
      <c r="A146" s="25" t="s">
        <v>743</v>
      </c>
      <c r="B146" s="4" t="s">
        <v>138</v>
      </c>
      <c r="C146" s="4" t="s">
        <v>150</v>
      </c>
      <c r="D146" s="4" t="s">
        <v>48</v>
      </c>
      <c r="E146" s="16" t="s">
        <v>916</v>
      </c>
    </row>
    <row r="147" spans="1:5" x14ac:dyDescent="0.25">
      <c r="A147" s="25" t="s">
        <v>748</v>
      </c>
      <c r="B147" s="4" t="s">
        <v>138</v>
      </c>
      <c r="C147" s="4" t="s">
        <v>150</v>
      </c>
      <c r="D147" s="4" t="s">
        <v>107</v>
      </c>
      <c r="E147" s="16" t="s">
        <v>917</v>
      </c>
    </row>
    <row r="148" spans="1:5" x14ac:dyDescent="0.25">
      <c r="A148" s="25" t="s">
        <v>820</v>
      </c>
      <c r="B148" s="4" t="s">
        <v>138</v>
      </c>
      <c r="C148" s="4" t="s">
        <v>135</v>
      </c>
      <c r="D148" s="4" t="s">
        <v>50</v>
      </c>
      <c r="E148" s="16" t="s">
        <v>918</v>
      </c>
    </row>
    <row r="149" spans="1:5" x14ac:dyDescent="0.25">
      <c r="A149" s="25" t="s">
        <v>863</v>
      </c>
      <c r="B149" s="4" t="s">
        <v>138</v>
      </c>
      <c r="C149" s="4" t="s">
        <v>300</v>
      </c>
      <c r="D149" s="4" t="s">
        <v>50</v>
      </c>
      <c r="E149" s="16" t="s">
        <v>919</v>
      </c>
    </row>
    <row r="150" spans="1:5" x14ac:dyDescent="0.25">
      <c r="A150" s="25" t="s">
        <v>804</v>
      </c>
      <c r="B150" s="4" t="s">
        <v>138</v>
      </c>
      <c r="C150" s="4" t="s">
        <v>141</v>
      </c>
      <c r="D150" s="4" t="s">
        <v>27</v>
      </c>
      <c r="E150" s="16" t="s">
        <v>920</v>
      </c>
    </row>
    <row r="151" spans="1:5" x14ac:dyDescent="0.25">
      <c r="A151" s="25" t="s">
        <v>799</v>
      </c>
      <c r="B151" s="4" t="s">
        <v>138</v>
      </c>
      <c r="C151" s="4" t="s">
        <v>141</v>
      </c>
      <c r="D151" s="4" t="s">
        <v>63</v>
      </c>
      <c r="E151" s="16" t="s">
        <v>921</v>
      </c>
    </row>
    <row r="152" spans="1:5" x14ac:dyDescent="0.25">
      <c r="A152" s="25" t="s">
        <v>695</v>
      </c>
      <c r="B152" s="4" t="s">
        <v>138</v>
      </c>
      <c r="C152" s="4" t="s">
        <v>234</v>
      </c>
      <c r="D152" s="4" t="s">
        <v>188</v>
      </c>
      <c r="E152" s="16" t="s">
        <v>922</v>
      </c>
    </row>
    <row r="153" spans="1:5" x14ac:dyDescent="0.25">
      <c r="A153" s="25" t="s">
        <v>757</v>
      </c>
      <c r="B153" s="4" t="s">
        <v>138</v>
      </c>
      <c r="C153" s="4" t="s">
        <v>150</v>
      </c>
      <c r="D153" s="4" t="s">
        <v>73</v>
      </c>
      <c r="E153" s="16" t="s">
        <v>923</v>
      </c>
    </row>
    <row r="154" spans="1:5" x14ac:dyDescent="0.25">
      <c r="A154" s="25" t="s">
        <v>886</v>
      </c>
      <c r="B154" s="4" t="s">
        <v>138</v>
      </c>
      <c r="C154" s="4" t="s">
        <v>588</v>
      </c>
      <c r="D154" s="4" t="s">
        <v>48</v>
      </c>
      <c r="E154" s="16" t="s">
        <v>924</v>
      </c>
    </row>
    <row r="155" spans="1:5" x14ac:dyDescent="0.25">
      <c r="A155" s="25" t="s">
        <v>825</v>
      </c>
      <c r="B155" s="4" t="s">
        <v>138</v>
      </c>
      <c r="C155" s="4" t="s">
        <v>135</v>
      </c>
      <c r="D155" s="4" t="s">
        <v>63</v>
      </c>
      <c r="E155" s="16" t="s">
        <v>925</v>
      </c>
    </row>
    <row r="156" spans="1:5" x14ac:dyDescent="0.25">
      <c r="A156" s="25" t="s">
        <v>699</v>
      </c>
      <c r="B156" s="4" t="s">
        <v>138</v>
      </c>
      <c r="C156" s="4" t="s">
        <v>234</v>
      </c>
      <c r="D156" s="4" t="s">
        <v>531</v>
      </c>
      <c r="E156" s="16" t="s">
        <v>926</v>
      </c>
    </row>
    <row r="157" spans="1:5" x14ac:dyDescent="0.25">
      <c r="A157" s="25" t="s">
        <v>761</v>
      </c>
      <c r="B157" s="4" t="s">
        <v>138</v>
      </c>
      <c r="C157" s="4" t="s">
        <v>150</v>
      </c>
      <c r="D157" s="4" t="s">
        <v>26</v>
      </c>
      <c r="E157" s="16" t="s">
        <v>927</v>
      </c>
    </row>
    <row r="158" spans="1:5" x14ac:dyDescent="0.25">
      <c r="A158" s="25" t="s">
        <v>828</v>
      </c>
      <c r="B158" s="4" t="s">
        <v>138</v>
      </c>
      <c r="C158" s="4" t="s">
        <v>135</v>
      </c>
      <c r="D158" s="4" t="s">
        <v>62</v>
      </c>
      <c r="E158" s="16" t="s">
        <v>928</v>
      </c>
    </row>
    <row r="159" spans="1:5" x14ac:dyDescent="0.25">
      <c r="A159" s="25" t="s">
        <v>671</v>
      </c>
      <c r="B159" s="4" t="s">
        <v>138</v>
      </c>
      <c r="C159" s="4" t="s">
        <v>245</v>
      </c>
      <c r="D159" s="4" t="s">
        <v>403</v>
      </c>
      <c r="E159" s="16" t="s">
        <v>909</v>
      </c>
    </row>
    <row r="160" spans="1:5" x14ac:dyDescent="0.25">
      <c r="A160" s="25" t="s">
        <v>792</v>
      </c>
      <c r="B160" s="4" t="s">
        <v>138</v>
      </c>
      <c r="C160" s="4" t="s">
        <v>141</v>
      </c>
      <c r="D160" s="4" t="s">
        <v>26</v>
      </c>
      <c r="E160" s="16" t="s">
        <v>910</v>
      </c>
    </row>
    <row r="161" spans="1:5" x14ac:dyDescent="0.25">
      <c r="A161" s="25" t="s">
        <v>764</v>
      </c>
      <c r="B161" s="4" t="s">
        <v>138</v>
      </c>
      <c r="C161" s="4" t="s">
        <v>150</v>
      </c>
      <c r="D161" s="4" t="s">
        <v>411</v>
      </c>
      <c r="E161" s="16" t="s">
        <v>929</v>
      </c>
    </row>
    <row r="162" spans="1:5" x14ac:dyDescent="0.25">
      <c r="A162" s="25" t="s">
        <v>705</v>
      </c>
      <c r="B162" s="4" t="s">
        <v>138</v>
      </c>
      <c r="C162" s="4" t="s">
        <v>234</v>
      </c>
      <c r="D162" s="4" t="s">
        <v>179</v>
      </c>
      <c r="E162" s="16" t="s">
        <v>930</v>
      </c>
    </row>
    <row r="163" spans="1:5" x14ac:dyDescent="0.25">
      <c r="A163" s="25" t="s">
        <v>868</v>
      </c>
      <c r="B163" s="4" t="s">
        <v>138</v>
      </c>
      <c r="C163" s="4" t="s">
        <v>300</v>
      </c>
      <c r="D163" s="4" t="s">
        <v>38</v>
      </c>
      <c r="E163" s="16" t="s">
        <v>931</v>
      </c>
    </row>
    <row r="164" spans="1:5" x14ac:dyDescent="0.25">
      <c r="A164" s="25" t="s">
        <v>711</v>
      </c>
      <c r="B164" s="4" t="s">
        <v>138</v>
      </c>
      <c r="C164" s="4" t="s">
        <v>234</v>
      </c>
      <c r="D164" s="4" t="s">
        <v>178</v>
      </c>
      <c r="E164" s="16" t="s">
        <v>932</v>
      </c>
    </row>
    <row r="165" spans="1:5" x14ac:dyDescent="0.25">
      <c r="A165" s="25" t="s">
        <v>685</v>
      </c>
      <c r="B165" s="4" t="s">
        <v>138</v>
      </c>
      <c r="C165" s="4" t="s">
        <v>245</v>
      </c>
      <c r="D165" s="4" t="s">
        <v>170</v>
      </c>
      <c r="E165" s="16" t="s">
        <v>933</v>
      </c>
    </row>
    <row r="166" spans="1:5" x14ac:dyDescent="0.25">
      <c r="A166" s="25" t="s">
        <v>833</v>
      </c>
      <c r="B166" s="4" t="s">
        <v>138</v>
      </c>
      <c r="C166" s="4" t="s">
        <v>135</v>
      </c>
      <c r="D166" s="4" t="s">
        <v>179</v>
      </c>
      <c r="E166" s="16" t="s">
        <v>934</v>
      </c>
    </row>
    <row r="168" spans="1:5" ht="14.4" x14ac:dyDescent="0.3">
      <c r="A168" s="26"/>
      <c r="B168" s="27" t="s">
        <v>159</v>
      </c>
    </row>
    <row r="169" spans="1:5" ht="13.8" x14ac:dyDescent="0.25">
      <c r="A169" s="29" t="s">
        <v>129</v>
      </c>
      <c r="B169" s="29" t="s">
        <v>130</v>
      </c>
      <c r="C169" s="29" t="s">
        <v>131</v>
      </c>
      <c r="D169" s="29" t="s">
        <v>584</v>
      </c>
      <c r="E169" s="29" t="s">
        <v>133</v>
      </c>
    </row>
    <row r="170" spans="1:5" x14ac:dyDescent="0.25">
      <c r="A170" s="25" t="s">
        <v>512</v>
      </c>
      <c r="B170" s="4" t="s">
        <v>593</v>
      </c>
      <c r="C170" s="4" t="s">
        <v>234</v>
      </c>
      <c r="D170" s="4" t="s">
        <v>178</v>
      </c>
      <c r="E170" s="16" t="s">
        <v>594</v>
      </c>
    </row>
    <row r="171" spans="1:5" x14ac:dyDescent="0.25">
      <c r="A171" s="25" t="s">
        <v>784</v>
      </c>
      <c r="B171" s="4" t="s">
        <v>248</v>
      </c>
      <c r="C171" s="4" t="s">
        <v>150</v>
      </c>
      <c r="D171" s="4" t="s">
        <v>26</v>
      </c>
      <c r="E171" s="16" t="s">
        <v>935</v>
      </c>
    </row>
    <row r="172" spans="1:5" x14ac:dyDescent="0.25">
      <c r="A172" s="25" t="s">
        <v>725</v>
      </c>
      <c r="B172" s="4" t="s">
        <v>936</v>
      </c>
      <c r="C172" s="4" t="s">
        <v>234</v>
      </c>
      <c r="D172" s="4" t="s">
        <v>177</v>
      </c>
      <c r="E172" s="16" t="s">
        <v>937</v>
      </c>
    </row>
    <row r="173" spans="1:5" x14ac:dyDescent="0.25">
      <c r="A173" s="25" t="s">
        <v>890</v>
      </c>
      <c r="B173" s="4" t="s">
        <v>485</v>
      </c>
      <c r="C173" s="4" t="s">
        <v>588</v>
      </c>
      <c r="D173" s="4" t="s">
        <v>107</v>
      </c>
      <c r="E173" s="16" t="s">
        <v>938</v>
      </c>
    </row>
    <row r="174" spans="1:5" x14ac:dyDescent="0.25">
      <c r="A174" s="25" t="s">
        <v>691</v>
      </c>
      <c r="B174" s="4" t="s">
        <v>939</v>
      </c>
      <c r="C174" s="4" t="s">
        <v>245</v>
      </c>
      <c r="D174" s="4" t="s">
        <v>318</v>
      </c>
      <c r="E174" s="16" t="s">
        <v>940</v>
      </c>
    </row>
    <row r="175" spans="1:5" x14ac:dyDescent="0.25">
      <c r="A175" s="25" t="s">
        <v>407</v>
      </c>
      <c r="B175" s="4" t="s">
        <v>485</v>
      </c>
      <c r="C175" s="4" t="s">
        <v>234</v>
      </c>
      <c r="D175" s="4" t="s">
        <v>411</v>
      </c>
      <c r="E175" s="16" t="s">
        <v>941</v>
      </c>
    </row>
    <row r="176" spans="1:5" x14ac:dyDescent="0.25">
      <c r="A176" s="25" t="s">
        <v>855</v>
      </c>
      <c r="B176" s="4" t="s">
        <v>485</v>
      </c>
      <c r="C176" s="4" t="s">
        <v>135</v>
      </c>
      <c r="D176" s="4" t="s">
        <v>25</v>
      </c>
      <c r="E176" s="16" t="s">
        <v>942</v>
      </c>
    </row>
    <row r="177" spans="1:5" x14ac:dyDescent="0.25">
      <c r="A177" s="25" t="s">
        <v>846</v>
      </c>
      <c r="B177" s="4" t="s">
        <v>490</v>
      </c>
      <c r="C177" s="4" t="s">
        <v>135</v>
      </c>
      <c r="D177" s="4" t="s">
        <v>89</v>
      </c>
      <c r="E177" s="16" t="s">
        <v>943</v>
      </c>
    </row>
    <row r="178" spans="1:5" x14ac:dyDescent="0.25">
      <c r="A178" s="25" t="s">
        <v>441</v>
      </c>
      <c r="B178" s="4" t="s">
        <v>160</v>
      </c>
      <c r="C178" s="4" t="s">
        <v>141</v>
      </c>
      <c r="D178" s="4" t="s">
        <v>63</v>
      </c>
      <c r="E178" s="16" t="s">
        <v>944</v>
      </c>
    </row>
    <row r="179" spans="1:5" x14ac:dyDescent="0.25">
      <c r="A179" s="25" t="s">
        <v>777</v>
      </c>
      <c r="B179" s="4" t="s">
        <v>251</v>
      </c>
      <c r="C179" s="4" t="s">
        <v>150</v>
      </c>
      <c r="D179" s="4" t="s">
        <v>26</v>
      </c>
      <c r="E179" s="16" t="s">
        <v>945</v>
      </c>
    </row>
    <row r="180" spans="1:5" x14ac:dyDescent="0.25">
      <c r="A180" s="25" t="s">
        <v>716</v>
      </c>
      <c r="B180" s="4" t="s">
        <v>485</v>
      </c>
      <c r="C180" s="4" t="s">
        <v>234</v>
      </c>
      <c r="D180" s="4" t="s">
        <v>178</v>
      </c>
      <c r="E180" s="16" t="s">
        <v>946</v>
      </c>
    </row>
    <row r="181" spans="1:5" x14ac:dyDescent="0.25">
      <c r="A181" s="25" t="s">
        <v>787</v>
      </c>
      <c r="B181" s="4" t="s">
        <v>248</v>
      </c>
      <c r="C181" s="4" t="s">
        <v>150</v>
      </c>
      <c r="D181" s="4" t="s">
        <v>180</v>
      </c>
      <c r="E181" s="16" t="s">
        <v>947</v>
      </c>
    </row>
    <row r="182" spans="1:5" x14ac:dyDescent="0.25">
      <c r="A182" s="25" t="s">
        <v>769</v>
      </c>
      <c r="B182" s="4" t="s">
        <v>160</v>
      </c>
      <c r="C182" s="4" t="s">
        <v>150</v>
      </c>
      <c r="D182" s="4" t="s">
        <v>62</v>
      </c>
      <c r="E182" s="16" t="s">
        <v>948</v>
      </c>
    </row>
    <row r="183" spans="1:5" x14ac:dyDescent="0.25">
      <c r="A183" s="25" t="s">
        <v>858</v>
      </c>
      <c r="B183" s="4" t="s">
        <v>485</v>
      </c>
      <c r="C183" s="4" t="s">
        <v>135</v>
      </c>
      <c r="D183" s="4" t="s">
        <v>187</v>
      </c>
      <c r="E183" s="16" t="s">
        <v>949</v>
      </c>
    </row>
    <row r="184" spans="1:5" x14ac:dyDescent="0.25">
      <c r="A184" s="25" t="s">
        <v>780</v>
      </c>
      <c r="B184" s="4" t="s">
        <v>251</v>
      </c>
      <c r="C184" s="4" t="s">
        <v>150</v>
      </c>
      <c r="D184" s="4" t="s">
        <v>25</v>
      </c>
      <c r="E184" s="16" t="s">
        <v>950</v>
      </c>
    </row>
    <row r="185" spans="1:5" x14ac:dyDescent="0.25">
      <c r="A185" s="25" t="s">
        <v>398</v>
      </c>
      <c r="B185" s="4" t="s">
        <v>490</v>
      </c>
      <c r="C185" s="4" t="s">
        <v>234</v>
      </c>
      <c r="D185" s="4" t="s">
        <v>179</v>
      </c>
      <c r="E185" s="16" t="s">
        <v>951</v>
      </c>
    </row>
    <row r="186" spans="1:5" x14ac:dyDescent="0.25">
      <c r="A186" s="25" t="s">
        <v>729</v>
      </c>
      <c r="B186" s="4" t="s">
        <v>593</v>
      </c>
      <c r="C186" s="4" t="s">
        <v>234</v>
      </c>
      <c r="D186" s="4" t="s">
        <v>318</v>
      </c>
      <c r="E186" s="16" t="s">
        <v>952</v>
      </c>
    </row>
    <row r="187" spans="1:5" x14ac:dyDescent="0.25">
      <c r="A187" s="25" t="s">
        <v>872</v>
      </c>
      <c r="B187" s="4" t="s">
        <v>160</v>
      </c>
      <c r="C187" s="4" t="s">
        <v>300</v>
      </c>
      <c r="D187" s="4" t="s">
        <v>63</v>
      </c>
      <c r="E187" s="16" t="s">
        <v>953</v>
      </c>
    </row>
    <row r="188" spans="1:5" x14ac:dyDescent="0.25">
      <c r="A188" s="25" t="s">
        <v>837</v>
      </c>
      <c r="B188" s="4" t="s">
        <v>160</v>
      </c>
      <c r="C188" s="4" t="s">
        <v>135</v>
      </c>
      <c r="D188" s="4" t="s">
        <v>89</v>
      </c>
      <c r="E188" s="16" t="s">
        <v>954</v>
      </c>
    </row>
    <row r="189" spans="1:5" x14ac:dyDescent="0.25">
      <c r="A189" s="25" t="s">
        <v>850</v>
      </c>
      <c r="B189" s="4" t="s">
        <v>490</v>
      </c>
      <c r="C189" s="4" t="s">
        <v>135</v>
      </c>
      <c r="D189" s="4" t="s">
        <v>411</v>
      </c>
      <c r="E189" s="16" t="s">
        <v>955</v>
      </c>
    </row>
    <row r="190" spans="1:5" x14ac:dyDescent="0.25">
      <c r="A190" s="25" t="s">
        <v>811</v>
      </c>
      <c r="B190" s="4" t="s">
        <v>160</v>
      </c>
      <c r="C190" s="4" t="s">
        <v>141</v>
      </c>
      <c r="D190" s="4" t="s">
        <v>188</v>
      </c>
      <c r="E190" s="16" t="s">
        <v>956</v>
      </c>
    </row>
    <row r="191" spans="1:5" x14ac:dyDescent="0.25">
      <c r="A191" s="25" t="s">
        <v>773</v>
      </c>
      <c r="B191" s="4" t="s">
        <v>160</v>
      </c>
      <c r="C191" s="4" t="s">
        <v>150</v>
      </c>
      <c r="D191" s="4" t="s">
        <v>25</v>
      </c>
      <c r="E191" s="16" t="s">
        <v>957</v>
      </c>
    </row>
    <row r="192" spans="1:5" x14ac:dyDescent="0.25">
      <c r="A192" s="25" t="s">
        <v>842</v>
      </c>
      <c r="B192" s="4" t="s">
        <v>160</v>
      </c>
      <c r="C192" s="4" t="s">
        <v>135</v>
      </c>
      <c r="D192" s="4" t="s">
        <v>26</v>
      </c>
      <c r="E192" s="16" t="s">
        <v>958</v>
      </c>
    </row>
    <row r="193" spans="1:5" x14ac:dyDescent="0.25">
      <c r="A193" s="25" t="s">
        <v>721</v>
      </c>
      <c r="B193" s="4" t="s">
        <v>248</v>
      </c>
      <c r="C193" s="4" t="s">
        <v>234</v>
      </c>
      <c r="D193" s="4" t="s">
        <v>320</v>
      </c>
      <c r="E193" s="16" t="s">
        <v>959</v>
      </c>
    </row>
  </sheetData>
  <mergeCells count="24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94:J94"/>
    <mergeCell ref="A8:J8"/>
    <mergeCell ref="A11:J11"/>
    <mergeCell ref="A17:J17"/>
    <mergeCell ref="A20:J20"/>
    <mergeCell ref="A23:J23"/>
    <mergeCell ref="A28:J28"/>
    <mergeCell ref="A36:J36"/>
    <mergeCell ref="A49:J49"/>
    <mergeCell ref="A65:J65"/>
    <mergeCell ref="A76:J76"/>
    <mergeCell ref="A88:J8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selection activeCell="A3" sqref="A3:A4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11.88671875" style="4" bestFit="1" customWidth="1"/>
    <col min="5" max="5" width="22.6640625" style="4" bestFit="1" customWidth="1"/>
    <col min="6" max="6" width="32" style="4" bestFit="1" customWidth="1"/>
    <col min="7" max="10" width="5.5546875" style="3" customWidth="1"/>
    <col min="11" max="11" width="11.33203125" style="16" bestFit="1" customWidth="1"/>
    <col min="12" max="12" width="8.5546875" style="2" bestFit="1" customWidth="1"/>
    <col min="13" max="13" width="32.109375" style="4" bestFit="1" customWidth="1"/>
    <col min="14" max="16384" width="9.109375" style="3"/>
  </cols>
  <sheetData>
    <row r="1" spans="1:13" s="2" customFormat="1" ht="29.1" customHeight="1" x14ac:dyDescent="0.25">
      <c r="A1" s="39" t="s">
        <v>1372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14</v>
      </c>
      <c r="H3" s="37"/>
      <c r="I3" s="37"/>
      <c r="J3" s="37"/>
      <c r="K3" s="37" t="s">
        <v>605</v>
      </c>
      <c r="L3" s="37" t="s">
        <v>3</v>
      </c>
      <c r="M3" s="48" t="s">
        <v>2</v>
      </c>
    </row>
    <row r="4" spans="1:13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38"/>
      <c r="L4" s="38"/>
      <c r="M4" s="49"/>
    </row>
    <row r="5" spans="1:13" ht="15.6" x14ac:dyDescent="0.3">
      <c r="A5" s="34" t="s">
        <v>313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5">
      <c r="A6" s="6" t="s">
        <v>1015</v>
      </c>
      <c r="B6" s="6" t="s">
        <v>1016</v>
      </c>
      <c r="C6" s="6" t="s">
        <v>1017</v>
      </c>
      <c r="D6" s="6" t="str">
        <f>"1,3244"</f>
        <v>1,3244</v>
      </c>
      <c r="E6" s="6" t="s">
        <v>20</v>
      </c>
      <c r="F6" s="6" t="s">
        <v>46</v>
      </c>
      <c r="G6" s="7" t="s">
        <v>170</v>
      </c>
      <c r="H6" s="7" t="s">
        <v>177</v>
      </c>
      <c r="I6" s="8" t="s">
        <v>178</v>
      </c>
      <c r="J6" s="8"/>
      <c r="K6" s="17" t="str">
        <f>"120,0"</f>
        <v>120,0</v>
      </c>
      <c r="L6" s="18" t="str">
        <f>"158,9280"</f>
        <v>158,9280</v>
      </c>
      <c r="M6" s="6" t="s">
        <v>435</v>
      </c>
    </row>
    <row r="7" spans="1:13" x14ac:dyDescent="0.25">
      <c r="A7" s="9" t="s">
        <v>1019</v>
      </c>
      <c r="B7" s="9" t="s">
        <v>1020</v>
      </c>
      <c r="C7" s="9" t="s">
        <v>1021</v>
      </c>
      <c r="D7" s="9" t="str">
        <f>"1,3449"</f>
        <v>1,3449</v>
      </c>
      <c r="E7" s="9" t="s">
        <v>20</v>
      </c>
      <c r="F7" s="9" t="s">
        <v>1022</v>
      </c>
      <c r="G7" s="10" t="s">
        <v>168</v>
      </c>
      <c r="H7" s="11" t="s">
        <v>395</v>
      </c>
      <c r="I7" s="10" t="s">
        <v>395</v>
      </c>
      <c r="J7" s="11"/>
      <c r="K7" s="19" t="str">
        <f>"102,5"</f>
        <v>102,5</v>
      </c>
      <c r="L7" s="20" t="str">
        <f>"151,2239"</f>
        <v>151,2239</v>
      </c>
      <c r="M7" s="9" t="s">
        <v>964</v>
      </c>
    </row>
    <row r="9" spans="1:13" ht="15.6" x14ac:dyDescent="0.3">
      <c r="A9" s="36" t="s">
        <v>325</v>
      </c>
      <c r="B9" s="36"/>
      <c r="C9" s="36"/>
      <c r="D9" s="36"/>
      <c r="E9" s="36"/>
      <c r="F9" s="36"/>
      <c r="G9" s="36"/>
      <c r="H9" s="36"/>
      <c r="I9" s="36"/>
      <c r="J9" s="36"/>
    </row>
    <row r="10" spans="1:13" x14ac:dyDescent="0.25">
      <c r="A10" s="28" t="s">
        <v>1024</v>
      </c>
      <c r="B10" s="28" t="s">
        <v>1025</v>
      </c>
      <c r="C10" s="28" t="s">
        <v>1026</v>
      </c>
      <c r="D10" s="28" t="str">
        <f>"1,2485"</f>
        <v>1,2485</v>
      </c>
      <c r="E10" s="28" t="s">
        <v>20</v>
      </c>
      <c r="F10" s="28" t="s">
        <v>46</v>
      </c>
      <c r="G10" s="31" t="s">
        <v>187</v>
      </c>
      <c r="H10" s="30" t="s">
        <v>187</v>
      </c>
      <c r="I10" s="30" t="s">
        <v>411</v>
      </c>
      <c r="J10" s="31"/>
      <c r="K10" s="32" t="str">
        <f>"142,5"</f>
        <v>142,5</v>
      </c>
      <c r="L10" s="33" t="str">
        <f>"177,9112"</f>
        <v>177,9112</v>
      </c>
      <c r="M10" s="28" t="s">
        <v>220</v>
      </c>
    </row>
    <row r="12" spans="1:13" ht="15.6" x14ac:dyDescent="0.3">
      <c r="A12" s="36" t="s">
        <v>625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3" x14ac:dyDescent="0.25">
      <c r="A13" s="6" t="s">
        <v>1028</v>
      </c>
      <c r="B13" s="6" t="s">
        <v>1029</v>
      </c>
      <c r="C13" s="6" t="s">
        <v>1030</v>
      </c>
      <c r="D13" s="6" t="str">
        <f>"1,1766"</f>
        <v>1,1766</v>
      </c>
      <c r="E13" s="6" t="s">
        <v>20</v>
      </c>
      <c r="F13" s="6" t="s">
        <v>46</v>
      </c>
      <c r="G13" s="7" t="s">
        <v>206</v>
      </c>
      <c r="H13" s="7" t="s">
        <v>207</v>
      </c>
      <c r="I13" s="7" t="s">
        <v>170</v>
      </c>
      <c r="J13" s="8"/>
      <c r="K13" s="17" t="str">
        <f>"110,0"</f>
        <v>110,0</v>
      </c>
      <c r="L13" s="18" t="str">
        <f>"129,4260"</f>
        <v>129,4260</v>
      </c>
      <c r="M13" s="6" t="s">
        <v>220</v>
      </c>
    </row>
    <row r="14" spans="1:13" x14ac:dyDescent="0.25">
      <c r="A14" s="12" t="s">
        <v>1032</v>
      </c>
      <c r="B14" s="12" t="s">
        <v>1033</v>
      </c>
      <c r="C14" s="12" t="s">
        <v>1034</v>
      </c>
      <c r="D14" s="12" t="str">
        <f>"1,1816"</f>
        <v>1,1816</v>
      </c>
      <c r="E14" s="12" t="s">
        <v>20</v>
      </c>
      <c r="F14" s="12" t="s">
        <v>818</v>
      </c>
      <c r="G14" s="13" t="s">
        <v>395</v>
      </c>
      <c r="H14" s="13" t="s">
        <v>207</v>
      </c>
      <c r="I14" s="14"/>
      <c r="J14" s="14"/>
      <c r="K14" s="21" t="str">
        <f>"107,5"</f>
        <v>107,5</v>
      </c>
      <c r="L14" s="22" t="str">
        <f>"127,0220"</f>
        <v>127,0220</v>
      </c>
      <c r="M14" s="12" t="s">
        <v>1035</v>
      </c>
    </row>
    <row r="15" spans="1:13" x14ac:dyDescent="0.25">
      <c r="A15" s="9" t="s">
        <v>1037</v>
      </c>
      <c r="B15" s="9" t="s">
        <v>1038</v>
      </c>
      <c r="C15" s="9" t="s">
        <v>1039</v>
      </c>
      <c r="D15" s="9" t="str">
        <f>"1,2019"</f>
        <v>1,2019</v>
      </c>
      <c r="E15" s="9" t="s">
        <v>20</v>
      </c>
      <c r="F15" s="9" t="s">
        <v>46</v>
      </c>
      <c r="G15" s="10" t="s">
        <v>263</v>
      </c>
      <c r="H15" s="10" t="s">
        <v>264</v>
      </c>
      <c r="I15" s="10" t="s">
        <v>319</v>
      </c>
      <c r="J15" s="11"/>
      <c r="K15" s="19" t="str">
        <f>"82,5"</f>
        <v>82,5</v>
      </c>
      <c r="L15" s="20" t="str">
        <f>"99,1568"</f>
        <v>99,1568</v>
      </c>
      <c r="M15" s="9" t="s">
        <v>1040</v>
      </c>
    </row>
    <row r="17" spans="1:13" ht="15.6" x14ac:dyDescent="0.3">
      <c r="A17" s="36" t="s">
        <v>258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3" x14ac:dyDescent="0.25">
      <c r="A18" s="28" t="s">
        <v>1042</v>
      </c>
      <c r="B18" s="28" t="s">
        <v>1043</v>
      </c>
      <c r="C18" s="28" t="s">
        <v>262</v>
      </c>
      <c r="D18" s="28" t="str">
        <f>"1,1340"</f>
        <v>1,1340</v>
      </c>
      <c r="E18" s="28" t="s">
        <v>20</v>
      </c>
      <c r="F18" s="28" t="s">
        <v>46</v>
      </c>
      <c r="G18" s="30" t="s">
        <v>352</v>
      </c>
      <c r="H18" s="30" t="s">
        <v>318</v>
      </c>
      <c r="I18" s="30" t="s">
        <v>338</v>
      </c>
      <c r="J18" s="31"/>
      <c r="K18" s="32" t="str">
        <f>"90,0"</f>
        <v>90,0</v>
      </c>
      <c r="L18" s="33" t="str">
        <f>"102,0600"</f>
        <v>102,0600</v>
      </c>
      <c r="M18" s="28" t="s">
        <v>1040</v>
      </c>
    </row>
    <row r="20" spans="1:13" ht="15.6" x14ac:dyDescent="0.3">
      <c r="A20" s="36" t="s">
        <v>356</v>
      </c>
      <c r="B20" s="36"/>
      <c r="C20" s="36"/>
      <c r="D20" s="36"/>
      <c r="E20" s="36"/>
      <c r="F20" s="36"/>
      <c r="G20" s="36"/>
      <c r="H20" s="36"/>
      <c r="I20" s="36"/>
      <c r="J20" s="36"/>
    </row>
    <row r="21" spans="1:13" x14ac:dyDescent="0.25">
      <c r="A21" s="6" t="s">
        <v>1045</v>
      </c>
      <c r="B21" s="6" t="s">
        <v>1046</v>
      </c>
      <c r="C21" s="6" t="s">
        <v>1047</v>
      </c>
      <c r="D21" s="6" t="str">
        <f>"1,0432"</f>
        <v>1,0432</v>
      </c>
      <c r="E21" s="6" t="s">
        <v>20</v>
      </c>
      <c r="F21" s="6" t="s">
        <v>46</v>
      </c>
      <c r="G21" s="7" t="s">
        <v>37</v>
      </c>
      <c r="H21" s="7" t="s">
        <v>1048</v>
      </c>
      <c r="I21" s="8" t="s">
        <v>62</v>
      </c>
      <c r="J21" s="8"/>
      <c r="K21" s="17" t="str">
        <f>"150,5"</f>
        <v>150,5</v>
      </c>
      <c r="L21" s="18" t="str">
        <f>"157,0016"</f>
        <v>157,0016</v>
      </c>
      <c r="M21" s="6" t="s">
        <v>120</v>
      </c>
    </row>
    <row r="22" spans="1:13" x14ac:dyDescent="0.25">
      <c r="A22" s="12" t="s">
        <v>1050</v>
      </c>
      <c r="B22" s="12" t="s">
        <v>1051</v>
      </c>
      <c r="C22" s="12" t="s">
        <v>1052</v>
      </c>
      <c r="D22" s="12" t="str">
        <f>"1,0613"</f>
        <v>1,0613</v>
      </c>
      <c r="E22" s="12" t="s">
        <v>610</v>
      </c>
      <c r="F22" s="12" t="s">
        <v>46</v>
      </c>
      <c r="G22" s="13" t="s">
        <v>179</v>
      </c>
      <c r="H22" s="13" t="s">
        <v>187</v>
      </c>
      <c r="I22" s="14" t="s">
        <v>506</v>
      </c>
      <c r="J22" s="14"/>
      <c r="K22" s="21" t="str">
        <f>"135,0"</f>
        <v>135,0</v>
      </c>
      <c r="L22" s="22" t="str">
        <f>"143,2755"</f>
        <v>143,2755</v>
      </c>
      <c r="M22" s="12" t="s">
        <v>341</v>
      </c>
    </row>
    <row r="23" spans="1:13" x14ac:dyDescent="0.25">
      <c r="A23" s="9" t="s">
        <v>1054</v>
      </c>
      <c r="B23" s="9" t="s">
        <v>1055</v>
      </c>
      <c r="C23" s="9" t="s">
        <v>1047</v>
      </c>
      <c r="D23" s="9" t="str">
        <f>"1,0432"</f>
        <v>1,0432</v>
      </c>
      <c r="E23" s="9" t="s">
        <v>20</v>
      </c>
      <c r="F23" s="9" t="s">
        <v>46</v>
      </c>
      <c r="G23" s="10" t="s">
        <v>179</v>
      </c>
      <c r="H23" s="10" t="s">
        <v>187</v>
      </c>
      <c r="I23" s="11" t="s">
        <v>37</v>
      </c>
      <c r="J23" s="11"/>
      <c r="K23" s="19" t="str">
        <f>"135,0"</f>
        <v>135,0</v>
      </c>
      <c r="L23" s="20" t="str">
        <f>"188,7149"</f>
        <v>188,7149</v>
      </c>
      <c r="M23" s="9" t="s">
        <v>220</v>
      </c>
    </row>
    <row r="25" spans="1:13" ht="15.6" x14ac:dyDescent="0.3">
      <c r="A25" s="36" t="s">
        <v>172</v>
      </c>
      <c r="B25" s="36"/>
      <c r="C25" s="36"/>
      <c r="D25" s="36"/>
      <c r="E25" s="36"/>
      <c r="F25" s="36"/>
      <c r="G25" s="36"/>
      <c r="H25" s="36"/>
      <c r="I25" s="36"/>
      <c r="J25" s="36"/>
    </row>
    <row r="26" spans="1:13" x14ac:dyDescent="0.25">
      <c r="A26" s="6" t="s">
        <v>1057</v>
      </c>
      <c r="B26" s="6" t="s">
        <v>1058</v>
      </c>
      <c r="C26" s="6" t="s">
        <v>1059</v>
      </c>
      <c r="D26" s="6" t="str">
        <f>"0,9621"</f>
        <v>0,9621</v>
      </c>
      <c r="E26" s="6" t="s">
        <v>20</v>
      </c>
      <c r="F26" s="6" t="s">
        <v>46</v>
      </c>
      <c r="G26" s="7" t="s">
        <v>37</v>
      </c>
      <c r="H26" s="7" t="s">
        <v>531</v>
      </c>
      <c r="I26" s="8" t="s">
        <v>188</v>
      </c>
      <c r="J26" s="8"/>
      <c r="K26" s="17" t="str">
        <f>"147,5"</f>
        <v>147,5</v>
      </c>
      <c r="L26" s="18" t="str">
        <f>"148,0119"</f>
        <v>148,0119</v>
      </c>
      <c r="M26" s="6" t="s">
        <v>120</v>
      </c>
    </row>
    <row r="27" spans="1:13" x14ac:dyDescent="0.25">
      <c r="A27" s="9" t="s">
        <v>1061</v>
      </c>
      <c r="B27" s="9" t="s">
        <v>1062</v>
      </c>
      <c r="C27" s="9" t="s">
        <v>1063</v>
      </c>
      <c r="D27" s="9" t="str">
        <f>"0,9988"</f>
        <v>0,9988</v>
      </c>
      <c r="E27" s="9" t="s">
        <v>20</v>
      </c>
      <c r="F27" s="9" t="s">
        <v>185</v>
      </c>
      <c r="G27" s="10" t="s">
        <v>170</v>
      </c>
      <c r="H27" s="10" t="s">
        <v>177</v>
      </c>
      <c r="I27" s="10" t="s">
        <v>83</v>
      </c>
      <c r="J27" s="11"/>
      <c r="K27" s="19" t="str">
        <f>"127,5"</f>
        <v>127,5</v>
      </c>
      <c r="L27" s="20" t="str">
        <f>"150,7788"</f>
        <v>150,7788</v>
      </c>
      <c r="M27" s="9" t="s">
        <v>435</v>
      </c>
    </row>
    <row r="29" spans="1:13" ht="15.6" x14ac:dyDescent="0.3">
      <c r="A29" s="36" t="s">
        <v>15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13" x14ac:dyDescent="0.25">
      <c r="A30" s="28" t="s">
        <v>1065</v>
      </c>
      <c r="B30" s="28" t="s">
        <v>1066</v>
      </c>
      <c r="C30" s="28" t="s">
        <v>197</v>
      </c>
      <c r="D30" s="28" t="str">
        <f>"0,8681"</f>
        <v>0,8681</v>
      </c>
      <c r="E30" s="28" t="s">
        <v>20</v>
      </c>
      <c r="F30" s="28" t="s">
        <v>46</v>
      </c>
      <c r="G30" s="30" t="s">
        <v>38</v>
      </c>
      <c r="H30" s="30" t="s">
        <v>62</v>
      </c>
      <c r="I30" s="31" t="s">
        <v>63</v>
      </c>
      <c r="J30" s="31"/>
      <c r="K30" s="32" t="str">
        <f>"160,0"</f>
        <v>160,0</v>
      </c>
      <c r="L30" s="33" t="str">
        <f>"138,8960"</f>
        <v>138,8960</v>
      </c>
      <c r="M30" s="28" t="s">
        <v>1067</v>
      </c>
    </row>
    <row r="32" spans="1:13" ht="15.6" x14ac:dyDescent="0.3">
      <c r="A32" s="36" t="s">
        <v>356</v>
      </c>
      <c r="B32" s="36"/>
      <c r="C32" s="36"/>
      <c r="D32" s="36"/>
      <c r="E32" s="36"/>
      <c r="F32" s="36"/>
      <c r="G32" s="36"/>
      <c r="H32" s="36"/>
      <c r="I32" s="36"/>
      <c r="J32" s="36"/>
    </row>
    <row r="33" spans="1:13" x14ac:dyDescent="0.25">
      <c r="A33" s="28" t="s">
        <v>1069</v>
      </c>
      <c r="B33" s="28" t="s">
        <v>1070</v>
      </c>
      <c r="C33" s="28" t="s">
        <v>1071</v>
      </c>
      <c r="D33" s="28" t="str">
        <f>"0,7891"</f>
        <v>0,7891</v>
      </c>
      <c r="E33" s="28" t="s">
        <v>20</v>
      </c>
      <c r="F33" s="28" t="s">
        <v>292</v>
      </c>
      <c r="G33" s="30" t="s">
        <v>22</v>
      </c>
      <c r="H33" s="30" t="s">
        <v>71</v>
      </c>
      <c r="I33" s="31" t="s">
        <v>80</v>
      </c>
      <c r="J33" s="31"/>
      <c r="K33" s="32" t="str">
        <f>"210,0"</f>
        <v>210,0</v>
      </c>
      <c r="L33" s="33" t="str">
        <f>"165,7110"</f>
        <v>165,7110</v>
      </c>
      <c r="M33" s="28" t="s">
        <v>435</v>
      </c>
    </row>
    <row r="35" spans="1:13" ht="15.6" x14ac:dyDescent="0.3">
      <c r="A35" s="36" t="s">
        <v>172</v>
      </c>
      <c r="B35" s="36"/>
      <c r="C35" s="36"/>
      <c r="D35" s="36"/>
      <c r="E35" s="36"/>
      <c r="F35" s="36"/>
      <c r="G35" s="36"/>
      <c r="H35" s="36"/>
      <c r="I35" s="36"/>
      <c r="J35" s="36"/>
    </row>
    <row r="36" spans="1:13" x14ac:dyDescent="0.25">
      <c r="A36" s="28" t="s">
        <v>1073</v>
      </c>
      <c r="B36" s="28" t="s">
        <v>1074</v>
      </c>
      <c r="C36" s="28" t="s">
        <v>674</v>
      </c>
      <c r="D36" s="28" t="str">
        <f>"0,7166"</f>
        <v>0,7166</v>
      </c>
      <c r="E36" s="28" t="s">
        <v>20</v>
      </c>
      <c r="F36" s="28" t="s">
        <v>46</v>
      </c>
      <c r="G36" s="30" t="s">
        <v>62</v>
      </c>
      <c r="H36" s="31" t="s">
        <v>63</v>
      </c>
      <c r="I36" s="31" t="s">
        <v>63</v>
      </c>
      <c r="J36" s="31"/>
      <c r="K36" s="32" t="str">
        <f>"160,0"</f>
        <v>160,0</v>
      </c>
      <c r="L36" s="33" t="str">
        <f>"114,6560"</f>
        <v>114,6560</v>
      </c>
      <c r="M36" s="28" t="s">
        <v>1075</v>
      </c>
    </row>
    <row r="38" spans="1:13" ht="15.6" x14ac:dyDescent="0.3">
      <c r="A38" s="36" t="s">
        <v>163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3" x14ac:dyDescent="0.25">
      <c r="A39" s="6" t="s">
        <v>1077</v>
      </c>
      <c r="B39" s="6" t="s">
        <v>1078</v>
      </c>
      <c r="C39" s="6" t="s">
        <v>1079</v>
      </c>
      <c r="D39" s="6" t="str">
        <f>"0,6876"</f>
        <v>0,6876</v>
      </c>
      <c r="E39" s="6" t="s">
        <v>20</v>
      </c>
      <c r="F39" s="6" t="s">
        <v>79</v>
      </c>
      <c r="G39" s="7" t="s">
        <v>99</v>
      </c>
      <c r="H39" s="7" t="s">
        <v>561</v>
      </c>
      <c r="I39" s="7" t="s">
        <v>23</v>
      </c>
      <c r="J39" s="8"/>
      <c r="K39" s="17" t="str">
        <f>"220,0"</f>
        <v>220,0</v>
      </c>
      <c r="L39" s="18" t="str">
        <f>"151,2720"</f>
        <v>151,2720</v>
      </c>
      <c r="M39" s="6" t="s">
        <v>389</v>
      </c>
    </row>
    <row r="40" spans="1:13" x14ac:dyDescent="0.25">
      <c r="A40" s="12" t="s">
        <v>1080</v>
      </c>
      <c r="B40" s="12" t="s">
        <v>392</v>
      </c>
      <c r="C40" s="12" t="s">
        <v>393</v>
      </c>
      <c r="D40" s="12" t="str">
        <f>"0,6888"</f>
        <v>0,6888</v>
      </c>
      <c r="E40" s="12" t="s">
        <v>20</v>
      </c>
      <c r="F40" s="12" t="s">
        <v>46</v>
      </c>
      <c r="G40" s="13" t="s">
        <v>48</v>
      </c>
      <c r="H40" s="14" t="s">
        <v>50</v>
      </c>
      <c r="I40" s="14"/>
      <c r="J40" s="14"/>
      <c r="K40" s="21" t="str">
        <f>"180,0"</f>
        <v>180,0</v>
      </c>
      <c r="L40" s="22" t="str">
        <f>"123,9840"</f>
        <v>123,9840</v>
      </c>
      <c r="M40" s="12" t="s">
        <v>396</v>
      </c>
    </row>
    <row r="41" spans="1:13" x14ac:dyDescent="0.25">
      <c r="A41" s="12" t="s">
        <v>1082</v>
      </c>
      <c r="B41" s="12" t="s">
        <v>1083</v>
      </c>
      <c r="C41" s="12" t="s">
        <v>1079</v>
      </c>
      <c r="D41" s="12" t="str">
        <f>"0,6876"</f>
        <v>0,6876</v>
      </c>
      <c r="E41" s="12" t="s">
        <v>20</v>
      </c>
      <c r="F41" s="12" t="s">
        <v>1084</v>
      </c>
      <c r="G41" s="13" t="s">
        <v>28</v>
      </c>
      <c r="H41" s="14" t="s">
        <v>90</v>
      </c>
      <c r="I41" s="13" t="s">
        <v>90</v>
      </c>
      <c r="J41" s="14"/>
      <c r="K41" s="21" t="str">
        <f>"250,0"</f>
        <v>250,0</v>
      </c>
      <c r="L41" s="22" t="str">
        <f>"171,9000"</f>
        <v>171,9000</v>
      </c>
      <c r="M41" s="12" t="s">
        <v>1085</v>
      </c>
    </row>
    <row r="42" spans="1:13" x14ac:dyDescent="0.25">
      <c r="A42" s="12" t="s">
        <v>1080</v>
      </c>
      <c r="B42" s="12" t="s">
        <v>397</v>
      </c>
      <c r="C42" s="12" t="s">
        <v>393</v>
      </c>
      <c r="D42" s="12" t="str">
        <f>"0,6888"</f>
        <v>0,6888</v>
      </c>
      <c r="E42" s="12" t="s">
        <v>20</v>
      </c>
      <c r="F42" s="12" t="s">
        <v>46</v>
      </c>
      <c r="G42" s="13" t="s">
        <v>48</v>
      </c>
      <c r="H42" s="14" t="s">
        <v>50</v>
      </c>
      <c r="I42" s="14"/>
      <c r="J42" s="14"/>
      <c r="K42" s="21" t="str">
        <f>"180,0"</f>
        <v>180,0</v>
      </c>
      <c r="L42" s="22" t="str">
        <f>"123,9840"</f>
        <v>123,9840</v>
      </c>
      <c r="M42" s="12" t="s">
        <v>396</v>
      </c>
    </row>
    <row r="43" spans="1:13" x14ac:dyDescent="0.25">
      <c r="A43" s="12" t="s">
        <v>1087</v>
      </c>
      <c r="B43" s="12" t="s">
        <v>1088</v>
      </c>
      <c r="C43" s="12" t="s">
        <v>1089</v>
      </c>
      <c r="D43" s="12" t="str">
        <f>"0,6951"</f>
        <v>0,6951</v>
      </c>
      <c r="E43" s="12" t="s">
        <v>20</v>
      </c>
      <c r="F43" s="12" t="s">
        <v>46</v>
      </c>
      <c r="G43" s="13" t="s">
        <v>179</v>
      </c>
      <c r="H43" s="13" t="s">
        <v>26</v>
      </c>
      <c r="I43" s="13" t="s">
        <v>63</v>
      </c>
      <c r="J43" s="14"/>
      <c r="K43" s="21" t="str">
        <f>"170,0"</f>
        <v>170,0</v>
      </c>
      <c r="L43" s="22" t="str">
        <f>"118,1670"</f>
        <v>118,1670</v>
      </c>
      <c r="M43" s="12" t="s">
        <v>1090</v>
      </c>
    </row>
    <row r="44" spans="1:13" x14ac:dyDescent="0.25">
      <c r="A44" s="12" t="s">
        <v>399</v>
      </c>
      <c r="B44" s="12" t="s">
        <v>400</v>
      </c>
      <c r="C44" s="12" t="s">
        <v>401</v>
      </c>
      <c r="D44" s="12" t="str">
        <f>"0,6774"</f>
        <v>0,6774</v>
      </c>
      <c r="E44" s="12" t="s">
        <v>20</v>
      </c>
      <c r="F44" s="12" t="s">
        <v>46</v>
      </c>
      <c r="G44" s="13" t="s">
        <v>64</v>
      </c>
      <c r="H44" s="14" t="s">
        <v>404</v>
      </c>
      <c r="I44" s="14" t="s">
        <v>405</v>
      </c>
      <c r="J44" s="14"/>
      <c r="K44" s="21" t="str">
        <f>"172,5"</f>
        <v>172,5</v>
      </c>
      <c r="L44" s="22" t="str">
        <f>"134,0287"</f>
        <v>134,0287</v>
      </c>
      <c r="M44" s="12" t="s">
        <v>406</v>
      </c>
    </row>
    <row r="45" spans="1:13" x14ac:dyDescent="0.25">
      <c r="A45" s="12" t="s">
        <v>722</v>
      </c>
      <c r="B45" s="12" t="s">
        <v>723</v>
      </c>
      <c r="C45" s="12" t="s">
        <v>724</v>
      </c>
      <c r="D45" s="12" t="str">
        <f>"0,7055"</f>
        <v>0,7055</v>
      </c>
      <c r="E45" s="12" t="s">
        <v>20</v>
      </c>
      <c r="F45" s="12" t="s">
        <v>270</v>
      </c>
      <c r="G45" s="13" t="s">
        <v>22</v>
      </c>
      <c r="H45" s="13" t="s">
        <v>71</v>
      </c>
      <c r="I45" s="14" t="s">
        <v>1091</v>
      </c>
      <c r="J45" s="14"/>
      <c r="K45" s="21" t="str">
        <f>"210,0"</f>
        <v>210,0</v>
      </c>
      <c r="L45" s="22" t="str">
        <f>"210,5283"</f>
        <v>210,5283</v>
      </c>
      <c r="M45" s="12" t="s">
        <v>271</v>
      </c>
    </row>
    <row r="46" spans="1:13" x14ac:dyDescent="0.25">
      <c r="A46" s="9" t="s">
        <v>1092</v>
      </c>
      <c r="B46" s="9" t="s">
        <v>731</v>
      </c>
      <c r="C46" s="9" t="s">
        <v>732</v>
      </c>
      <c r="D46" s="9" t="str">
        <f>"0,6811"</f>
        <v>0,6811</v>
      </c>
      <c r="E46" s="9" t="s">
        <v>20</v>
      </c>
      <c r="F46" s="9" t="s">
        <v>549</v>
      </c>
      <c r="G46" s="10" t="s">
        <v>25</v>
      </c>
      <c r="H46" s="10" t="s">
        <v>38</v>
      </c>
      <c r="I46" s="10" t="s">
        <v>26</v>
      </c>
      <c r="J46" s="11"/>
      <c r="K46" s="19" t="str">
        <f>"155,0"</f>
        <v>155,0</v>
      </c>
      <c r="L46" s="20" t="str">
        <f>"193,7219"</f>
        <v>193,7219</v>
      </c>
      <c r="M46" s="9" t="s">
        <v>733</v>
      </c>
    </row>
    <row r="48" spans="1:13" ht="15.6" x14ac:dyDescent="0.3">
      <c r="A48" s="36" t="s">
        <v>15</v>
      </c>
      <c r="B48" s="36"/>
      <c r="C48" s="36"/>
      <c r="D48" s="36"/>
      <c r="E48" s="36"/>
      <c r="F48" s="36"/>
      <c r="G48" s="36"/>
      <c r="H48" s="36"/>
      <c r="I48" s="36"/>
      <c r="J48" s="36"/>
    </row>
    <row r="49" spans="1:13" x14ac:dyDescent="0.25">
      <c r="A49" s="6" t="s">
        <v>414</v>
      </c>
      <c r="B49" s="6" t="s">
        <v>415</v>
      </c>
      <c r="C49" s="6" t="s">
        <v>416</v>
      </c>
      <c r="D49" s="6" t="str">
        <f>"0,6436"</f>
        <v>0,6436</v>
      </c>
      <c r="E49" s="6" t="s">
        <v>20</v>
      </c>
      <c r="F49" s="6" t="s">
        <v>46</v>
      </c>
      <c r="G49" s="7" t="s">
        <v>90</v>
      </c>
      <c r="H49" s="7" t="s">
        <v>60</v>
      </c>
      <c r="I49" s="8"/>
      <c r="J49" s="8"/>
      <c r="K49" s="17" t="str">
        <f>"260,0"</f>
        <v>260,0</v>
      </c>
      <c r="L49" s="18" t="str">
        <f>"167,3360"</f>
        <v>167,3360</v>
      </c>
      <c r="M49" s="6" t="s">
        <v>120</v>
      </c>
    </row>
    <row r="50" spans="1:13" x14ac:dyDescent="0.25">
      <c r="A50" s="9" t="s">
        <v>1094</v>
      </c>
      <c r="B50" s="9" t="s">
        <v>1095</v>
      </c>
      <c r="C50" s="9" t="s">
        <v>737</v>
      </c>
      <c r="D50" s="9" t="str">
        <f>"0,6475"</f>
        <v>0,6475</v>
      </c>
      <c r="E50" s="9" t="s">
        <v>20</v>
      </c>
      <c r="F50" s="9" t="s">
        <v>1096</v>
      </c>
      <c r="G50" s="10" t="s">
        <v>24</v>
      </c>
      <c r="H50" s="11" t="s">
        <v>28</v>
      </c>
      <c r="I50" s="11" t="s">
        <v>28</v>
      </c>
      <c r="J50" s="11"/>
      <c r="K50" s="19" t="str">
        <f>"230,0"</f>
        <v>230,0</v>
      </c>
      <c r="L50" s="20" t="str">
        <f>"148,9250"</f>
        <v>148,9250</v>
      </c>
      <c r="M50" s="9" t="s">
        <v>1097</v>
      </c>
    </row>
    <row r="52" spans="1:13" ht="15.6" x14ac:dyDescent="0.3">
      <c r="A52" s="36" t="s">
        <v>41</v>
      </c>
      <c r="B52" s="36"/>
      <c r="C52" s="36"/>
      <c r="D52" s="36"/>
      <c r="E52" s="36"/>
      <c r="F52" s="36"/>
      <c r="G52" s="36"/>
      <c r="H52" s="36"/>
      <c r="I52" s="36"/>
      <c r="J52" s="36"/>
    </row>
    <row r="53" spans="1:13" x14ac:dyDescent="0.25">
      <c r="A53" s="6" t="s">
        <v>427</v>
      </c>
      <c r="B53" s="6" t="s">
        <v>428</v>
      </c>
      <c r="C53" s="6" t="s">
        <v>429</v>
      </c>
      <c r="D53" s="6" t="str">
        <f>"0,6172"</f>
        <v>0,6172</v>
      </c>
      <c r="E53" s="6" t="s">
        <v>20</v>
      </c>
      <c r="F53" s="6" t="s">
        <v>46</v>
      </c>
      <c r="G53" s="7" t="s">
        <v>179</v>
      </c>
      <c r="H53" s="7" t="s">
        <v>411</v>
      </c>
      <c r="I53" s="7" t="s">
        <v>25</v>
      </c>
      <c r="J53" s="8"/>
      <c r="K53" s="17" t="str">
        <f>"145,0"</f>
        <v>145,0</v>
      </c>
      <c r="L53" s="18" t="str">
        <f>"89,4940"</f>
        <v>89,4940</v>
      </c>
      <c r="M53" s="6" t="s">
        <v>430</v>
      </c>
    </row>
    <row r="54" spans="1:13" x14ac:dyDescent="0.25">
      <c r="A54" s="12" t="s">
        <v>1099</v>
      </c>
      <c r="B54" s="12" t="s">
        <v>1100</v>
      </c>
      <c r="C54" s="12" t="s">
        <v>814</v>
      </c>
      <c r="D54" s="12" t="str">
        <f>"0,6158"</f>
        <v>0,6158</v>
      </c>
      <c r="E54" s="12" t="s">
        <v>20</v>
      </c>
      <c r="F54" s="12" t="s">
        <v>270</v>
      </c>
      <c r="G54" s="13" t="s">
        <v>63</v>
      </c>
      <c r="H54" s="14" t="s">
        <v>48</v>
      </c>
      <c r="I54" s="13" t="s">
        <v>49</v>
      </c>
      <c r="J54" s="14"/>
      <c r="K54" s="21" t="str">
        <f>"185,0"</f>
        <v>185,0</v>
      </c>
      <c r="L54" s="22" t="str">
        <f>"113,9230"</f>
        <v>113,9230</v>
      </c>
      <c r="M54" s="12" t="s">
        <v>271</v>
      </c>
    </row>
    <row r="55" spans="1:13" x14ac:dyDescent="0.25">
      <c r="A55" s="12" t="s">
        <v>1102</v>
      </c>
      <c r="B55" s="12" t="s">
        <v>1103</v>
      </c>
      <c r="C55" s="12" t="s">
        <v>1104</v>
      </c>
      <c r="D55" s="12" t="str">
        <f>"0,6118"</f>
        <v>0,6118</v>
      </c>
      <c r="E55" s="12" t="s">
        <v>20</v>
      </c>
      <c r="F55" s="12" t="s">
        <v>46</v>
      </c>
      <c r="G55" s="13" t="s">
        <v>24</v>
      </c>
      <c r="H55" s="13" t="s">
        <v>457</v>
      </c>
      <c r="I55" s="13" t="s">
        <v>36</v>
      </c>
      <c r="J55" s="14"/>
      <c r="K55" s="21" t="str">
        <f>"245,0"</f>
        <v>245,0</v>
      </c>
      <c r="L55" s="22" t="str">
        <f>"149,8910"</f>
        <v>149,8910</v>
      </c>
      <c r="M55" s="12" t="s">
        <v>1105</v>
      </c>
    </row>
    <row r="56" spans="1:13" x14ac:dyDescent="0.25">
      <c r="A56" s="9" t="s">
        <v>1107</v>
      </c>
      <c r="B56" s="9" t="s">
        <v>1108</v>
      </c>
      <c r="C56" s="9" t="s">
        <v>212</v>
      </c>
      <c r="D56" s="9" t="str">
        <f>"0,6211"</f>
        <v>0,6211</v>
      </c>
      <c r="E56" s="9" t="s">
        <v>20</v>
      </c>
      <c r="F56" s="9" t="s">
        <v>1109</v>
      </c>
      <c r="G56" s="11" t="s">
        <v>561</v>
      </c>
      <c r="H56" s="10" t="s">
        <v>561</v>
      </c>
      <c r="I56" s="11" t="s">
        <v>23</v>
      </c>
      <c r="J56" s="11"/>
      <c r="K56" s="19" t="str">
        <f>"207,5"</f>
        <v>207,5</v>
      </c>
      <c r="L56" s="20" t="str">
        <f>"128,8783"</f>
        <v>128,8783</v>
      </c>
      <c r="M56" s="9" t="s">
        <v>120</v>
      </c>
    </row>
    <row r="58" spans="1:13" ht="15.6" x14ac:dyDescent="0.3">
      <c r="A58" s="36" t="s">
        <v>84</v>
      </c>
      <c r="B58" s="36"/>
      <c r="C58" s="36"/>
      <c r="D58" s="36"/>
      <c r="E58" s="36"/>
      <c r="F58" s="36"/>
      <c r="G58" s="36"/>
      <c r="H58" s="36"/>
      <c r="I58" s="36"/>
      <c r="J58" s="36"/>
    </row>
    <row r="59" spans="1:13" x14ac:dyDescent="0.25">
      <c r="A59" s="6" t="s">
        <v>1111</v>
      </c>
      <c r="B59" s="6" t="s">
        <v>1112</v>
      </c>
      <c r="C59" s="6" t="s">
        <v>1113</v>
      </c>
      <c r="D59" s="6" t="str">
        <f>"0,5948"</f>
        <v>0,5948</v>
      </c>
      <c r="E59" s="6" t="s">
        <v>20</v>
      </c>
      <c r="F59" s="6" t="s">
        <v>46</v>
      </c>
      <c r="G59" s="7" t="s">
        <v>99</v>
      </c>
      <c r="H59" s="7" t="s">
        <v>561</v>
      </c>
      <c r="I59" s="7" t="s">
        <v>80</v>
      </c>
      <c r="J59" s="8"/>
      <c r="K59" s="17" t="str">
        <f>"215,0"</f>
        <v>215,0</v>
      </c>
      <c r="L59" s="18" t="str">
        <f>"127,8820"</f>
        <v>127,8820</v>
      </c>
      <c r="M59" s="6" t="s">
        <v>435</v>
      </c>
    </row>
    <row r="60" spans="1:13" x14ac:dyDescent="0.25">
      <c r="A60" s="12" t="s">
        <v>1115</v>
      </c>
      <c r="B60" s="12" t="s">
        <v>1116</v>
      </c>
      <c r="C60" s="12" t="s">
        <v>88</v>
      </c>
      <c r="D60" s="12" t="str">
        <f>"0,5910"</f>
        <v>0,5910</v>
      </c>
      <c r="E60" s="12" t="s">
        <v>20</v>
      </c>
      <c r="F60" s="12" t="s">
        <v>1117</v>
      </c>
      <c r="G60" s="13" t="s">
        <v>1118</v>
      </c>
      <c r="H60" s="13" t="s">
        <v>451</v>
      </c>
      <c r="I60" s="13" t="s">
        <v>65</v>
      </c>
      <c r="J60" s="14" t="s">
        <v>1119</v>
      </c>
      <c r="K60" s="21" t="str">
        <f>"290,0"</f>
        <v>290,0</v>
      </c>
      <c r="L60" s="22" t="str">
        <f>"171,3900"</f>
        <v>171,3900</v>
      </c>
      <c r="M60" s="12" t="s">
        <v>120</v>
      </c>
    </row>
    <row r="61" spans="1:13" x14ac:dyDescent="0.25">
      <c r="A61" s="9" t="s">
        <v>1121</v>
      </c>
      <c r="B61" s="9" t="s">
        <v>1122</v>
      </c>
      <c r="C61" s="9" t="s">
        <v>1123</v>
      </c>
      <c r="D61" s="9" t="str">
        <f>"0,5888"</f>
        <v>0,5888</v>
      </c>
      <c r="E61" s="9" t="s">
        <v>20</v>
      </c>
      <c r="F61" s="9" t="s">
        <v>46</v>
      </c>
      <c r="G61" s="10" t="s">
        <v>107</v>
      </c>
      <c r="H61" s="10" t="s">
        <v>465</v>
      </c>
      <c r="I61" s="10" t="s">
        <v>71</v>
      </c>
      <c r="J61" s="11"/>
      <c r="K61" s="19" t="str">
        <f>"210,0"</f>
        <v>210,0</v>
      </c>
      <c r="L61" s="20" t="str">
        <f>"127,4811"</f>
        <v>127,4811</v>
      </c>
      <c r="M61" s="9" t="s">
        <v>881</v>
      </c>
    </row>
    <row r="63" spans="1:13" ht="15.6" x14ac:dyDescent="0.3">
      <c r="A63" s="36" t="s">
        <v>281</v>
      </c>
      <c r="B63" s="36"/>
      <c r="C63" s="36"/>
      <c r="D63" s="36"/>
      <c r="E63" s="36"/>
      <c r="F63" s="36"/>
      <c r="G63" s="36"/>
      <c r="H63" s="36"/>
      <c r="I63" s="36"/>
      <c r="J63" s="36"/>
    </row>
    <row r="64" spans="1:13" x14ac:dyDescent="0.25">
      <c r="A64" s="6" t="s">
        <v>295</v>
      </c>
      <c r="B64" s="6" t="s">
        <v>290</v>
      </c>
      <c r="C64" s="6" t="s">
        <v>291</v>
      </c>
      <c r="D64" s="6" t="str">
        <f>"0,5728"</f>
        <v>0,5728</v>
      </c>
      <c r="E64" s="6" t="s">
        <v>20</v>
      </c>
      <c r="F64" s="6" t="s">
        <v>292</v>
      </c>
      <c r="G64" s="7" t="s">
        <v>39</v>
      </c>
      <c r="H64" s="7" t="s">
        <v>29</v>
      </c>
      <c r="I64" s="8" t="s">
        <v>219</v>
      </c>
      <c r="J64" s="8"/>
      <c r="K64" s="17" t="str">
        <f>"265,0"</f>
        <v>265,0</v>
      </c>
      <c r="L64" s="18" t="str">
        <f>"151,7920"</f>
        <v>151,7920</v>
      </c>
      <c r="M64" s="6" t="s">
        <v>293</v>
      </c>
    </row>
    <row r="65" spans="1:13" x14ac:dyDescent="0.25">
      <c r="A65" s="12" t="s">
        <v>1125</v>
      </c>
      <c r="B65" s="12" t="s">
        <v>1126</v>
      </c>
      <c r="C65" s="12" t="s">
        <v>1127</v>
      </c>
      <c r="D65" s="12" t="str">
        <f>"0,5771"</f>
        <v>0,5771</v>
      </c>
      <c r="E65" s="12" t="s">
        <v>20</v>
      </c>
      <c r="F65" s="12" t="s">
        <v>46</v>
      </c>
      <c r="G65" s="13" t="s">
        <v>60</v>
      </c>
      <c r="H65" s="14" t="s">
        <v>219</v>
      </c>
      <c r="I65" s="14" t="s">
        <v>219</v>
      </c>
      <c r="J65" s="14"/>
      <c r="K65" s="21" t="str">
        <f>"260,0"</f>
        <v>260,0</v>
      </c>
      <c r="L65" s="22" t="str">
        <f>"150,0460"</f>
        <v>150,0460</v>
      </c>
      <c r="M65" s="12" t="s">
        <v>120</v>
      </c>
    </row>
    <row r="66" spans="1:13" x14ac:dyDescent="0.25">
      <c r="A66" s="12" t="s">
        <v>295</v>
      </c>
      <c r="B66" s="12" t="s">
        <v>296</v>
      </c>
      <c r="C66" s="12" t="s">
        <v>291</v>
      </c>
      <c r="D66" s="12" t="str">
        <f>"0,5728"</f>
        <v>0,5728</v>
      </c>
      <c r="E66" s="12" t="s">
        <v>20</v>
      </c>
      <c r="F66" s="12" t="s">
        <v>292</v>
      </c>
      <c r="G66" s="13" t="s">
        <v>39</v>
      </c>
      <c r="H66" s="13" t="s">
        <v>29</v>
      </c>
      <c r="I66" s="14" t="s">
        <v>219</v>
      </c>
      <c r="J66" s="14"/>
      <c r="K66" s="21" t="str">
        <f>"265,0"</f>
        <v>265,0</v>
      </c>
      <c r="L66" s="22" t="str">
        <f>"162,1139"</f>
        <v>162,1139</v>
      </c>
      <c r="M66" s="12" t="s">
        <v>293</v>
      </c>
    </row>
    <row r="67" spans="1:13" x14ac:dyDescent="0.25">
      <c r="A67" s="9" t="s">
        <v>1129</v>
      </c>
      <c r="B67" s="9" t="s">
        <v>1130</v>
      </c>
      <c r="C67" s="9" t="s">
        <v>1131</v>
      </c>
      <c r="D67" s="9" t="str">
        <f>"0,5750"</f>
        <v>0,5750</v>
      </c>
      <c r="E67" s="9" t="s">
        <v>20</v>
      </c>
      <c r="F67" s="9" t="s">
        <v>1132</v>
      </c>
      <c r="G67" s="10" t="s">
        <v>1133</v>
      </c>
      <c r="H67" s="10" t="s">
        <v>36</v>
      </c>
      <c r="I67" s="10" t="s">
        <v>1134</v>
      </c>
      <c r="J67" s="11"/>
      <c r="K67" s="19" t="str">
        <f>"252,5"</f>
        <v>252,5</v>
      </c>
      <c r="L67" s="20" t="str">
        <f>"206,3114"</f>
        <v>206,3114</v>
      </c>
      <c r="M67" s="9" t="s">
        <v>1135</v>
      </c>
    </row>
    <row r="69" spans="1:13" ht="15" x14ac:dyDescent="0.25">
      <c r="E69" s="15" t="s">
        <v>121</v>
      </c>
    </row>
    <row r="70" spans="1:13" ht="15" x14ac:dyDescent="0.25">
      <c r="E70" s="15" t="s">
        <v>122</v>
      </c>
    </row>
    <row r="71" spans="1:13" ht="15" x14ac:dyDescent="0.25">
      <c r="E71" s="15" t="s">
        <v>123</v>
      </c>
    </row>
    <row r="72" spans="1:13" ht="15" x14ac:dyDescent="0.25">
      <c r="E72" s="15" t="s">
        <v>124</v>
      </c>
    </row>
    <row r="73" spans="1:13" ht="15" x14ac:dyDescent="0.25">
      <c r="E73" s="15" t="s">
        <v>124</v>
      </c>
    </row>
    <row r="74" spans="1:13" ht="15" x14ac:dyDescent="0.25">
      <c r="E74" s="15" t="s">
        <v>125</v>
      </c>
    </row>
    <row r="75" spans="1:13" ht="15" x14ac:dyDescent="0.25">
      <c r="E75" s="15"/>
    </row>
    <row r="77" spans="1:13" ht="17.399999999999999" x14ac:dyDescent="0.3">
      <c r="A77" s="23" t="s">
        <v>126</v>
      </c>
      <c r="B77" s="23"/>
    </row>
    <row r="78" spans="1:13" ht="15.6" x14ac:dyDescent="0.3">
      <c r="A78" s="24" t="s">
        <v>233</v>
      </c>
      <c r="B78" s="24"/>
    </row>
    <row r="79" spans="1:13" ht="14.4" x14ac:dyDescent="0.3">
      <c r="A79" s="26"/>
      <c r="B79" s="27" t="s">
        <v>138</v>
      </c>
    </row>
    <row r="80" spans="1:13" ht="13.8" x14ac:dyDescent="0.25">
      <c r="A80" s="29" t="s">
        <v>129</v>
      </c>
      <c r="B80" s="29" t="s">
        <v>130</v>
      </c>
      <c r="C80" s="29" t="s">
        <v>131</v>
      </c>
      <c r="D80" s="29" t="s">
        <v>584</v>
      </c>
      <c r="E80" s="29" t="s">
        <v>133</v>
      </c>
    </row>
    <row r="81" spans="1:5" x14ac:dyDescent="0.25">
      <c r="A81" s="25" t="s">
        <v>1023</v>
      </c>
      <c r="B81" s="4" t="s">
        <v>138</v>
      </c>
      <c r="C81" s="4" t="s">
        <v>459</v>
      </c>
      <c r="D81" s="4" t="s">
        <v>411</v>
      </c>
      <c r="E81" s="16" t="s">
        <v>1136</v>
      </c>
    </row>
    <row r="82" spans="1:5" x14ac:dyDescent="0.25">
      <c r="A82" s="25" t="s">
        <v>1014</v>
      </c>
      <c r="B82" s="4" t="s">
        <v>138</v>
      </c>
      <c r="C82" s="4" t="s">
        <v>456</v>
      </c>
      <c r="D82" s="4" t="s">
        <v>177</v>
      </c>
      <c r="E82" s="16" t="s">
        <v>1137</v>
      </c>
    </row>
    <row r="83" spans="1:5" x14ac:dyDescent="0.25">
      <c r="A83" s="25" t="s">
        <v>1044</v>
      </c>
      <c r="B83" s="4" t="s">
        <v>138</v>
      </c>
      <c r="C83" s="4" t="s">
        <v>453</v>
      </c>
      <c r="D83" s="4" t="s">
        <v>1048</v>
      </c>
      <c r="E83" s="16" t="s">
        <v>1138</v>
      </c>
    </row>
    <row r="84" spans="1:5" x14ac:dyDescent="0.25">
      <c r="A84" s="25" t="s">
        <v>1049</v>
      </c>
      <c r="B84" s="4" t="s">
        <v>138</v>
      </c>
      <c r="C84" s="4" t="s">
        <v>453</v>
      </c>
      <c r="D84" s="4" t="s">
        <v>187</v>
      </c>
      <c r="E84" s="16" t="s">
        <v>1139</v>
      </c>
    </row>
    <row r="85" spans="1:5" x14ac:dyDescent="0.25">
      <c r="A85" s="25" t="s">
        <v>1064</v>
      </c>
      <c r="B85" s="4" t="s">
        <v>138</v>
      </c>
      <c r="C85" s="4" t="s">
        <v>150</v>
      </c>
      <c r="D85" s="4" t="s">
        <v>62</v>
      </c>
      <c r="E85" s="16" t="s">
        <v>1140</v>
      </c>
    </row>
    <row r="86" spans="1:5" x14ac:dyDescent="0.25">
      <c r="A86" s="25" t="s">
        <v>1027</v>
      </c>
      <c r="B86" s="4" t="s">
        <v>138</v>
      </c>
      <c r="C86" s="4" t="s">
        <v>894</v>
      </c>
      <c r="D86" s="4" t="s">
        <v>170</v>
      </c>
      <c r="E86" s="16" t="s">
        <v>1141</v>
      </c>
    </row>
    <row r="87" spans="1:5" x14ac:dyDescent="0.25">
      <c r="A87" s="25" t="s">
        <v>1031</v>
      </c>
      <c r="B87" s="4" t="s">
        <v>138</v>
      </c>
      <c r="C87" s="4" t="s">
        <v>894</v>
      </c>
      <c r="D87" s="4" t="s">
        <v>207</v>
      </c>
      <c r="E87" s="16" t="s">
        <v>1142</v>
      </c>
    </row>
    <row r="88" spans="1:5" x14ac:dyDescent="0.25">
      <c r="A88" s="25" t="s">
        <v>1041</v>
      </c>
      <c r="B88" s="4" t="s">
        <v>138</v>
      </c>
      <c r="C88" s="4" t="s">
        <v>297</v>
      </c>
      <c r="D88" s="4" t="s">
        <v>338</v>
      </c>
      <c r="E88" s="16" t="s">
        <v>1143</v>
      </c>
    </row>
    <row r="89" spans="1:5" x14ac:dyDescent="0.25">
      <c r="A89" s="25" t="s">
        <v>1036</v>
      </c>
      <c r="B89" s="4" t="s">
        <v>138</v>
      </c>
      <c r="C89" s="4" t="s">
        <v>894</v>
      </c>
      <c r="D89" s="4" t="s">
        <v>319</v>
      </c>
      <c r="E89" s="16" t="s">
        <v>1144</v>
      </c>
    </row>
    <row r="91" spans="1:5" ht="14.4" x14ac:dyDescent="0.3">
      <c r="A91" s="26"/>
      <c r="B91" s="27" t="s">
        <v>159</v>
      </c>
    </row>
    <row r="92" spans="1:5" ht="13.8" x14ac:dyDescent="0.25">
      <c r="A92" s="29" t="s">
        <v>129</v>
      </c>
      <c r="B92" s="29" t="s">
        <v>130</v>
      </c>
      <c r="C92" s="29" t="s">
        <v>131</v>
      </c>
      <c r="D92" s="29" t="s">
        <v>584</v>
      </c>
      <c r="E92" s="29" t="s">
        <v>133</v>
      </c>
    </row>
    <row r="93" spans="1:5" x14ac:dyDescent="0.25">
      <c r="A93" s="25" t="s">
        <v>1053</v>
      </c>
      <c r="B93" s="4" t="s">
        <v>248</v>
      </c>
      <c r="C93" s="4" t="s">
        <v>453</v>
      </c>
      <c r="D93" s="4" t="s">
        <v>187</v>
      </c>
      <c r="E93" s="16" t="s">
        <v>1145</v>
      </c>
    </row>
    <row r="94" spans="1:5" x14ac:dyDescent="0.25">
      <c r="A94" s="25" t="s">
        <v>1018</v>
      </c>
      <c r="B94" s="4" t="s">
        <v>251</v>
      </c>
      <c r="C94" s="4" t="s">
        <v>456</v>
      </c>
      <c r="D94" s="4" t="s">
        <v>395</v>
      </c>
      <c r="E94" s="16" t="s">
        <v>1146</v>
      </c>
    </row>
    <row r="95" spans="1:5" x14ac:dyDescent="0.25">
      <c r="A95" s="25" t="s">
        <v>1060</v>
      </c>
      <c r="B95" s="4" t="s">
        <v>490</v>
      </c>
      <c r="C95" s="4" t="s">
        <v>245</v>
      </c>
      <c r="D95" s="4" t="s">
        <v>83</v>
      </c>
      <c r="E95" s="16" t="s">
        <v>1147</v>
      </c>
    </row>
    <row r="96" spans="1:5" x14ac:dyDescent="0.25">
      <c r="A96" s="25" t="s">
        <v>1056</v>
      </c>
      <c r="B96" s="4" t="s">
        <v>160</v>
      </c>
      <c r="C96" s="4" t="s">
        <v>245</v>
      </c>
      <c r="D96" s="4" t="s">
        <v>531</v>
      </c>
      <c r="E96" s="16" t="s">
        <v>1148</v>
      </c>
    </row>
    <row r="99" spans="1:5" ht="15.6" x14ac:dyDescent="0.3">
      <c r="A99" s="24" t="s">
        <v>127</v>
      </c>
      <c r="B99" s="24"/>
    </row>
    <row r="100" spans="1:5" ht="14.4" x14ac:dyDescent="0.3">
      <c r="A100" s="26"/>
      <c r="B100" s="27" t="s">
        <v>468</v>
      </c>
    </row>
    <row r="101" spans="1:5" ht="13.8" x14ac:dyDescent="0.25">
      <c r="A101" s="29" t="s">
        <v>129</v>
      </c>
      <c r="B101" s="29" t="s">
        <v>130</v>
      </c>
      <c r="C101" s="29" t="s">
        <v>131</v>
      </c>
      <c r="D101" s="29" t="s">
        <v>584</v>
      </c>
      <c r="E101" s="29" t="s">
        <v>133</v>
      </c>
    </row>
    <row r="102" spans="1:5" x14ac:dyDescent="0.25">
      <c r="A102" s="25" t="s">
        <v>1076</v>
      </c>
      <c r="B102" s="4" t="s">
        <v>450</v>
      </c>
      <c r="C102" s="4" t="s">
        <v>234</v>
      </c>
      <c r="D102" s="4" t="s">
        <v>23</v>
      </c>
      <c r="E102" s="16" t="s">
        <v>1149</v>
      </c>
    </row>
    <row r="103" spans="1:5" x14ac:dyDescent="0.25">
      <c r="A103" s="25" t="s">
        <v>390</v>
      </c>
      <c r="B103" s="4" t="s">
        <v>450</v>
      </c>
      <c r="C103" s="4" t="s">
        <v>234</v>
      </c>
      <c r="D103" s="4" t="s">
        <v>48</v>
      </c>
      <c r="E103" s="16" t="s">
        <v>1150</v>
      </c>
    </row>
    <row r="104" spans="1:5" x14ac:dyDescent="0.25">
      <c r="A104" s="25" t="s">
        <v>426</v>
      </c>
      <c r="B104" s="4" t="s">
        <v>450</v>
      </c>
      <c r="C104" s="4" t="s">
        <v>141</v>
      </c>
      <c r="D104" s="4" t="s">
        <v>25</v>
      </c>
      <c r="E104" s="16" t="s">
        <v>1151</v>
      </c>
    </row>
    <row r="106" spans="1:5" ht="14.4" x14ac:dyDescent="0.3">
      <c r="A106" s="26"/>
      <c r="B106" s="27" t="s">
        <v>128</v>
      </c>
    </row>
    <row r="107" spans="1:5" ht="13.8" x14ac:dyDescent="0.25">
      <c r="A107" s="29" t="s">
        <v>129</v>
      </c>
      <c r="B107" s="29" t="s">
        <v>130</v>
      </c>
      <c r="C107" s="29" t="s">
        <v>131</v>
      </c>
      <c r="D107" s="29" t="s">
        <v>584</v>
      </c>
      <c r="E107" s="29" t="s">
        <v>133</v>
      </c>
    </row>
    <row r="108" spans="1:5" x14ac:dyDescent="0.25">
      <c r="A108" s="25" t="s">
        <v>1110</v>
      </c>
      <c r="B108" s="4" t="s">
        <v>134</v>
      </c>
      <c r="C108" s="4" t="s">
        <v>135</v>
      </c>
      <c r="D108" s="4" t="s">
        <v>80</v>
      </c>
      <c r="E108" s="16" t="s">
        <v>1152</v>
      </c>
    </row>
    <row r="109" spans="1:5" x14ac:dyDescent="0.25">
      <c r="A109" s="25" t="s">
        <v>1098</v>
      </c>
      <c r="B109" s="4" t="s">
        <v>134</v>
      </c>
      <c r="C109" s="4" t="s">
        <v>141</v>
      </c>
      <c r="D109" s="4" t="s">
        <v>49</v>
      </c>
      <c r="E109" s="16" t="s">
        <v>1153</v>
      </c>
    </row>
    <row r="111" spans="1:5" ht="14.4" x14ac:dyDescent="0.3">
      <c r="A111" s="26"/>
      <c r="B111" s="27" t="s">
        <v>138</v>
      </c>
    </row>
    <row r="112" spans="1:5" ht="13.8" x14ac:dyDescent="0.25">
      <c r="A112" s="29" t="s">
        <v>129</v>
      </c>
      <c r="B112" s="29" t="s">
        <v>130</v>
      </c>
      <c r="C112" s="29" t="s">
        <v>131</v>
      </c>
      <c r="D112" s="29" t="s">
        <v>584</v>
      </c>
      <c r="E112" s="29" t="s">
        <v>133</v>
      </c>
    </row>
    <row r="113" spans="1:5" x14ac:dyDescent="0.25">
      <c r="A113" s="25" t="s">
        <v>1081</v>
      </c>
      <c r="B113" s="4" t="s">
        <v>138</v>
      </c>
      <c r="C113" s="4" t="s">
        <v>234</v>
      </c>
      <c r="D113" s="4" t="s">
        <v>90</v>
      </c>
      <c r="E113" s="16" t="s">
        <v>1154</v>
      </c>
    </row>
    <row r="114" spans="1:5" x14ac:dyDescent="0.25">
      <c r="A114" s="25" t="s">
        <v>1114</v>
      </c>
      <c r="B114" s="4" t="s">
        <v>138</v>
      </c>
      <c r="C114" s="4" t="s">
        <v>135</v>
      </c>
      <c r="D114" s="4" t="s">
        <v>65</v>
      </c>
      <c r="E114" s="16" t="s">
        <v>1155</v>
      </c>
    </row>
    <row r="115" spans="1:5" x14ac:dyDescent="0.25">
      <c r="A115" s="25" t="s">
        <v>413</v>
      </c>
      <c r="B115" s="4" t="s">
        <v>138</v>
      </c>
      <c r="C115" s="4" t="s">
        <v>150</v>
      </c>
      <c r="D115" s="4" t="s">
        <v>60</v>
      </c>
      <c r="E115" s="16" t="s">
        <v>1156</v>
      </c>
    </row>
    <row r="116" spans="1:5" x14ac:dyDescent="0.25">
      <c r="A116" s="25" t="s">
        <v>1068</v>
      </c>
      <c r="B116" s="4" t="s">
        <v>138</v>
      </c>
      <c r="C116" s="4" t="s">
        <v>453</v>
      </c>
      <c r="D116" s="4" t="s">
        <v>71</v>
      </c>
      <c r="E116" s="16" t="s">
        <v>1157</v>
      </c>
    </row>
    <row r="117" spans="1:5" x14ac:dyDescent="0.25">
      <c r="A117" s="25" t="s">
        <v>288</v>
      </c>
      <c r="B117" s="4" t="s">
        <v>138</v>
      </c>
      <c r="C117" s="4" t="s">
        <v>300</v>
      </c>
      <c r="D117" s="4" t="s">
        <v>29</v>
      </c>
      <c r="E117" s="16" t="s">
        <v>1158</v>
      </c>
    </row>
    <row r="118" spans="1:5" x14ac:dyDescent="0.25">
      <c r="A118" s="25" t="s">
        <v>1124</v>
      </c>
      <c r="B118" s="4" t="s">
        <v>138</v>
      </c>
      <c r="C118" s="4" t="s">
        <v>300</v>
      </c>
      <c r="D118" s="4" t="s">
        <v>60</v>
      </c>
      <c r="E118" s="16" t="s">
        <v>1159</v>
      </c>
    </row>
    <row r="119" spans="1:5" x14ac:dyDescent="0.25">
      <c r="A119" s="25" t="s">
        <v>1101</v>
      </c>
      <c r="B119" s="4" t="s">
        <v>138</v>
      </c>
      <c r="C119" s="4" t="s">
        <v>141</v>
      </c>
      <c r="D119" s="4" t="s">
        <v>36</v>
      </c>
      <c r="E119" s="16" t="s">
        <v>1160</v>
      </c>
    </row>
    <row r="120" spans="1:5" x14ac:dyDescent="0.25">
      <c r="A120" s="25" t="s">
        <v>1093</v>
      </c>
      <c r="B120" s="4" t="s">
        <v>138</v>
      </c>
      <c r="C120" s="4" t="s">
        <v>150</v>
      </c>
      <c r="D120" s="4" t="s">
        <v>24</v>
      </c>
      <c r="E120" s="16" t="s">
        <v>1161</v>
      </c>
    </row>
    <row r="121" spans="1:5" x14ac:dyDescent="0.25">
      <c r="A121" s="25" t="s">
        <v>1106</v>
      </c>
      <c r="B121" s="4" t="s">
        <v>138</v>
      </c>
      <c r="C121" s="4" t="s">
        <v>141</v>
      </c>
      <c r="D121" s="4" t="s">
        <v>561</v>
      </c>
      <c r="E121" s="16" t="s">
        <v>1162</v>
      </c>
    </row>
    <row r="122" spans="1:5" x14ac:dyDescent="0.25">
      <c r="A122" s="25" t="s">
        <v>390</v>
      </c>
      <c r="B122" s="4" t="s">
        <v>138</v>
      </c>
      <c r="C122" s="4" t="s">
        <v>234</v>
      </c>
      <c r="D122" s="4" t="s">
        <v>48</v>
      </c>
      <c r="E122" s="16" t="s">
        <v>1150</v>
      </c>
    </row>
    <row r="123" spans="1:5" x14ac:dyDescent="0.25">
      <c r="A123" s="25" t="s">
        <v>1086</v>
      </c>
      <c r="B123" s="4" t="s">
        <v>138</v>
      </c>
      <c r="C123" s="4" t="s">
        <v>234</v>
      </c>
      <c r="D123" s="4" t="s">
        <v>63</v>
      </c>
      <c r="E123" s="16" t="s">
        <v>1163</v>
      </c>
    </row>
    <row r="124" spans="1:5" x14ac:dyDescent="0.25">
      <c r="A124" s="25" t="s">
        <v>1072</v>
      </c>
      <c r="B124" s="4" t="s">
        <v>138</v>
      </c>
      <c r="C124" s="4" t="s">
        <v>245</v>
      </c>
      <c r="D124" s="4" t="s">
        <v>62</v>
      </c>
      <c r="E124" s="16" t="s">
        <v>1164</v>
      </c>
    </row>
    <row r="126" spans="1:5" ht="14.4" x14ac:dyDescent="0.3">
      <c r="A126" s="26"/>
      <c r="B126" s="27" t="s">
        <v>159</v>
      </c>
    </row>
    <row r="127" spans="1:5" ht="13.8" x14ac:dyDescent="0.25">
      <c r="A127" s="29" t="s">
        <v>129</v>
      </c>
      <c r="B127" s="29" t="s">
        <v>130</v>
      </c>
      <c r="C127" s="29" t="s">
        <v>131</v>
      </c>
      <c r="D127" s="29" t="s">
        <v>584</v>
      </c>
      <c r="E127" s="29" t="s">
        <v>133</v>
      </c>
    </row>
    <row r="128" spans="1:5" x14ac:dyDescent="0.25">
      <c r="A128" s="25" t="s">
        <v>721</v>
      </c>
      <c r="B128" s="4" t="s">
        <v>248</v>
      </c>
      <c r="C128" s="4" t="s">
        <v>234</v>
      </c>
      <c r="D128" s="4" t="s">
        <v>71</v>
      </c>
      <c r="E128" s="16" t="s">
        <v>1165</v>
      </c>
    </row>
    <row r="129" spans="1:5" x14ac:dyDescent="0.25">
      <c r="A129" s="25" t="s">
        <v>1128</v>
      </c>
      <c r="B129" s="4" t="s">
        <v>248</v>
      </c>
      <c r="C129" s="4" t="s">
        <v>300</v>
      </c>
      <c r="D129" s="4" t="s">
        <v>1134</v>
      </c>
      <c r="E129" s="16" t="s">
        <v>1166</v>
      </c>
    </row>
    <row r="130" spans="1:5" x14ac:dyDescent="0.25">
      <c r="A130" s="25" t="s">
        <v>729</v>
      </c>
      <c r="B130" s="4" t="s">
        <v>593</v>
      </c>
      <c r="C130" s="4" t="s">
        <v>234</v>
      </c>
      <c r="D130" s="4" t="s">
        <v>26</v>
      </c>
      <c r="E130" s="16" t="s">
        <v>1167</v>
      </c>
    </row>
    <row r="131" spans="1:5" x14ac:dyDescent="0.25">
      <c r="A131" s="25" t="s">
        <v>288</v>
      </c>
      <c r="B131" s="4" t="s">
        <v>251</v>
      </c>
      <c r="C131" s="4" t="s">
        <v>300</v>
      </c>
      <c r="D131" s="4" t="s">
        <v>29</v>
      </c>
      <c r="E131" s="16" t="s">
        <v>1168</v>
      </c>
    </row>
    <row r="132" spans="1:5" x14ac:dyDescent="0.25">
      <c r="A132" s="25" t="s">
        <v>398</v>
      </c>
      <c r="B132" s="4" t="s">
        <v>490</v>
      </c>
      <c r="C132" s="4" t="s">
        <v>234</v>
      </c>
      <c r="D132" s="4" t="s">
        <v>64</v>
      </c>
      <c r="E132" s="16" t="s">
        <v>1169</v>
      </c>
    </row>
    <row r="133" spans="1:5" x14ac:dyDescent="0.25">
      <c r="A133" s="25" t="s">
        <v>1120</v>
      </c>
      <c r="B133" s="4" t="s">
        <v>160</v>
      </c>
      <c r="C133" s="4" t="s">
        <v>135</v>
      </c>
      <c r="D133" s="4" t="s">
        <v>71</v>
      </c>
      <c r="E133" s="16" t="s">
        <v>1170</v>
      </c>
    </row>
  </sheetData>
  <mergeCells count="25">
    <mergeCell ref="A1:M2"/>
    <mergeCell ref="A3:A4"/>
    <mergeCell ref="B3:B4"/>
    <mergeCell ref="C3:C4"/>
    <mergeCell ref="D3:D4"/>
    <mergeCell ref="E3:E4"/>
    <mergeCell ref="F3:F4"/>
    <mergeCell ref="G3:J3"/>
    <mergeCell ref="A29:J29"/>
    <mergeCell ref="K3:K4"/>
    <mergeCell ref="L3:L4"/>
    <mergeCell ref="M3:M4"/>
    <mergeCell ref="A5:J5"/>
    <mergeCell ref="A9:J9"/>
    <mergeCell ref="A12:J12"/>
    <mergeCell ref="A17:J17"/>
    <mergeCell ref="A20:J20"/>
    <mergeCell ref="A25:J25"/>
    <mergeCell ref="A63:J63"/>
    <mergeCell ref="A32:J32"/>
    <mergeCell ref="A35:J35"/>
    <mergeCell ref="A38:J38"/>
    <mergeCell ref="A48:J48"/>
    <mergeCell ref="A52:J52"/>
    <mergeCell ref="A58:J5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A12" sqref="A12:H12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11.88671875" style="4" bestFit="1" customWidth="1"/>
    <col min="5" max="5" width="22.6640625" style="4" bestFit="1" customWidth="1"/>
    <col min="6" max="6" width="32" style="4" bestFit="1" customWidth="1"/>
    <col min="7" max="7" width="11.88671875" style="3" customWidth="1"/>
    <col min="8" max="8" width="14.44140625" style="3" customWidth="1"/>
    <col min="9" max="9" width="9.33203125" style="16" customWidth="1"/>
    <col min="10" max="10" width="9.5546875" style="2" bestFit="1" customWidth="1"/>
    <col min="11" max="11" width="17.88671875" style="4" bestFit="1" customWidth="1"/>
    <col min="12" max="16384" width="9.109375" style="3"/>
  </cols>
  <sheetData>
    <row r="1" spans="1:11" s="2" customFormat="1" ht="29.1" customHeight="1" x14ac:dyDescent="0.25">
      <c r="A1" s="39" t="s">
        <v>1375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1171</v>
      </c>
      <c r="E3" s="37" t="s">
        <v>4</v>
      </c>
      <c r="F3" s="37" t="s">
        <v>7</v>
      </c>
      <c r="G3" s="37" t="s">
        <v>1374</v>
      </c>
      <c r="H3" s="37"/>
      <c r="I3" s="37" t="s">
        <v>1237</v>
      </c>
      <c r="J3" s="37" t="s">
        <v>3</v>
      </c>
      <c r="K3" s="48" t="s">
        <v>2</v>
      </c>
    </row>
    <row r="4" spans="1:11" s="1" customFormat="1" ht="21" customHeight="1" thickBot="1" x14ac:dyDescent="0.3">
      <c r="A4" s="46"/>
      <c r="B4" s="38"/>
      <c r="C4" s="38"/>
      <c r="D4" s="38"/>
      <c r="E4" s="38"/>
      <c r="F4" s="38"/>
      <c r="G4" s="5" t="s">
        <v>8</v>
      </c>
      <c r="H4" s="5" t="s">
        <v>9</v>
      </c>
      <c r="I4" s="38"/>
      <c r="J4" s="38"/>
      <c r="K4" s="49"/>
    </row>
    <row r="5" spans="1:11" ht="15.6" x14ac:dyDescent="0.3">
      <c r="A5" s="34" t="s">
        <v>356</v>
      </c>
      <c r="B5" s="35"/>
      <c r="C5" s="35"/>
      <c r="D5" s="35"/>
      <c r="E5" s="35"/>
      <c r="F5" s="35"/>
      <c r="G5" s="35"/>
      <c r="H5" s="35"/>
    </row>
    <row r="6" spans="1:11" x14ac:dyDescent="0.25">
      <c r="A6" s="6" t="s">
        <v>1239</v>
      </c>
      <c r="B6" s="6" t="s">
        <v>1240</v>
      </c>
      <c r="C6" s="6" t="s">
        <v>1241</v>
      </c>
      <c r="D6" s="6" t="str">
        <f>"0,7546"</f>
        <v>0,7546</v>
      </c>
      <c r="E6" s="6" t="s">
        <v>20</v>
      </c>
      <c r="F6" s="6" t="s">
        <v>549</v>
      </c>
      <c r="G6" s="7" t="s">
        <v>367</v>
      </c>
      <c r="H6" s="7" t="s">
        <v>169</v>
      </c>
      <c r="I6" s="17" t="str">
        <f>"7087,5"</f>
        <v>7087,5</v>
      </c>
      <c r="J6" s="18" t="str">
        <f>"5348,3694"</f>
        <v>5348,3694</v>
      </c>
      <c r="K6" s="6" t="s">
        <v>1194</v>
      </c>
    </row>
    <row r="7" spans="1:11" x14ac:dyDescent="0.25">
      <c r="A7" s="9" t="s">
        <v>1243</v>
      </c>
      <c r="B7" s="9" t="s">
        <v>1244</v>
      </c>
      <c r="C7" s="9" t="s">
        <v>1245</v>
      </c>
      <c r="D7" s="9" t="str">
        <f>"0,8159"</f>
        <v>0,8159</v>
      </c>
      <c r="E7" s="9" t="s">
        <v>20</v>
      </c>
      <c r="F7" s="9" t="s">
        <v>644</v>
      </c>
      <c r="G7" s="10" t="s">
        <v>331</v>
      </c>
      <c r="H7" s="10" t="s">
        <v>1246</v>
      </c>
      <c r="I7" s="19" t="str">
        <f>"1562,5"</f>
        <v>1562,5</v>
      </c>
      <c r="J7" s="20" t="str">
        <f>"1274,8438"</f>
        <v>1274,8438</v>
      </c>
      <c r="K7" s="9" t="s">
        <v>645</v>
      </c>
    </row>
    <row r="9" spans="1:11" ht="15.6" x14ac:dyDescent="0.3">
      <c r="A9" s="36" t="s">
        <v>172</v>
      </c>
      <c r="B9" s="36"/>
      <c r="C9" s="36"/>
      <c r="D9" s="36"/>
      <c r="E9" s="36"/>
      <c r="F9" s="36"/>
      <c r="G9" s="36"/>
      <c r="H9" s="36"/>
    </row>
    <row r="10" spans="1:11" x14ac:dyDescent="0.25">
      <c r="A10" s="28" t="s">
        <v>1248</v>
      </c>
      <c r="B10" s="28" t="s">
        <v>1249</v>
      </c>
      <c r="C10" s="28" t="s">
        <v>1250</v>
      </c>
      <c r="D10" s="28" t="str">
        <f>"0,7402"</f>
        <v>0,7402</v>
      </c>
      <c r="E10" s="28" t="s">
        <v>20</v>
      </c>
      <c r="F10" s="28" t="s">
        <v>46</v>
      </c>
      <c r="G10" s="30" t="s">
        <v>383</v>
      </c>
      <c r="H10" s="30" t="s">
        <v>1251</v>
      </c>
      <c r="I10" s="32" t="str">
        <f>"4130,0"</f>
        <v>4130,0</v>
      </c>
      <c r="J10" s="33" t="str">
        <f>"3307,7021"</f>
        <v>3307,7021</v>
      </c>
      <c r="K10" s="28" t="s">
        <v>1252</v>
      </c>
    </row>
    <row r="12" spans="1:11" ht="15.6" x14ac:dyDescent="0.3">
      <c r="A12" s="36" t="s">
        <v>163</v>
      </c>
      <c r="B12" s="36"/>
      <c r="C12" s="36"/>
      <c r="D12" s="36"/>
      <c r="E12" s="36"/>
      <c r="F12" s="36"/>
      <c r="G12" s="36"/>
      <c r="H12" s="36"/>
    </row>
    <row r="13" spans="1:11" x14ac:dyDescent="0.25">
      <c r="A13" s="6" t="s">
        <v>1254</v>
      </c>
      <c r="B13" s="6" t="s">
        <v>1255</v>
      </c>
      <c r="C13" s="6" t="s">
        <v>1256</v>
      </c>
      <c r="D13" s="6" t="str">
        <f>"0,6635"</f>
        <v>0,6635</v>
      </c>
      <c r="E13" s="6" t="s">
        <v>20</v>
      </c>
      <c r="F13" s="6" t="s">
        <v>46</v>
      </c>
      <c r="G13" s="7" t="s">
        <v>318</v>
      </c>
      <c r="H13" s="7" t="s">
        <v>1205</v>
      </c>
      <c r="I13" s="17" t="str">
        <f>"1840,0"</f>
        <v>1840,0</v>
      </c>
      <c r="J13" s="18" t="str">
        <f>"1220,8400"</f>
        <v>1220,8400</v>
      </c>
      <c r="K13" s="6" t="s">
        <v>1257</v>
      </c>
    </row>
    <row r="14" spans="1:11" x14ac:dyDescent="0.25">
      <c r="A14" s="9" t="s">
        <v>726</v>
      </c>
      <c r="B14" s="9" t="s">
        <v>727</v>
      </c>
      <c r="C14" s="9" t="s">
        <v>728</v>
      </c>
      <c r="D14" s="9" t="str">
        <f>"0,6535"</f>
        <v>0,6535</v>
      </c>
      <c r="E14" s="9" t="s">
        <v>20</v>
      </c>
      <c r="F14" s="9" t="s">
        <v>644</v>
      </c>
      <c r="G14" s="10" t="s">
        <v>319</v>
      </c>
      <c r="H14" s="10" t="s">
        <v>1258</v>
      </c>
      <c r="I14" s="19" t="str">
        <f>"1485,0"</f>
        <v>1485,0</v>
      </c>
      <c r="J14" s="20" t="str">
        <f>"1529,3083"</f>
        <v>1529,3083</v>
      </c>
      <c r="K14" s="9" t="s">
        <v>645</v>
      </c>
    </row>
    <row r="16" spans="1:11" ht="15.6" x14ac:dyDescent="0.3">
      <c r="A16" s="36" t="s">
        <v>15</v>
      </c>
      <c r="B16" s="36"/>
      <c r="C16" s="36"/>
      <c r="D16" s="36"/>
      <c r="E16" s="36"/>
      <c r="F16" s="36"/>
      <c r="G16" s="36"/>
      <c r="H16" s="36"/>
    </row>
    <row r="17" spans="1:11" x14ac:dyDescent="0.25">
      <c r="A17" s="6" t="s">
        <v>744</v>
      </c>
      <c r="B17" s="6" t="s">
        <v>745</v>
      </c>
      <c r="C17" s="6" t="s">
        <v>746</v>
      </c>
      <c r="D17" s="6" t="str">
        <f>"0,6119"</f>
        <v>0,6119</v>
      </c>
      <c r="E17" s="6" t="s">
        <v>20</v>
      </c>
      <c r="F17" s="6" t="s">
        <v>46</v>
      </c>
      <c r="G17" s="7" t="s">
        <v>338</v>
      </c>
      <c r="H17" s="7" t="s">
        <v>654</v>
      </c>
      <c r="I17" s="17" t="str">
        <f>"2700,0"</f>
        <v>2700,0</v>
      </c>
      <c r="J17" s="18" t="str">
        <f>"1651,9951"</f>
        <v>1651,9951</v>
      </c>
      <c r="K17" s="6" t="s">
        <v>747</v>
      </c>
    </row>
    <row r="18" spans="1:11" x14ac:dyDescent="0.25">
      <c r="A18" s="12" t="s">
        <v>1259</v>
      </c>
      <c r="B18" s="12" t="s">
        <v>775</v>
      </c>
      <c r="C18" s="12" t="s">
        <v>776</v>
      </c>
      <c r="D18" s="12" t="str">
        <f>"0,6184"</f>
        <v>0,6184</v>
      </c>
      <c r="E18" s="12" t="s">
        <v>20</v>
      </c>
      <c r="F18" s="12" t="s">
        <v>644</v>
      </c>
      <c r="G18" s="13" t="s">
        <v>338</v>
      </c>
      <c r="H18" s="13" t="s">
        <v>1198</v>
      </c>
      <c r="I18" s="21" t="str">
        <f>"2430,0"</f>
        <v>2430,0</v>
      </c>
      <c r="J18" s="22" t="str">
        <f>"1517,8618"</f>
        <v>1517,8618</v>
      </c>
      <c r="K18" s="12" t="s">
        <v>645</v>
      </c>
    </row>
    <row r="19" spans="1:11" x14ac:dyDescent="0.25">
      <c r="A19" s="12" t="s">
        <v>778</v>
      </c>
      <c r="B19" s="12" t="s">
        <v>779</v>
      </c>
      <c r="C19" s="12" t="s">
        <v>192</v>
      </c>
      <c r="D19" s="12" t="str">
        <f>"0,6188"</f>
        <v>0,6188</v>
      </c>
      <c r="E19" s="12" t="s">
        <v>20</v>
      </c>
      <c r="F19" s="12" t="s">
        <v>644</v>
      </c>
      <c r="G19" s="13" t="s">
        <v>338</v>
      </c>
      <c r="H19" s="13" t="s">
        <v>654</v>
      </c>
      <c r="I19" s="21" t="str">
        <f>"2700,0"</f>
        <v>2700,0</v>
      </c>
      <c r="J19" s="22" t="str">
        <f>"1784,5158"</f>
        <v>1784,5158</v>
      </c>
      <c r="K19" s="12" t="s">
        <v>645</v>
      </c>
    </row>
    <row r="20" spans="1:11" x14ac:dyDescent="0.25">
      <c r="A20" s="9" t="s">
        <v>1261</v>
      </c>
      <c r="B20" s="9" t="s">
        <v>1262</v>
      </c>
      <c r="C20" s="9" t="s">
        <v>520</v>
      </c>
      <c r="D20" s="9" t="str">
        <f>"0,6387"</f>
        <v>0,6387</v>
      </c>
      <c r="E20" s="9" t="s">
        <v>20</v>
      </c>
      <c r="F20" s="9" t="s">
        <v>644</v>
      </c>
      <c r="G20" s="10" t="s">
        <v>320</v>
      </c>
      <c r="H20" s="10" t="s">
        <v>1183</v>
      </c>
      <c r="I20" s="19" t="str">
        <f>"1190,0"</f>
        <v>1190,0</v>
      </c>
      <c r="J20" s="20" t="str">
        <f>"1080,0353"</f>
        <v>1080,0353</v>
      </c>
      <c r="K20" s="9" t="s">
        <v>645</v>
      </c>
    </row>
    <row r="22" spans="1:11" ht="15.6" x14ac:dyDescent="0.3">
      <c r="A22" s="36" t="s">
        <v>41</v>
      </c>
      <c r="B22" s="36"/>
      <c r="C22" s="36"/>
      <c r="D22" s="36"/>
      <c r="E22" s="36"/>
      <c r="F22" s="36"/>
      <c r="G22" s="36"/>
      <c r="H22" s="36"/>
    </row>
    <row r="23" spans="1:11" x14ac:dyDescent="0.25">
      <c r="A23" s="6" t="s">
        <v>1264</v>
      </c>
      <c r="B23" s="6" t="s">
        <v>1265</v>
      </c>
      <c r="C23" s="6" t="s">
        <v>1266</v>
      </c>
      <c r="D23" s="6" t="str">
        <f>"0,6086"</f>
        <v>0,6086</v>
      </c>
      <c r="E23" s="6" t="s">
        <v>20</v>
      </c>
      <c r="F23" s="6" t="s">
        <v>1267</v>
      </c>
      <c r="G23" s="7" t="s">
        <v>499</v>
      </c>
      <c r="H23" s="7" t="s">
        <v>1268</v>
      </c>
      <c r="I23" s="17" t="str">
        <f>"2590,0"</f>
        <v>2590,0</v>
      </c>
      <c r="J23" s="18" t="str">
        <f>"1576,1445"</f>
        <v>1576,1445</v>
      </c>
      <c r="K23" s="6" t="s">
        <v>1269</v>
      </c>
    </row>
    <row r="24" spans="1:11" x14ac:dyDescent="0.25">
      <c r="A24" s="9" t="s">
        <v>1270</v>
      </c>
      <c r="B24" s="9" t="s">
        <v>433</v>
      </c>
      <c r="C24" s="9" t="s">
        <v>434</v>
      </c>
      <c r="D24" s="9" t="str">
        <f>"0,6033"</f>
        <v>0,6033</v>
      </c>
      <c r="E24" s="9" t="s">
        <v>20</v>
      </c>
      <c r="F24" s="9" t="s">
        <v>46</v>
      </c>
      <c r="G24" s="10" t="s">
        <v>499</v>
      </c>
      <c r="H24" s="10" t="s">
        <v>1246</v>
      </c>
      <c r="I24" s="19" t="str">
        <f>"2312,5"</f>
        <v>2312,5</v>
      </c>
      <c r="J24" s="20" t="str">
        <f>"1395,1312"</f>
        <v>1395,1312</v>
      </c>
      <c r="K24" s="9" t="s">
        <v>435</v>
      </c>
    </row>
    <row r="26" spans="1:11" ht="15.6" x14ac:dyDescent="0.3">
      <c r="A26" s="36" t="s">
        <v>84</v>
      </c>
      <c r="B26" s="36"/>
      <c r="C26" s="36"/>
      <c r="D26" s="36"/>
      <c r="E26" s="36"/>
      <c r="F26" s="36"/>
      <c r="G26" s="36"/>
      <c r="H26" s="36"/>
    </row>
    <row r="27" spans="1:11" x14ac:dyDescent="0.25">
      <c r="A27" s="6" t="s">
        <v>1272</v>
      </c>
      <c r="B27" s="6" t="s">
        <v>1273</v>
      </c>
      <c r="C27" s="6" t="s">
        <v>1274</v>
      </c>
      <c r="D27" s="6" t="str">
        <f>"0,5730"</f>
        <v>0,5730</v>
      </c>
      <c r="E27" s="6" t="s">
        <v>20</v>
      </c>
      <c r="F27" s="6" t="s">
        <v>644</v>
      </c>
      <c r="G27" s="7" t="s">
        <v>169</v>
      </c>
      <c r="H27" s="7" t="s">
        <v>1268</v>
      </c>
      <c r="I27" s="17" t="str">
        <f>"2940,0"</f>
        <v>2940,0</v>
      </c>
      <c r="J27" s="18" t="str">
        <f>"1684,4730"</f>
        <v>1684,4730</v>
      </c>
      <c r="K27" s="6" t="s">
        <v>1275</v>
      </c>
    </row>
    <row r="28" spans="1:11" x14ac:dyDescent="0.25">
      <c r="A28" s="12" t="s">
        <v>847</v>
      </c>
      <c r="B28" s="12" t="s">
        <v>848</v>
      </c>
      <c r="C28" s="12" t="s">
        <v>849</v>
      </c>
      <c r="D28" s="12" t="str">
        <f>"0,5641"</f>
        <v>0,5641</v>
      </c>
      <c r="E28" s="12" t="s">
        <v>20</v>
      </c>
      <c r="F28" s="12" t="s">
        <v>46</v>
      </c>
      <c r="G28" s="13" t="s">
        <v>170</v>
      </c>
      <c r="H28" s="13" t="s">
        <v>1216</v>
      </c>
      <c r="I28" s="21" t="str">
        <f>"2200,0"</f>
        <v>2200,0</v>
      </c>
      <c r="J28" s="22" t="str">
        <f>"1423,3238"</f>
        <v>1423,3238</v>
      </c>
      <c r="K28" s="12" t="s">
        <v>120</v>
      </c>
    </row>
    <row r="29" spans="1:11" x14ac:dyDescent="0.25">
      <c r="A29" s="9" t="s">
        <v>1277</v>
      </c>
      <c r="B29" s="9" t="s">
        <v>1278</v>
      </c>
      <c r="C29" s="9" t="s">
        <v>1279</v>
      </c>
      <c r="D29" s="9" t="str">
        <f>"0,5713"</f>
        <v>0,5713</v>
      </c>
      <c r="E29" s="9" t="s">
        <v>20</v>
      </c>
      <c r="F29" s="9" t="s">
        <v>46</v>
      </c>
      <c r="G29" s="10" t="s">
        <v>169</v>
      </c>
      <c r="H29" s="10" t="s">
        <v>1280</v>
      </c>
      <c r="I29" s="19" t="str">
        <f>"2310,0"</f>
        <v>2310,0</v>
      </c>
      <c r="J29" s="20" t="str">
        <f>"1644,2061"</f>
        <v>1644,2061</v>
      </c>
      <c r="K29" s="9" t="s">
        <v>435</v>
      </c>
    </row>
    <row r="31" spans="1:11" ht="15.6" x14ac:dyDescent="0.3">
      <c r="A31" s="36" t="s">
        <v>281</v>
      </c>
      <c r="B31" s="36"/>
      <c r="C31" s="36"/>
      <c r="D31" s="36"/>
      <c r="E31" s="36"/>
      <c r="F31" s="36"/>
      <c r="G31" s="36"/>
      <c r="H31" s="36"/>
    </row>
    <row r="32" spans="1:11" x14ac:dyDescent="0.25">
      <c r="A32" s="28" t="s">
        <v>1282</v>
      </c>
      <c r="B32" s="28" t="s">
        <v>1283</v>
      </c>
      <c r="C32" s="28" t="s">
        <v>1284</v>
      </c>
      <c r="D32" s="28" t="str">
        <f>"0,5619"</f>
        <v>0,5619</v>
      </c>
      <c r="E32" s="28" t="s">
        <v>20</v>
      </c>
      <c r="F32" s="28" t="s">
        <v>644</v>
      </c>
      <c r="G32" s="30" t="s">
        <v>81</v>
      </c>
      <c r="H32" s="30" t="s">
        <v>1258</v>
      </c>
      <c r="I32" s="32" t="str">
        <f>"2025,0"</f>
        <v>2025,0</v>
      </c>
      <c r="J32" s="33" t="str">
        <f>"1137,8475"</f>
        <v>1137,8475</v>
      </c>
      <c r="K32" s="28" t="s">
        <v>645</v>
      </c>
    </row>
    <row r="34" spans="1:5" ht="15" x14ac:dyDescent="0.25">
      <c r="E34" s="15" t="s">
        <v>121</v>
      </c>
    </row>
    <row r="35" spans="1:5" ht="15" x14ac:dyDescent="0.25">
      <c r="E35" s="15" t="s">
        <v>122</v>
      </c>
    </row>
    <row r="36" spans="1:5" ht="15" x14ac:dyDescent="0.25">
      <c r="E36" s="15" t="s">
        <v>123</v>
      </c>
    </row>
    <row r="37" spans="1:5" ht="15" x14ac:dyDescent="0.25">
      <c r="E37" s="15" t="s">
        <v>124</v>
      </c>
    </row>
    <row r="38" spans="1:5" ht="15" x14ac:dyDescent="0.25">
      <c r="E38" s="15" t="s">
        <v>124</v>
      </c>
    </row>
    <row r="39" spans="1:5" ht="15" x14ac:dyDescent="0.25">
      <c r="E39" s="15" t="s">
        <v>125</v>
      </c>
    </row>
    <row r="40" spans="1:5" ht="15" x14ac:dyDescent="0.25">
      <c r="E40" s="15"/>
    </row>
    <row r="42" spans="1:5" ht="17.399999999999999" x14ac:dyDescent="0.3">
      <c r="A42" s="23" t="s">
        <v>126</v>
      </c>
      <c r="B42" s="23"/>
    </row>
    <row r="43" spans="1:5" ht="15.6" x14ac:dyDescent="0.3">
      <c r="A43" s="24" t="s">
        <v>127</v>
      </c>
      <c r="B43" s="24"/>
    </row>
    <row r="44" spans="1:5" ht="14.4" x14ac:dyDescent="0.3">
      <c r="A44" s="26"/>
      <c r="B44" s="27" t="s">
        <v>138</v>
      </c>
    </row>
    <row r="45" spans="1:5" ht="13.8" x14ac:dyDescent="0.25">
      <c r="A45" s="29" t="s">
        <v>129</v>
      </c>
      <c r="B45" s="29" t="s">
        <v>130</v>
      </c>
      <c r="C45" s="29" t="s">
        <v>131</v>
      </c>
      <c r="D45" s="29" t="s">
        <v>584</v>
      </c>
      <c r="E45" s="29" t="s">
        <v>1218</v>
      </c>
    </row>
    <row r="46" spans="1:5" x14ac:dyDescent="0.25">
      <c r="A46" s="25" t="s">
        <v>1238</v>
      </c>
      <c r="B46" s="4" t="s">
        <v>138</v>
      </c>
      <c r="C46" s="4" t="s">
        <v>453</v>
      </c>
      <c r="D46" s="4" t="s">
        <v>1285</v>
      </c>
      <c r="E46" s="16" t="s">
        <v>1286</v>
      </c>
    </row>
    <row r="47" spans="1:5" x14ac:dyDescent="0.25">
      <c r="A47" s="25" t="s">
        <v>1271</v>
      </c>
      <c r="B47" s="4" t="s">
        <v>138</v>
      </c>
      <c r="C47" s="4" t="s">
        <v>135</v>
      </c>
      <c r="D47" s="4" t="s">
        <v>1287</v>
      </c>
      <c r="E47" s="16" t="s">
        <v>1288</v>
      </c>
    </row>
    <row r="48" spans="1:5" x14ac:dyDescent="0.25">
      <c r="A48" s="25" t="s">
        <v>743</v>
      </c>
      <c r="B48" s="4" t="s">
        <v>138</v>
      </c>
      <c r="C48" s="4" t="s">
        <v>150</v>
      </c>
      <c r="D48" s="4" t="s">
        <v>1289</v>
      </c>
      <c r="E48" s="16" t="s">
        <v>1290</v>
      </c>
    </row>
    <row r="49" spans="1:5" x14ac:dyDescent="0.25">
      <c r="A49" s="25" t="s">
        <v>1263</v>
      </c>
      <c r="B49" s="4" t="s">
        <v>138</v>
      </c>
      <c r="C49" s="4" t="s">
        <v>141</v>
      </c>
      <c r="D49" s="4" t="s">
        <v>1291</v>
      </c>
      <c r="E49" s="16" t="s">
        <v>1292</v>
      </c>
    </row>
    <row r="50" spans="1:5" x14ac:dyDescent="0.25">
      <c r="A50" s="25" t="s">
        <v>431</v>
      </c>
      <c r="B50" s="4" t="s">
        <v>138</v>
      </c>
      <c r="C50" s="4" t="s">
        <v>141</v>
      </c>
      <c r="D50" s="4" t="s">
        <v>1293</v>
      </c>
      <c r="E50" s="16" t="s">
        <v>1294</v>
      </c>
    </row>
    <row r="51" spans="1:5" x14ac:dyDescent="0.25">
      <c r="A51" s="25" t="s">
        <v>1242</v>
      </c>
      <c r="B51" s="4" t="s">
        <v>138</v>
      </c>
      <c r="C51" s="4" t="s">
        <v>453</v>
      </c>
      <c r="D51" s="4" t="s">
        <v>1295</v>
      </c>
      <c r="E51" s="16" t="s">
        <v>1296</v>
      </c>
    </row>
    <row r="52" spans="1:5" x14ac:dyDescent="0.25">
      <c r="A52" s="25" t="s">
        <v>1253</v>
      </c>
      <c r="B52" s="4" t="s">
        <v>138</v>
      </c>
      <c r="C52" s="4" t="s">
        <v>234</v>
      </c>
      <c r="D52" s="4" t="s">
        <v>1297</v>
      </c>
      <c r="E52" s="16" t="s">
        <v>1298</v>
      </c>
    </row>
    <row r="53" spans="1:5" x14ac:dyDescent="0.25">
      <c r="A53" s="25" t="s">
        <v>1281</v>
      </c>
      <c r="B53" s="4" t="s">
        <v>138</v>
      </c>
      <c r="C53" s="4" t="s">
        <v>300</v>
      </c>
      <c r="D53" s="4" t="s">
        <v>1299</v>
      </c>
      <c r="E53" s="16" t="s">
        <v>1300</v>
      </c>
    </row>
    <row r="55" spans="1:5" ht="14.4" x14ac:dyDescent="0.3">
      <c r="A55" s="26"/>
      <c r="B55" s="27" t="s">
        <v>159</v>
      </c>
    </row>
    <row r="56" spans="1:5" ht="13.8" x14ac:dyDescent="0.25">
      <c r="A56" s="29" t="s">
        <v>129</v>
      </c>
      <c r="B56" s="29" t="s">
        <v>130</v>
      </c>
      <c r="C56" s="29" t="s">
        <v>131</v>
      </c>
      <c r="D56" s="29" t="s">
        <v>584</v>
      </c>
      <c r="E56" s="29" t="s">
        <v>1218</v>
      </c>
    </row>
    <row r="57" spans="1:5" x14ac:dyDescent="0.25">
      <c r="A57" s="25" t="s">
        <v>1247</v>
      </c>
      <c r="B57" s="4" t="s">
        <v>251</v>
      </c>
      <c r="C57" s="4" t="s">
        <v>245</v>
      </c>
      <c r="D57" s="4" t="s">
        <v>1301</v>
      </c>
      <c r="E57" s="16" t="s">
        <v>1302</v>
      </c>
    </row>
    <row r="58" spans="1:5" x14ac:dyDescent="0.25">
      <c r="A58" s="25" t="s">
        <v>777</v>
      </c>
      <c r="B58" s="4" t="s">
        <v>251</v>
      </c>
      <c r="C58" s="4" t="s">
        <v>150</v>
      </c>
      <c r="D58" s="4" t="s">
        <v>1289</v>
      </c>
      <c r="E58" s="16" t="s">
        <v>1303</v>
      </c>
    </row>
    <row r="59" spans="1:5" x14ac:dyDescent="0.25">
      <c r="A59" s="25" t="s">
        <v>1276</v>
      </c>
      <c r="B59" s="4" t="s">
        <v>485</v>
      </c>
      <c r="C59" s="4" t="s">
        <v>135</v>
      </c>
      <c r="D59" s="4" t="s">
        <v>1304</v>
      </c>
      <c r="E59" s="16" t="s">
        <v>1305</v>
      </c>
    </row>
    <row r="60" spans="1:5" x14ac:dyDescent="0.25">
      <c r="A60" s="25" t="s">
        <v>725</v>
      </c>
      <c r="B60" s="4" t="s">
        <v>936</v>
      </c>
      <c r="C60" s="4" t="s">
        <v>234</v>
      </c>
      <c r="D60" s="4" t="s">
        <v>1306</v>
      </c>
      <c r="E60" s="16" t="s">
        <v>1307</v>
      </c>
    </row>
    <row r="61" spans="1:5" x14ac:dyDescent="0.25">
      <c r="A61" s="25" t="s">
        <v>773</v>
      </c>
      <c r="B61" s="4" t="s">
        <v>160</v>
      </c>
      <c r="C61" s="4" t="s">
        <v>150</v>
      </c>
      <c r="D61" s="4" t="s">
        <v>1308</v>
      </c>
      <c r="E61" s="16" t="s">
        <v>1309</v>
      </c>
    </row>
    <row r="62" spans="1:5" x14ac:dyDescent="0.25">
      <c r="A62" s="25" t="s">
        <v>846</v>
      </c>
      <c r="B62" s="4" t="s">
        <v>490</v>
      </c>
      <c r="C62" s="4" t="s">
        <v>135</v>
      </c>
      <c r="D62" s="4" t="s">
        <v>1310</v>
      </c>
      <c r="E62" s="16" t="s">
        <v>1311</v>
      </c>
    </row>
    <row r="63" spans="1:5" x14ac:dyDescent="0.25">
      <c r="A63" s="25" t="s">
        <v>1260</v>
      </c>
      <c r="B63" s="4" t="s">
        <v>248</v>
      </c>
      <c r="C63" s="4" t="s">
        <v>150</v>
      </c>
      <c r="D63" s="4" t="s">
        <v>1312</v>
      </c>
      <c r="E63" s="16" t="s">
        <v>1313</v>
      </c>
    </row>
  </sheetData>
  <mergeCells count="18">
    <mergeCell ref="A1:K2"/>
    <mergeCell ref="A3:A4"/>
    <mergeCell ref="B3:B4"/>
    <mergeCell ref="C3:C4"/>
    <mergeCell ref="D3:D4"/>
    <mergeCell ref="E3:E4"/>
    <mergeCell ref="F3:F4"/>
    <mergeCell ref="A31:H31"/>
    <mergeCell ref="G3:H3"/>
    <mergeCell ref="I3:I4"/>
    <mergeCell ref="J3:J4"/>
    <mergeCell ref="K3:K4"/>
    <mergeCell ref="A5:H5"/>
    <mergeCell ref="A9:H9"/>
    <mergeCell ref="A12:H12"/>
    <mergeCell ref="A16:H16"/>
    <mergeCell ref="A22:H22"/>
    <mergeCell ref="A26:H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15" sqref="A15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11.88671875" style="4" bestFit="1" customWidth="1"/>
    <col min="5" max="5" width="22.6640625" style="4" bestFit="1" customWidth="1"/>
    <col min="6" max="6" width="32.109375" style="4" bestFit="1" customWidth="1"/>
    <col min="7" max="7" width="8.5546875" style="3" customWidth="1"/>
    <col min="8" max="8" width="18" style="3" customWidth="1"/>
    <col min="9" max="9" width="9.21875" style="16" customWidth="1"/>
    <col min="10" max="10" width="9.5546875" style="2" bestFit="1" customWidth="1"/>
    <col min="11" max="11" width="25.5546875" style="4" bestFit="1" customWidth="1"/>
    <col min="12" max="16384" width="9.109375" style="3"/>
  </cols>
  <sheetData>
    <row r="1" spans="1:11" s="2" customFormat="1" ht="29.1" customHeight="1" x14ac:dyDescent="0.25">
      <c r="A1" s="39" t="s">
        <v>1373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1171</v>
      </c>
      <c r="E3" s="37" t="s">
        <v>4</v>
      </c>
      <c r="F3" s="37" t="s">
        <v>7</v>
      </c>
      <c r="G3" s="37" t="s">
        <v>1374</v>
      </c>
      <c r="H3" s="37"/>
      <c r="I3" s="37" t="s">
        <v>1237</v>
      </c>
      <c r="J3" s="37" t="s">
        <v>3</v>
      </c>
      <c r="K3" s="48" t="s">
        <v>2</v>
      </c>
    </row>
    <row r="4" spans="1:11" s="1" customFormat="1" ht="21" customHeight="1" thickBot="1" x14ac:dyDescent="0.3">
      <c r="A4" s="46"/>
      <c r="B4" s="38"/>
      <c r="C4" s="38"/>
      <c r="D4" s="38"/>
      <c r="E4" s="38"/>
      <c r="F4" s="38"/>
      <c r="G4" s="5" t="s">
        <v>8</v>
      </c>
      <c r="H4" s="5" t="s">
        <v>9</v>
      </c>
      <c r="I4" s="38"/>
      <c r="J4" s="38"/>
      <c r="K4" s="49"/>
    </row>
    <row r="5" spans="1:11" ht="15.6" x14ac:dyDescent="0.3">
      <c r="A5" s="34" t="s">
        <v>625</v>
      </c>
      <c r="B5" s="35"/>
      <c r="C5" s="35"/>
      <c r="D5" s="35"/>
      <c r="E5" s="35"/>
      <c r="F5" s="35"/>
      <c r="G5" s="35"/>
      <c r="H5" s="35"/>
    </row>
    <row r="6" spans="1:11" x14ac:dyDescent="0.25">
      <c r="A6" s="28" t="s">
        <v>1314</v>
      </c>
      <c r="B6" s="28" t="s">
        <v>642</v>
      </c>
      <c r="C6" s="28" t="s">
        <v>643</v>
      </c>
      <c r="D6" s="28" t="str">
        <f>"1,0701"</f>
        <v>1,0701</v>
      </c>
      <c r="E6" s="28" t="s">
        <v>20</v>
      </c>
      <c r="F6" s="28" t="s">
        <v>644</v>
      </c>
      <c r="G6" s="30" t="s">
        <v>1315</v>
      </c>
      <c r="H6" s="30" t="s">
        <v>1316</v>
      </c>
      <c r="I6" s="32" t="str">
        <f>"1072,5"</f>
        <v>1072,5</v>
      </c>
      <c r="J6" s="33" t="str">
        <f>"1147,6822"</f>
        <v>1147,6822</v>
      </c>
      <c r="K6" s="28" t="s">
        <v>645</v>
      </c>
    </row>
    <row r="8" spans="1:11" ht="15.6" x14ac:dyDescent="0.3">
      <c r="A8" s="36" t="s">
        <v>325</v>
      </c>
      <c r="B8" s="36"/>
      <c r="C8" s="36"/>
      <c r="D8" s="36"/>
      <c r="E8" s="36"/>
      <c r="F8" s="36"/>
      <c r="G8" s="36"/>
      <c r="H8" s="36"/>
    </row>
    <row r="9" spans="1:11" x14ac:dyDescent="0.25">
      <c r="A9" s="28" t="s">
        <v>1318</v>
      </c>
      <c r="B9" s="28" t="s">
        <v>1319</v>
      </c>
      <c r="C9" s="28" t="s">
        <v>1320</v>
      </c>
      <c r="D9" s="28" t="str">
        <f>"0,9747"</f>
        <v>0,9747</v>
      </c>
      <c r="E9" s="28" t="s">
        <v>20</v>
      </c>
      <c r="F9" s="28" t="s">
        <v>644</v>
      </c>
      <c r="G9" s="30" t="s">
        <v>1315</v>
      </c>
      <c r="H9" s="30" t="s">
        <v>322</v>
      </c>
      <c r="I9" s="32" t="str">
        <f>"1237,5"</f>
        <v>1237,5</v>
      </c>
      <c r="J9" s="33" t="str">
        <f>"1206,1912"</f>
        <v>1206,1912</v>
      </c>
      <c r="K9" s="28" t="s">
        <v>645</v>
      </c>
    </row>
    <row r="11" spans="1:11" ht="15.6" x14ac:dyDescent="0.3">
      <c r="A11" s="36" t="s">
        <v>356</v>
      </c>
      <c r="B11" s="36"/>
      <c r="C11" s="36"/>
      <c r="D11" s="36"/>
      <c r="E11" s="36"/>
      <c r="F11" s="36"/>
      <c r="G11" s="36"/>
      <c r="H11" s="36"/>
    </row>
    <row r="12" spans="1:11" x14ac:dyDescent="0.25">
      <c r="A12" s="28" t="s">
        <v>1180</v>
      </c>
      <c r="B12" s="28" t="s">
        <v>1181</v>
      </c>
      <c r="C12" s="28" t="s">
        <v>1182</v>
      </c>
      <c r="D12" s="28" t="str">
        <f>"0,7829"</f>
        <v>0,7829</v>
      </c>
      <c r="E12" s="28" t="s">
        <v>20</v>
      </c>
      <c r="F12" s="28" t="s">
        <v>644</v>
      </c>
      <c r="G12" s="30" t="s">
        <v>1321</v>
      </c>
      <c r="H12" s="30" t="s">
        <v>1322</v>
      </c>
      <c r="I12" s="32" t="str">
        <f>"3120,0"</f>
        <v>3120,0</v>
      </c>
      <c r="J12" s="33" t="str">
        <f>"2442,8040"</f>
        <v>2442,8040</v>
      </c>
      <c r="K12" s="28" t="s">
        <v>645</v>
      </c>
    </row>
    <row r="14" spans="1:11" ht="15.6" x14ac:dyDescent="0.3">
      <c r="A14" s="36" t="s">
        <v>163</v>
      </c>
      <c r="B14" s="36"/>
      <c r="C14" s="36"/>
      <c r="D14" s="36"/>
      <c r="E14" s="36"/>
      <c r="F14" s="36"/>
      <c r="G14" s="36"/>
      <c r="H14" s="36"/>
    </row>
    <row r="15" spans="1:11" x14ac:dyDescent="0.25">
      <c r="A15" s="28" t="s">
        <v>1324</v>
      </c>
      <c r="B15" s="28" t="s">
        <v>1325</v>
      </c>
      <c r="C15" s="28" t="s">
        <v>1326</v>
      </c>
      <c r="D15" s="28" t="str">
        <f>"0,6589"</f>
        <v>0,6589</v>
      </c>
      <c r="E15" s="28" t="s">
        <v>20</v>
      </c>
      <c r="F15" s="28" t="s">
        <v>46</v>
      </c>
      <c r="G15" s="30" t="s">
        <v>354</v>
      </c>
      <c r="H15" s="30" t="s">
        <v>1327</v>
      </c>
      <c r="I15" s="32" t="str">
        <f>"5880,0"</f>
        <v>5880,0</v>
      </c>
      <c r="J15" s="33" t="str">
        <f>"5618,2075"</f>
        <v>5618,2075</v>
      </c>
      <c r="K15" s="28" t="s">
        <v>1376</v>
      </c>
    </row>
    <row r="17" spans="1:11" ht="15.6" x14ac:dyDescent="0.3">
      <c r="A17" s="36" t="s">
        <v>15</v>
      </c>
      <c r="B17" s="36"/>
      <c r="C17" s="36"/>
      <c r="D17" s="36"/>
      <c r="E17" s="36"/>
      <c r="F17" s="36"/>
      <c r="G17" s="36"/>
      <c r="H17" s="36"/>
    </row>
    <row r="18" spans="1:11" x14ac:dyDescent="0.25">
      <c r="A18" s="6" t="s">
        <v>1329</v>
      </c>
      <c r="B18" s="6" t="s">
        <v>1330</v>
      </c>
      <c r="C18" s="6" t="s">
        <v>1331</v>
      </c>
      <c r="D18" s="6" t="str">
        <f>"0,6373"</f>
        <v>0,6373</v>
      </c>
      <c r="E18" s="6" t="s">
        <v>20</v>
      </c>
      <c r="F18" s="6" t="s">
        <v>1332</v>
      </c>
      <c r="G18" s="7" t="s">
        <v>321</v>
      </c>
      <c r="H18" s="7" t="s">
        <v>38</v>
      </c>
      <c r="I18" s="17" t="str">
        <f>"6375,0"</f>
        <v>6375,0</v>
      </c>
      <c r="J18" s="18" t="str">
        <f>"5890,5797"</f>
        <v>5890,5797</v>
      </c>
      <c r="K18" s="6" t="s">
        <v>1333</v>
      </c>
    </row>
    <row r="19" spans="1:11" x14ac:dyDescent="0.25">
      <c r="A19" s="12" t="s">
        <v>1334</v>
      </c>
      <c r="B19" s="12" t="s">
        <v>1262</v>
      </c>
      <c r="C19" s="12" t="s">
        <v>520</v>
      </c>
      <c r="D19" s="12" t="str">
        <f>"0,6387"</f>
        <v>0,6387</v>
      </c>
      <c r="E19" s="12" t="s">
        <v>20</v>
      </c>
      <c r="F19" s="12" t="s">
        <v>644</v>
      </c>
      <c r="G19" s="13" t="s">
        <v>321</v>
      </c>
      <c r="H19" s="13" t="s">
        <v>1335</v>
      </c>
      <c r="I19" s="21" t="str">
        <f>"3782,5"</f>
        <v>3782,5</v>
      </c>
      <c r="J19" s="22" t="str">
        <f>"3432,9694"</f>
        <v>3432,9694</v>
      </c>
      <c r="K19" s="12" t="s">
        <v>645</v>
      </c>
    </row>
    <row r="20" spans="1:11" x14ac:dyDescent="0.25">
      <c r="A20" s="9" t="s">
        <v>1336</v>
      </c>
      <c r="B20" s="9" t="s">
        <v>789</v>
      </c>
      <c r="C20" s="9" t="s">
        <v>790</v>
      </c>
      <c r="D20" s="9" t="str">
        <f>"0,6137"</f>
        <v>0,6137</v>
      </c>
      <c r="E20" s="9" t="s">
        <v>20</v>
      </c>
      <c r="F20" s="9" t="s">
        <v>46</v>
      </c>
      <c r="G20" s="10" t="s">
        <v>322</v>
      </c>
      <c r="H20" s="10" t="s">
        <v>1337</v>
      </c>
      <c r="I20" s="19" t="str">
        <f>"3060,0"</f>
        <v>3060,0</v>
      </c>
      <c r="J20" s="20" t="str">
        <f>"2668,7445"</f>
        <v>2668,7445</v>
      </c>
      <c r="K20" s="9" t="s">
        <v>791</v>
      </c>
    </row>
    <row r="22" spans="1:11" ht="15.6" x14ac:dyDescent="0.3">
      <c r="A22" s="36" t="s">
        <v>41</v>
      </c>
      <c r="B22" s="36"/>
      <c r="C22" s="36"/>
      <c r="D22" s="36"/>
      <c r="E22" s="36"/>
      <c r="F22" s="36"/>
      <c r="G22" s="36"/>
      <c r="H22" s="36"/>
    </row>
    <row r="23" spans="1:11" x14ac:dyDescent="0.25">
      <c r="A23" s="28" t="s">
        <v>1339</v>
      </c>
      <c r="B23" s="28" t="s">
        <v>1340</v>
      </c>
      <c r="C23" s="28" t="s">
        <v>1341</v>
      </c>
      <c r="D23" s="28" t="str">
        <f>"0,5987"</f>
        <v>0,5987</v>
      </c>
      <c r="E23" s="28" t="s">
        <v>20</v>
      </c>
      <c r="F23" s="28" t="s">
        <v>46</v>
      </c>
      <c r="G23" s="30" t="s">
        <v>323</v>
      </c>
      <c r="H23" s="30" t="s">
        <v>1342</v>
      </c>
      <c r="I23" s="32" t="str">
        <f>"3752,5"</f>
        <v>3752,5</v>
      </c>
      <c r="J23" s="33" t="str">
        <f>"3394,6454"</f>
        <v>3394,6454</v>
      </c>
      <c r="K23" s="28" t="s">
        <v>1343</v>
      </c>
    </row>
    <row r="25" spans="1:11" ht="15" x14ac:dyDescent="0.25">
      <c r="E25" s="15" t="s">
        <v>121</v>
      </c>
    </row>
    <row r="26" spans="1:11" ht="15" x14ac:dyDescent="0.25">
      <c r="E26" s="15" t="s">
        <v>122</v>
      </c>
    </row>
    <row r="27" spans="1:11" ht="15" x14ac:dyDescent="0.25">
      <c r="E27" s="15" t="s">
        <v>123</v>
      </c>
    </row>
    <row r="28" spans="1:11" ht="15" x14ac:dyDescent="0.25">
      <c r="E28" s="15" t="s">
        <v>124</v>
      </c>
    </row>
    <row r="29" spans="1:11" ht="15" x14ac:dyDescent="0.25">
      <c r="E29" s="15" t="s">
        <v>124</v>
      </c>
    </row>
    <row r="30" spans="1:11" ht="15" x14ac:dyDescent="0.25">
      <c r="E30" s="15" t="s">
        <v>125</v>
      </c>
    </row>
    <row r="31" spans="1:11" ht="15" x14ac:dyDescent="0.25">
      <c r="E31" s="15"/>
    </row>
    <row r="33" spans="1:5" ht="17.399999999999999" x14ac:dyDescent="0.3">
      <c r="A33" s="23" t="s">
        <v>126</v>
      </c>
      <c r="B33" s="23"/>
    </row>
    <row r="34" spans="1:5" ht="15.6" x14ac:dyDescent="0.3">
      <c r="A34" s="24" t="s">
        <v>233</v>
      </c>
      <c r="B34" s="24"/>
    </row>
    <row r="35" spans="1:5" ht="14.4" x14ac:dyDescent="0.3">
      <c r="A35" s="26"/>
      <c r="B35" s="27" t="s">
        <v>138</v>
      </c>
    </row>
    <row r="36" spans="1:5" ht="13.8" x14ac:dyDescent="0.25">
      <c r="A36" s="29" t="s">
        <v>129</v>
      </c>
      <c r="B36" s="29" t="s">
        <v>130</v>
      </c>
      <c r="C36" s="29" t="s">
        <v>131</v>
      </c>
      <c r="D36" s="29" t="s">
        <v>584</v>
      </c>
      <c r="E36" s="29" t="s">
        <v>1218</v>
      </c>
    </row>
    <row r="37" spans="1:5" x14ac:dyDescent="0.25">
      <c r="A37" s="25" t="s">
        <v>640</v>
      </c>
      <c r="B37" s="4" t="s">
        <v>138</v>
      </c>
      <c r="C37" s="4" t="s">
        <v>894</v>
      </c>
      <c r="D37" s="4" t="s">
        <v>1344</v>
      </c>
      <c r="E37" s="16" t="s">
        <v>1345</v>
      </c>
    </row>
    <row r="40" spans="1:5" ht="15.6" x14ac:dyDescent="0.3">
      <c r="A40" s="24" t="s">
        <v>127</v>
      </c>
      <c r="B40" s="24"/>
    </row>
    <row r="41" spans="1:5" ht="14.4" x14ac:dyDescent="0.3">
      <c r="A41" s="26"/>
      <c r="B41" s="27" t="s">
        <v>468</v>
      </c>
    </row>
    <row r="42" spans="1:5" ht="13.8" x14ac:dyDescent="0.25">
      <c r="A42" s="29" t="s">
        <v>129</v>
      </c>
      <c r="B42" s="29" t="s">
        <v>130</v>
      </c>
      <c r="C42" s="29" t="s">
        <v>131</v>
      </c>
      <c r="D42" s="29" t="s">
        <v>584</v>
      </c>
      <c r="E42" s="29" t="s">
        <v>1218</v>
      </c>
    </row>
    <row r="43" spans="1:5" x14ac:dyDescent="0.25">
      <c r="A43" s="25" t="s">
        <v>1179</v>
      </c>
      <c r="B43" s="4" t="s">
        <v>450</v>
      </c>
      <c r="C43" s="4" t="s">
        <v>453</v>
      </c>
      <c r="D43" s="4" t="s">
        <v>1346</v>
      </c>
      <c r="E43" s="16" t="s">
        <v>1347</v>
      </c>
    </row>
    <row r="44" spans="1:5" x14ac:dyDescent="0.25">
      <c r="A44" s="25" t="s">
        <v>1317</v>
      </c>
      <c r="B44" s="4" t="s">
        <v>450</v>
      </c>
      <c r="C44" s="4" t="s">
        <v>459</v>
      </c>
      <c r="D44" s="4" t="s">
        <v>1348</v>
      </c>
      <c r="E44" s="16" t="s">
        <v>1349</v>
      </c>
    </row>
    <row r="46" spans="1:5" ht="14.4" x14ac:dyDescent="0.3">
      <c r="A46" s="26"/>
      <c r="B46" s="27" t="s">
        <v>159</v>
      </c>
    </row>
    <row r="47" spans="1:5" ht="13.8" x14ac:dyDescent="0.25">
      <c r="A47" s="29" t="s">
        <v>129</v>
      </c>
      <c r="B47" s="29" t="s">
        <v>130</v>
      </c>
      <c r="C47" s="29" t="s">
        <v>131</v>
      </c>
      <c r="D47" s="29" t="s">
        <v>584</v>
      </c>
      <c r="E47" s="29" t="s">
        <v>1218</v>
      </c>
    </row>
    <row r="48" spans="1:5" x14ac:dyDescent="0.25">
      <c r="A48" s="25" t="s">
        <v>1328</v>
      </c>
      <c r="B48" s="4" t="s">
        <v>248</v>
      </c>
      <c r="C48" s="4" t="s">
        <v>150</v>
      </c>
      <c r="D48" s="4" t="s">
        <v>1350</v>
      </c>
      <c r="E48" s="16" t="s">
        <v>1351</v>
      </c>
    </row>
    <row r="49" spans="1:5" x14ac:dyDescent="0.25">
      <c r="A49" s="25" t="s">
        <v>1323</v>
      </c>
      <c r="B49" s="4" t="s">
        <v>248</v>
      </c>
      <c r="C49" s="4" t="s">
        <v>234</v>
      </c>
      <c r="D49" s="4" t="s">
        <v>1352</v>
      </c>
      <c r="E49" s="16" t="s">
        <v>1353</v>
      </c>
    </row>
    <row r="50" spans="1:5" x14ac:dyDescent="0.25">
      <c r="A50" s="25" t="s">
        <v>1260</v>
      </c>
      <c r="B50" s="4" t="s">
        <v>248</v>
      </c>
      <c r="C50" s="4" t="s">
        <v>150</v>
      </c>
      <c r="D50" s="4" t="s">
        <v>1354</v>
      </c>
      <c r="E50" s="16" t="s">
        <v>1355</v>
      </c>
    </row>
    <row r="51" spans="1:5" x14ac:dyDescent="0.25">
      <c r="A51" s="25" t="s">
        <v>1338</v>
      </c>
      <c r="B51" s="4" t="s">
        <v>936</v>
      </c>
      <c r="C51" s="4" t="s">
        <v>141</v>
      </c>
      <c r="D51" s="4" t="s">
        <v>1356</v>
      </c>
      <c r="E51" s="16" t="s">
        <v>1357</v>
      </c>
    </row>
    <row r="52" spans="1:5" x14ac:dyDescent="0.25">
      <c r="A52" s="25" t="s">
        <v>787</v>
      </c>
      <c r="B52" s="4" t="s">
        <v>248</v>
      </c>
      <c r="C52" s="4" t="s">
        <v>150</v>
      </c>
      <c r="D52" s="4" t="s">
        <v>1358</v>
      </c>
      <c r="E52" s="16" t="s">
        <v>1359</v>
      </c>
    </row>
  </sheetData>
  <mergeCells count="17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22:H22"/>
    <mergeCell ref="A5:H5"/>
    <mergeCell ref="A8:H8"/>
    <mergeCell ref="A11:H11"/>
    <mergeCell ref="A14:H14"/>
    <mergeCell ref="A17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I6" sqref="I6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8.44140625" style="4" bestFit="1" customWidth="1"/>
    <col min="5" max="5" width="22.6640625" style="4" bestFit="1" customWidth="1"/>
    <col min="6" max="6" width="29.109375" style="4" bestFit="1" customWidth="1"/>
    <col min="7" max="9" width="5.5546875" style="3" customWidth="1"/>
    <col min="10" max="10" width="4.88671875" style="3" customWidth="1"/>
    <col min="11" max="13" width="5.5546875" style="3" customWidth="1"/>
    <col min="14" max="14" width="4.88671875" style="3" customWidth="1"/>
    <col min="15" max="17" width="5.5546875" style="3" customWidth="1"/>
    <col min="18" max="18" width="4.88671875" style="3" customWidth="1"/>
    <col min="19" max="19" width="7.88671875" style="16" bestFit="1" customWidth="1"/>
    <col min="20" max="20" width="8.5546875" style="2" bestFit="1" customWidth="1"/>
    <col min="21" max="21" width="15.5546875" style="4" bestFit="1" customWidth="1"/>
    <col min="22" max="16384" width="9.109375" style="3"/>
  </cols>
  <sheetData>
    <row r="1" spans="1:21" s="2" customFormat="1" ht="29.1" customHeight="1" x14ac:dyDescent="0.25">
      <c r="A1" s="39" t="s">
        <v>1361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12</v>
      </c>
      <c r="H3" s="37"/>
      <c r="I3" s="37"/>
      <c r="J3" s="37"/>
      <c r="K3" s="37" t="s">
        <v>13</v>
      </c>
      <c r="L3" s="37"/>
      <c r="M3" s="37"/>
      <c r="N3" s="37"/>
      <c r="O3" s="37" t="s">
        <v>14</v>
      </c>
      <c r="P3" s="37"/>
      <c r="Q3" s="37"/>
      <c r="R3" s="37"/>
      <c r="S3" s="37" t="s">
        <v>1</v>
      </c>
      <c r="T3" s="37" t="s">
        <v>3</v>
      </c>
      <c r="U3" s="48" t="s">
        <v>2</v>
      </c>
    </row>
    <row r="4" spans="1:21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8"/>
      <c r="T4" s="38"/>
      <c r="U4" s="49"/>
    </row>
    <row r="5" spans="1:21" ht="15.6" x14ac:dyDescent="0.3">
      <c r="A5" s="34" t="s">
        <v>163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 x14ac:dyDescent="0.25">
      <c r="A6" s="28" t="s">
        <v>165</v>
      </c>
      <c r="B6" s="28" t="s">
        <v>166</v>
      </c>
      <c r="C6" s="28" t="s">
        <v>167</v>
      </c>
      <c r="D6" s="28" t="str">
        <f>"0,9283"</f>
        <v>0,9283</v>
      </c>
      <c r="E6" s="28" t="s">
        <v>20</v>
      </c>
      <c r="F6" s="28" t="s">
        <v>46</v>
      </c>
      <c r="G6" s="30" t="s">
        <v>37</v>
      </c>
      <c r="H6" s="30" t="s">
        <v>26</v>
      </c>
      <c r="I6" s="30" t="s">
        <v>27</v>
      </c>
      <c r="J6" s="31"/>
      <c r="K6" s="30" t="s">
        <v>168</v>
      </c>
      <c r="L6" s="30" t="s">
        <v>169</v>
      </c>
      <c r="M6" s="30" t="s">
        <v>170</v>
      </c>
      <c r="N6" s="31"/>
      <c r="O6" s="30" t="s">
        <v>38</v>
      </c>
      <c r="P6" s="30" t="s">
        <v>63</v>
      </c>
      <c r="Q6" s="30" t="s">
        <v>48</v>
      </c>
      <c r="R6" s="31"/>
      <c r="S6" s="32" t="str">
        <f>"455,0"</f>
        <v>455,0</v>
      </c>
      <c r="T6" s="33" t="str">
        <f>"430,8240"</f>
        <v>430,8240</v>
      </c>
      <c r="U6" s="28" t="s">
        <v>171</v>
      </c>
    </row>
    <row r="8" spans="1:21" ht="15.6" x14ac:dyDescent="0.3">
      <c r="A8" s="36" t="s">
        <v>172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1" x14ac:dyDescent="0.25">
      <c r="A9" s="28" t="s">
        <v>174</v>
      </c>
      <c r="B9" s="28" t="s">
        <v>175</v>
      </c>
      <c r="C9" s="28" t="s">
        <v>176</v>
      </c>
      <c r="D9" s="28" t="str">
        <f>"0,7173"</f>
        <v>0,7173</v>
      </c>
      <c r="E9" s="28" t="s">
        <v>20</v>
      </c>
      <c r="F9" s="28" t="s">
        <v>46</v>
      </c>
      <c r="G9" s="30" t="s">
        <v>177</v>
      </c>
      <c r="H9" s="30" t="s">
        <v>178</v>
      </c>
      <c r="I9" s="30" t="s">
        <v>179</v>
      </c>
      <c r="J9" s="31"/>
      <c r="K9" s="30" t="s">
        <v>169</v>
      </c>
      <c r="L9" s="30" t="s">
        <v>170</v>
      </c>
      <c r="M9" s="31" t="s">
        <v>180</v>
      </c>
      <c r="N9" s="31"/>
      <c r="O9" s="30" t="s">
        <v>63</v>
      </c>
      <c r="P9" s="30" t="s">
        <v>48</v>
      </c>
      <c r="Q9" s="30" t="s">
        <v>49</v>
      </c>
      <c r="R9" s="31"/>
      <c r="S9" s="32" t="str">
        <f>"425,0"</f>
        <v>425,0</v>
      </c>
      <c r="T9" s="33" t="str">
        <f>"304,8525"</f>
        <v>304,8525</v>
      </c>
      <c r="U9" s="28" t="s">
        <v>120</v>
      </c>
    </row>
    <row r="11" spans="1:21" ht="15.6" x14ac:dyDescent="0.3">
      <c r="A11" s="36" t="s">
        <v>15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21" x14ac:dyDescent="0.25">
      <c r="A12" s="6" t="s">
        <v>182</v>
      </c>
      <c r="B12" s="6" t="s">
        <v>183</v>
      </c>
      <c r="C12" s="6" t="s">
        <v>184</v>
      </c>
      <c r="D12" s="6" t="str">
        <f>"0,6428"</f>
        <v>0,6428</v>
      </c>
      <c r="E12" s="6" t="s">
        <v>20</v>
      </c>
      <c r="F12" s="6" t="s">
        <v>185</v>
      </c>
      <c r="G12" s="7" t="s">
        <v>50</v>
      </c>
      <c r="H12" s="7" t="s">
        <v>186</v>
      </c>
      <c r="I12" s="7" t="s">
        <v>23</v>
      </c>
      <c r="J12" s="8"/>
      <c r="K12" s="7" t="s">
        <v>187</v>
      </c>
      <c r="L12" s="7" t="s">
        <v>25</v>
      </c>
      <c r="M12" s="7" t="s">
        <v>188</v>
      </c>
      <c r="N12" s="8"/>
      <c r="O12" s="7" t="s">
        <v>72</v>
      </c>
      <c r="P12" s="7" t="s">
        <v>36</v>
      </c>
      <c r="Q12" s="8" t="s">
        <v>39</v>
      </c>
      <c r="R12" s="8"/>
      <c r="S12" s="17" t="str">
        <f>"617,5"</f>
        <v>617,5</v>
      </c>
      <c r="T12" s="18" t="str">
        <f>"396,9290"</f>
        <v>396,9290</v>
      </c>
      <c r="U12" s="6" t="s">
        <v>30</v>
      </c>
    </row>
    <row r="13" spans="1:21" x14ac:dyDescent="0.25">
      <c r="A13" s="12" t="s">
        <v>190</v>
      </c>
      <c r="B13" s="12" t="s">
        <v>191</v>
      </c>
      <c r="C13" s="12" t="s">
        <v>192</v>
      </c>
      <c r="D13" s="12" t="str">
        <f>"0,6451"</f>
        <v>0,6451</v>
      </c>
      <c r="E13" s="12" t="s">
        <v>20</v>
      </c>
      <c r="F13" s="12" t="s">
        <v>185</v>
      </c>
      <c r="G13" s="13" t="s">
        <v>48</v>
      </c>
      <c r="H13" s="13" t="s">
        <v>50</v>
      </c>
      <c r="I13" s="13" t="s">
        <v>22</v>
      </c>
      <c r="J13" s="14"/>
      <c r="K13" s="13" t="s">
        <v>178</v>
      </c>
      <c r="L13" s="13" t="s">
        <v>179</v>
      </c>
      <c r="M13" s="14" t="s">
        <v>187</v>
      </c>
      <c r="N13" s="14"/>
      <c r="O13" s="13" t="s">
        <v>48</v>
      </c>
      <c r="P13" s="14" t="s">
        <v>50</v>
      </c>
      <c r="Q13" s="14" t="s">
        <v>50</v>
      </c>
      <c r="R13" s="14"/>
      <c r="S13" s="21" t="str">
        <f>"510,0"</f>
        <v>510,0</v>
      </c>
      <c r="T13" s="22" t="str">
        <f>"329,0010"</f>
        <v>329,0010</v>
      </c>
      <c r="U13" s="12" t="s">
        <v>193</v>
      </c>
    </row>
    <row r="14" spans="1:21" x14ac:dyDescent="0.25">
      <c r="A14" s="12" t="s">
        <v>195</v>
      </c>
      <c r="B14" s="12" t="s">
        <v>196</v>
      </c>
      <c r="C14" s="12" t="s">
        <v>197</v>
      </c>
      <c r="D14" s="12" t="str">
        <f>"0,6421"</f>
        <v>0,6421</v>
      </c>
      <c r="E14" s="12" t="s">
        <v>20</v>
      </c>
      <c r="F14" s="12" t="s">
        <v>198</v>
      </c>
      <c r="G14" s="13" t="s">
        <v>80</v>
      </c>
      <c r="H14" s="13" t="s">
        <v>72</v>
      </c>
      <c r="I14" s="13" t="s">
        <v>199</v>
      </c>
      <c r="J14" s="14"/>
      <c r="K14" s="13" t="s">
        <v>25</v>
      </c>
      <c r="L14" s="13" t="s">
        <v>26</v>
      </c>
      <c r="M14" s="13" t="s">
        <v>89</v>
      </c>
      <c r="N14" s="14"/>
      <c r="O14" s="13" t="s">
        <v>80</v>
      </c>
      <c r="P14" s="13" t="s">
        <v>24</v>
      </c>
      <c r="Q14" s="13" t="s">
        <v>28</v>
      </c>
      <c r="R14" s="14"/>
      <c r="S14" s="21" t="str">
        <f>"637,5"</f>
        <v>637,5</v>
      </c>
      <c r="T14" s="22" t="str">
        <f>"431,8524"</f>
        <v>431,8524</v>
      </c>
      <c r="U14" s="12" t="s">
        <v>200</v>
      </c>
    </row>
    <row r="15" spans="1:21" x14ac:dyDescent="0.25">
      <c r="A15" s="9" t="s">
        <v>202</v>
      </c>
      <c r="B15" s="9" t="s">
        <v>203</v>
      </c>
      <c r="C15" s="9" t="s">
        <v>19</v>
      </c>
      <c r="D15" s="9" t="str">
        <f>"0,6592"</f>
        <v>0,6592</v>
      </c>
      <c r="E15" s="9" t="s">
        <v>20</v>
      </c>
      <c r="F15" s="9" t="s">
        <v>204</v>
      </c>
      <c r="G15" s="10" t="s">
        <v>62</v>
      </c>
      <c r="H15" s="10" t="s">
        <v>63</v>
      </c>
      <c r="I15" s="10" t="s">
        <v>205</v>
      </c>
      <c r="J15" s="11"/>
      <c r="K15" s="10" t="s">
        <v>206</v>
      </c>
      <c r="L15" s="10" t="s">
        <v>207</v>
      </c>
      <c r="M15" s="10" t="s">
        <v>170</v>
      </c>
      <c r="N15" s="11"/>
      <c r="O15" s="10" t="s">
        <v>50</v>
      </c>
      <c r="P15" s="10" t="s">
        <v>186</v>
      </c>
      <c r="Q15" s="10" t="s">
        <v>80</v>
      </c>
      <c r="R15" s="11"/>
      <c r="S15" s="19" t="str">
        <f>"500,0"</f>
        <v>500,0</v>
      </c>
      <c r="T15" s="20" t="str">
        <f>"468,3616"</f>
        <v>468,3616</v>
      </c>
      <c r="U15" s="9" t="s">
        <v>208</v>
      </c>
    </row>
    <row r="17" spans="1:21" ht="15.6" x14ac:dyDescent="0.3">
      <c r="A17" s="36" t="s">
        <v>41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</row>
    <row r="18" spans="1:21" x14ac:dyDescent="0.25">
      <c r="A18" s="6" t="s">
        <v>210</v>
      </c>
      <c r="B18" s="6" t="s">
        <v>211</v>
      </c>
      <c r="C18" s="6" t="s">
        <v>212</v>
      </c>
      <c r="D18" s="6" t="str">
        <f>"0,6211"</f>
        <v>0,6211</v>
      </c>
      <c r="E18" s="6" t="s">
        <v>20</v>
      </c>
      <c r="F18" s="6" t="s">
        <v>46</v>
      </c>
      <c r="G18" s="7" t="s">
        <v>22</v>
      </c>
      <c r="H18" s="7" t="s">
        <v>80</v>
      </c>
      <c r="I18" s="7" t="s">
        <v>72</v>
      </c>
      <c r="J18" s="8"/>
      <c r="K18" s="7" t="s">
        <v>63</v>
      </c>
      <c r="L18" s="7" t="s">
        <v>205</v>
      </c>
      <c r="M18" s="7" t="s">
        <v>48</v>
      </c>
      <c r="N18" s="8"/>
      <c r="O18" s="8" t="s">
        <v>29</v>
      </c>
      <c r="P18" s="7" t="s">
        <v>29</v>
      </c>
      <c r="Q18" s="7" t="s">
        <v>213</v>
      </c>
      <c r="R18" s="8"/>
      <c r="S18" s="17" t="str">
        <f>"690,0"</f>
        <v>690,0</v>
      </c>
      <c r="T18" s="18" t="str">
        <f>"428,5590"</f>
        <v>428,5590</v>
      </c>
      <c r="U18" s="6" t="s">
        <v>30</v>
      </c>
    </row>
    <row r="19" spans="1:21" x14ac:dyDescent="0.25">
      <c r="A19" s="12" t="s">
        <v>215</v>
      </c>
      <c r="B19" s="12" t="s">
        <v>216</v>
      </c>
      <c r="C19" s="12" t="s">
        <v>217</v>
      </c>
      <c r="D19" s="12" t="str">
        <f>"0,6188"</f>
        <v>0,6188</v>
      </c>
      <c r="E19" s="12" t="s">
        <v>20</v>
      </c>
      <c r="F19" s="12" t="s">
        <v>46</v>
      </c>
      <c r="G19" s="13" t="s">
        <v>23</v>
      </c>
      <c r="H19" s="13" t="s">
        <v>28</v>
      </c>
      <c r="I19" s="13" t="s">
        <v>90</v>
      </c>
      <c r="J19" s="14"/>
      <c r="K19" s="13" t="s">
        <v>26</v>
      </c>
      <c r="L19" s="13" t="s">
        <v>89</v>
      </c>
      <c r="M19" s="14" t="s">
        <v>218</v>
      </c>
      <c r="N19" s="14"/>
      <c r="O19" s="13" t="s">
        <v>60</v>
      </c>
      <c r="P19" s="13" t="s">
        <v>219</v>
      </c>
      <c r="Q19" s="14" t="s">
        <v>47</v>
      </c>
      <c r="R19" s="14"/>
      <c r="S19" s="21" t="str">
        <f>"687,5"</f>
        <v>687,5</v>
      </c>
      <c r="T19" s="22" t="str">
        <f>"425,4250"</f>
        <v>425,4250</v>
      </c>
      <c r="U19" s="12" t="s">
        <v>220</v>
      </c>
    </row>
    <row r="20" spans="1:21" x14ac:dyDescent="0.25">
      <c r="A20" s="12" t="s">
        <v>222</v>
      </c>
      <c r="B20" s="12" t="s">
        <v>223</v>
      </c>
      <c r="C20" s="12" t="s">
        <v>224</v>
      </c>
      <c r="D20" s="12" t="str">
        <f>"0,6144"</f>
        <v>0,6144</v>
      </c>
      <c r="E20" s="12" t="s">
        <v>20</v>
      </c>
      <c r="F20" s="12" t="s">
        <v>204</v>
      </c>
      <c r="G20" s="13" t="s">
        <v>50</v>
      </c>
      <c r="H20" s="13" t="s">
        <v>186</v>
      </c>
      <c r="I20" s="13" t="s">
        <v>225</v>
      </c>
      <c r="J20" s="14"/>
      <c r="K20" s="13" t="s">
        <v>27</v>
      </c>
      <c r="L20" s="13" t="s">
        <v>64</v>
      </c>
      <c r="M20" s="14" t="s">
        <v>107</v>
      </c>
      <c r="N20" s="14"/>
      <c r="O20" s="13" t="s">
        <v>186</v>
      </c>
      <c r="P20" s="13" t="s">
        <v>80</v>
      </c>
      <c r="Q20" s="14" t="s">
        <v>226</v>
      </c>
      <c r="R20" s="14"/>
      <c r="S20" s="21" t="str">
        <f>"600,0"</f>
        <v>600,0</v>
      </c>
      <c r="T20" s="22" t="str">
        <f>"380,0679"</f>
        <v>380,0679</v>
      </c>
      <c r="U20" s="12" t="s">
        <v>227</v>
      </c>
    </row>
    <row r="21" spans="1:21" x14ac:dyDescent="0.25">
      <c r="A21" s="9" t="s">
        <v>229</v>
      </c>
      <c r="B21" s="9" t="s">
        <v>196</v>
      </c>
      <c r="C21" s="9" t="s">
        <v>230</v>
      </c>
      <c r="D21" s="9" t="str">
        <f>"0,6276"</f>
        <v>0,6276</v>
      </c>
      <c r="E21" s="9" t="s">
        <v>20</v>
      </c>
      <c r="F21" s="9" t="s">
        <v>198</v>
      </c>
      <c r="G21" s="10" t="s">
        <v>23</v>
      </c>
      <c r="H21" s="10" t="s">
        <v>199</v>
      </c>
      <c r="I21" s="10" t="s">
        <v>231</v>
      </c>
      <c r="J21" s="11"/>
      <c r="K21" s="10" t="s">
        <v>179</v>
      </c>
      <c r="L21" s="10" t="s">
        <v>25</v>
      </c>
      <c r="M21" s="11" t="s">
        <v>73</v>
      </c>
      <c r="N21" s="11"/>
      <c r="O21" s="10" t="s">
        <v>80</v>
      </c>
      <c r="P21" s="10" t="s">
        <v>72</v>
      </c>
      <c r="Q21" s="10" t="s">
        <v>199</v>
      </c>
      <c r="R21" s="11"/>
      <c r="S21" s="19" t="str">
        <f>"622,5"</f>
        <v>622,5</v>
      </c>
      <c r="T21" s="20" t="str">
        <f>"412,1685"</f>
        <v>412,1685</v>
      </c>
      <c r="U21" s="9" t="s">
        <v>232</v>
      </c>
    </row>
    <row r="23" spans="1:21" ht="15" x14ac:dyDescent="0.25">
      <c r="E23" s="15" t="s">
        <v>121</v>
      </c>
    </row>
    <row r="24" spans="1:21" ht="15" x14ac:dyDescent="0.25">
      <c r="E24" s="15" t="s">
        <v>122</v>
      </c>
    </row>
    <row r="25" spans="1:21" ht="15" x14ac:dyDescent="0.25">
      <c r="E25" s="15" t="s">
        <v>123</v>
      </c>
    </row>
    <row r="26" spans="1:21" ht="15" x14ac:dyDescent="0.25">
      <c r="E26" s="15" t="s">
        <v>124</v>
      </c>
    </row>
    <row r="27" spans="1:21" ht="15" x14ac:dyDescent="0.25">
      <c r="E27" s="15" t="s">
        <v>124</v>
      </c>
    </row>
    <row r="28" spans="1:21" ht="15" x14ac:dyDescent="0.25">
      <c r="E28" s="15" t="s">
        <v>125</v>
      </c>
    </row>
    <row r="29" spans="1:21" ht="15" x14ac:dyDescent="0.25">
      <c r="E29" s="15"/>
    </row>
    <row r="31" spans="1:21" ht="17.399999999999999" x14ac:dyDescent="0.3">
      <c r="A31" s="23" t="s">
        <v>126</v>
      </c>
      <c r="B31" s="23"/>
    </row>
    <row r="32" spans="1:21" ht="15.6" x14ac:dyDescent="0.3">
      <c r="A32" s="24" t="s">
        <v>233</v>
      </c>
      <c r="B32" s="24"/>
    </row>
    <row r="33" spans="1:5" ht="14.4" x14ac:dyDescent="0.3">
      <c r="A33" s="26"/>
      <c r="B33" s="27" t="s">
        <v>159</v>
      </c>
    </row>
    <row r="34" spans="1:5" ht="13.8" x14ac:dyDescent="0.25">
      <c r="A34" s="29" t="s">
        <v>129</v>
      </c>
      <c r="B34" s="29" t="s">
        <v>130</v>
      </c>
      <c r="C34" s="29" t="s">
        <v>131</v>
      </c>
      <c r="D34" s="29" t="s">
        <v>132</v>
      </c>
      <c r="E34" s="29" t="s">
        <v>133</v>
      </c>
    </row>
    <row r="35" spans="1:5" x14ac:dyDescent="0.25">
      <c r="A35" s="25" t="s">
        <v>164</v>
      </c>
      <c r="B35" s="4" t="s">
        <v>160</v>
      </c>
      <c r="C35" s="4" t="s">
        <v>234</v>
      </c>
      <c r="D35" s="4" t="s">
        <v>235</v>
      </c>
      <c r="E35" s="16" t="s">
        <v>236</v>
      </c>
    </row>
    <row r="38" spans="1:5" ht="15.6" x14ac:dyDescent="0.3">
      <c r="A38" s="24" t="s">
        <v>127</v>
      </c>
      <c r="B38" s="24"/>
    </row>
    <row r="39" spans="1:5" ht="14.4" x14ac:dyDescent="0.3">
      <c r="A39" s="26"/>
      <c r="B39" s="27" t="s">
        <v>138</v>
      </c>
    </row>
    <row r="40" spans="1:5" ht="13.8" x14ac:dyDescent="0.25">
      <c r="A40" s="29" t="s">
        <v>129</v>
      </c>
      <c r="B40" s="29" t="s">
        <v>130</v>
      </c>
      <c r="C40" s="29" t="s">
        <v>131</v>
      </c>
      <c r="D40" s="29" t="s">
        <v>132</v>
      </c>
      <c r="E40" s="29" t="s">
        <v>133</v>
      </c>
    </row>
    <row r="41" spans="1:5" x14ac:dyDescent="0.25">
      <c r="A41" s="25" t="s">
        <v>209</v>
      </c>
      <c r="B41" s="4" t="s">
        <v>138</v>
      </c>
      <c r="C41" s="4" t="s">
        <v>141</v>
      </c>
      <c r="D41" s="4" t="s">
        <v>237</v>
      </c>
      <c r="E41" s="16" t="s">
        <v>238</v>
      </c>
    </row>
    <row r="42" spans="1:5" x14ac:dyDescent="0.25">
      <c r="A42" s="25" t="s">
        <v>214</v>
      </c>
      <c r="B42" s="4" t="s">
        <v>138</v>
      </c>
      <c r="C42" s="4" t="s">
        <v>141</v>
      </c>
      <c r="D42" s="4" t="s">
        <v>239</v>
      </c>
      <c r="E42" s="16" t="s">
        <v>240</v>
      </c>
    </row>
    <row r="43" spans="1:5" x14ac:dyDescent="0.25">
      <c r="A43" s="25" t="s">
        <v>181</v>
      </c>
      <c r="B43" s="4" t="s">
        <v>138</v>
      </c>
      <c r="C43" s="4" t="s">
        <v>150</v>
      </c>
      <c r="D43" s="4" t="s">
        <v>241</v>
      </c>
      <c r="E43" s="16" t="s">
        <v>242</v>
      </c>
    </row>
    <row r="44" spans="1:5" x14ac:dyDescent="0.25">
      <c r="A44" s="25" t="s">
        <v>189</v>
      </c>
      <c r="B44" s="4" t="s">
        <v>138</v>
      </c>
      <c r="C44" s="4" t="s">
        <v>150</v>
      </c>
      <c r="D44" s="4" t="s">
        <v>243</v>
      </c>
      <c r="E44" s="16" t="s">
        <v>244</v>
      </c>
    </row>
    <row r="45" spans="1:5" x14ac:dyDescent="0.25">
      <c r="A45" s="25" t="s">
        <v>173</v>
      </c>
      <c r="B45" s="4" t="s">
        <v>138</v>
      </c>
      <c r="C45" s="4" t="s">
        <v>245</v>
      </c>
      <c r="D45" s="4" t="s">
        <v>246</v>
      </c>
      <c r="E45" s="16" t="s">
        <v>247</v>
      </c>
    </row>
    <row r="47" spans="1:5" ht="14.4" x14ac:dyDescent="0.3">
      <c r="A47" s="26"/>
      <c r="B47" s="27" t="s">
        <v>159</v>
      </c>
    </row>
    <row r="48" spans="1:5" ht="13.8" x14ac:dyDescent="0.25">
      <c r="A48" s="29" t="s">
        <v>129</v>
      </c>
      <c r="B48" s="29" t="s">
        <v>130</v>
      </c>
      <c r="C48" s="29" t="s">
        <v>131</v>
      </c>
      <c r="D48" s="29" t="s">
        <v>132</v>
      </c>
      <c r="E48" s="29" t="s">
        <v>133</v>
      </c>
    </row>
    <row r="49" spans="1:5" x14ac:dyDescent="0.25">
      <c r="A49" s="25" t="s">
        <v>201</v>
      </c>
      <c r="B49" s="4" t="s">
        <v>248</v>
      </c>
      <c r="C49" s="4" t="s">
        <v>150</v>
      </c>
      <c r="D49" s="4" t="s">
        <v>249</v>
      </c>
      <c r="E49" s="16" t="s">
        <v>250</v>
      </c>
    </row>
    <row r="50" spans="1:5" x14ac:dyDescent="0.25">
      <c r="A50" s="25" t="s">
        <v>194</v>
      </c>
      <c r="B50" s="4" t="s">
        <v>251</v>
      </c>
      <c r="C50" s="4" t="s">
        <v>150</v>
      </c>
      <c r="D50" s="4" t="s">
        <v>252</v>
      </c>
      <c r="E50" s="16" t="s">
        <v>253</v>
      </c>
    </row>
    <row r="51" spans="1:5" x14ac:dyDescent="0.25">
      <c r="A51" s="25" t="s">
        <v>228</v>
      </c>
      <c r="B51" s="4" t="s">
        <v>251</v>
      </c>
      <c r="C51" s="4" t="s">
        <v>141</v>
      </c>
      <c r="D51" s="4" t="s">
        <v>254</v>
      </c>
      <c r="E51" s="16" t="s">
        <v>255</v>
      </c>
    </row>
    <row r="52" spans="1:5" x14ac:dyDescent="0.25">
      <c r="A52" s="25" t="s">
        <v>221</v>
      </c>
      <c r="B52" s="4" t="s">
        <v>160</v>
      </c>
      <c r="C52" s="4" t="s">
        <v>141</v>
      </c>
      <c r="D52" s="4" t="s">
        <v>256</v>
      </c>
      <c r="E52" s="16" t="s">
        <v>257</v>
      </c>
    </row>
  </sheetData>
  <mergeCells count="17"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A11:R11"/>
    <mergeCell ref="A17:R17"/>
    <mergeCell ref="S3:S4"/>
    <mergeCell ref="T3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G13" sqref="G13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11.88671875" style="4" bestFit="1" customWidth="1"/>
    <col min="5" max="5" width="22.6640625" style="4" bestFit="1" customWidth="1"/>
    <col min="6" max="6" width="25.109375" style="4" bestFit="1" customWidth="1"/>
    <col min="7" max="9" width="5.5546875" style="3" customWidth="1"/>
    <col min="10" max="10" width="4.88671875" style="3" customWidth="1"/>
    <col min="11" max="11" width="11.33203125" style="16" bestFit="1" customWidth="1"/>
    <col min="12" max="12" width="8.5546875" style="2" bestFit="1" customWidth="1"/>
    <col min="13" max="13" width="26.44140625" style="4" bestFit="1" customWidth="1"/>
    <col min="14" max="16384" width="9.109375" style="3"/>
  </cols>
  <sheetData>
    <row r="1" spans="1:13" s="2" customFormat="1" ht="29.1" customHeight="1" x14ac:dyDescent="0.25">
      <c r="A1" s="39" t="s">
        <v>1362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13</v>
      </c>
      <c r="H3" s="37"/>
      <c r="I3" s="37"/>
      <c r="J3" s="37"/>
      <c r="K3" s="37" t="s">
        <v>605</v>
      </c>
      <c r="L3" s="37" t="s">
        <v>3</v>
      </c>
      <c r="M3" s="48" t="s">
        <v>2</v>
      </c>
    </row>
    <row r="4" spans="1:13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38"/>
      <c r="L4" s="38"/>
      <c r="M4" s="49"/>
    </row>
    <row r="5" spans="1:13" ht="15.6" x14ac:dyDescent="0.3">
      <c r="A5" s="34" t="s">
        <v>41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5">
      <c r="A6" s="6" t="s">
        <v>607</v>
      </c>
      <c r="B6" s="6" t="s">
        <v>608</v>
      </c>
      <c r="C6" s="6" t="s">
        <v>609</v>
      </c>
      <c r="D6" s="6" t="str">
        <f>"0,6108"</f>
        <v>0,6108</v>
      </c>
      <c r="E6" s="6" t="s">
        <v>610</v>
      </c>
      <c r="F6" s="6" t="s">
        <v>611</v>
      </c>
      <c r="G6" s="7" t="s">
        <v>225</v>
      </c>
      <c r="H6" s="7" t="s">
        <v>23</v>
      </c>
      <c r="I6" s="8" t="s">
        <v>24</v>
      </c>
      <c r="J6" s="8"/>
      <c r="K6" s="17" t="str">
        <f>"220,0"</f>
        <v>220,0</v>
      </c>
      <c r="L6" s="18" t="str">
        <f>"134,3760"</f>
        <v>134,3760</v>
      </c>
      <c r="M6" s="6" t="s">
        <v>612</v>
      </c>
    </row>
    <row r="7" spans="1:13" x14ac:dyDescent="0.25">
      <c r="A7" s="9" t="s">
        <v>607</v>
      </c>
      <c r="B7" s="9" t="s">
        <v>613</v>
      </c>
      <c r="C7" s="9" t="s">
        <v>609</v>
      </c>
      <c r="D7" s="9" t="str">
        <f>"0,6108"</f>
        <v>0,6108</v>
      </c>
      <c r="E7" s="9" t="s">
        <v>610</v>
      </c>
      <c r="F7" s="9" t="s">
        <v>611</v>
      </c>
      <c r="G7" s="10" t="s">
        <v>225</v>
      </c>
      <c r="H7" s="10" t="s">
        <v>23</v>
      </c>
      <c r="I7" s="11" t="s">
        <v>24</v>
      </c>
      <c r="J7" s="11"/>
      <c r="K7" s="19" t="str">
        <f>"220,0"</f>
        <v>220,0</v>
      </c>
      <c r="L7" s="20" t="str">
        <f>"135,7198"</f>
        <v>135,7198</v>
      </c>
      <c r="M7" s="9" t="s">
        <v>612</v>
      </c>
    </row>
    <row r="9" spans="1:13" ht="15" x14ac:dyDescent="0.25">
      <c r="E9" s="15" t="s">
        <v>121</v>
      </c>
    </row>
    <row r="10" spans="1:13" ht="15" x14ac:dyDescent="0.25">
      <c r="E10" s="15" t="s">
        <v>122</v>
      </c>
    </row>
    <row r="11" spans="1:13" ht="15" x14ac:dyDescent="0.25">
      <c r="E11" s="15" t="s">
        <v>123</v>
      </c>
    </row>
    <row r="12" spans="1:13" ht="15" x14ac:dyDescent="0.25">
      <c r="E12" s="15" t="s">
        <v>124</v>
      </c>
    </row>
    <row r="13" spans="1:13" ht="15" x14ac:dyDescent="0.25">
      <c r="E13" s="15" t="s">
        <v>124</v>
      </c>
    </row>
    <row r="14" spans="1:13" ht="15" x14ac:dyDescent="0.25">
      <c r="E14" s="15" t="s">
        <v>125</v>
      </c>
    </row>
    <row r="15" spans="1:13" ht="15" x14ac:dyDescent="0.25">
      <c r="E15" s="15"/>
    </row>
    <row r="17" spans="1:5" ht="17.399999999999999" x14ac:dyDescent="0.3">
      <c r="A17" s="23" t="s">
        <v>126</v>
      </c>
      <c r="B17" s="23"/>
    </row>
    <row r="18" spans="1:5" ht="15.6" x14ac:dyDescent="0.3">
      <c r="A18" s="24" t="s">
        <v>127</v>
      </c>
      <c r="B18" s="24"/>
    </row>
    <row r="19" spans="1:5" ht="14.4" x14ac:dyDescent="0.3">
      <c r="A19" s="26"/>
      <c r="B19" s="27" t="s">
        <v>138</v>
      </c>
    </row>
    <row r="20" spans="1:5" ht="13.8" x14ac:dyDescent="0.25">
      <c r="A20" s="29" t="s">
        <v>129</v>
      </c>
      <c r="B20" s="29" t="s">
        <v>130</v>
      </c>
      <c r="C20" s="29" t="s">
        <v>131</v>
      </c>
      <c r="D20" s="29" t="s">
        <v>584</v>
      </c>
      <c r="E20" s="29" t="s">
        <v>133</v>
      </c>
    </row>
    <row r="21" spans="1:5" x14ac:dyDescent="0.25">
      <c r="A21" s="25" t="s">
        <v>606</v>
      </c>
      <c r="B21" s="4" t="s">
        <v>138</v>
      </c>
      <c r="C21" s="4" t="s">
        <v>141</v>
      </c>
      <c r="D21" s="4" t="s">
        <v>23</v>
      </c>
      <c r="E21" s="16" t="s">
        <v>614</v>
      </c>
    </row>
    <row r="23" spans="1:5" ht="14.4" x14ac:dyDescent="0.3">
      <c r="A23" s="26"/>
      <c r="B23" s="27" t="s">
        <v>159</v>
      </c>
    </row>
    <row r="24" spans="1:5" ht="13.8" x14ac:dyDescent="0.25">
      <c r="A24" s="29" t="s">
        <v>129</v>
      </c>
      <c r="B24" s="29" t="s">
        <v>130</v>
      </c>
      <c r="C24" s="29" t="s">
        <v>131</v>
      </c>
      <c r="D24" s="29" t="s">
        <v>584</v>
      </c>
      <c r="E24" s="29" t="s">
        <v>133</v>
      </c>
    </row>
    <row r="25" spans="1:5" x14ac:dyDescent="0.25">
      <c r="A25" s="25" t="s">
        <v>606</v>
      </c>
      <c r="B25" s="4" t="s">
        <v>160</v>
      </c>
      <c r="C25" s="4" t="s">
        <v>141</v>
      </c>
      <c r="D25" s="4" t="s">
        <v>23</v>
      </c>
      <c r="E25" s="16" t="s">
        <v>615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workbookViewId="0">
      <selection activeCell="D7" sqref="D7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11.88671875" style="4" bestFit="1" customWidth="1"/>
    <col min="5" max="5" width="22.6640625" style="4" bestFit="1" customWidth="1"/>
    <col min="6" max="6" width="31.33203125" style="4" bestFit="1" customWidth="1"/>
    <col min="7" max="9" width="5.5546875" style="3" customWidth="1"/>
    <col min="10" max="10" width="4.88671875" style="3" customWidth="1"/>
    <col min="11" max="11" width="11.33203125" style="16" bestFit="1" customWidth="1"/>
    <col min="12" max="12" width="8.5546875" style="2" bestFit="1" customWidth="1"/>
    <col min="13" max="13" width="17.6640625" style="4" bestFit="1" customWidth="1"/>
    <col min="14" max="16384" width="9.109375" style="3"/>
  </cols>
  <sheetData>
    <row r="1" spans="1:13" s="2" customFormat="1" ht="29.1" customHeight="1" x14ac:dyDescent="0.25">
      <c r="A1" s="39" t="s">
        <v>1363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13</v>
      </c>
      <c r="H3" s="37"/>
      <c r="I3" s="37"/>
      <c r="J3" s="37"/>
      <c r="K3" s="37" t="s">
        <v>605</v>
      </c>
      <c r="L3" s="37" t="s">
        <v>3</v>
      </c>
      <c r="M3" s="48" t="s">
        <v>2</v>
      </c>
    </row>
    <row r="4" spans="1:13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38"/>
      <c r="L4" s="38"/>
      <c r="M4" s="49"/>
    </row>
    <row r="5" spans="1:13" ht="15.6" x14ac:dyDescent="0.3">
      <c r="A5" s="34" t="s">
        <v>172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5">
      <c r="A6" s="6" t="s">
        <v>503</v>
      </c>
      <c r="B6" s="6" t="s">
        <v>504</v>
      </c>
      <c r="C6" s="6" t="s">
        <v>505</v>
      </c>
      <c r="D6" s="6" t="str">
        <f>"0,7235"</f>
        <v>0,7235</v>
      </c>
      <c r="E6" s="6" t="s">
        <v>20</v>
      </c>
      <c r="F6" s="6" t="s">
        <v>46</v>
      </c>
      <c r="G6" s="7" t="s">
        <v>179</v>
      </c>
      <c r="H6" s="8" t="s">
        <v>506</v>
      </c>
      <c r="I6" s="8" t="s">
        <v>506</v>
      </c>
      <c r="J6" s="8"/>
      <c r="K6" s="17" t="str">
        <f>"130,0"</f>
        <v>130,0</v>
      </c>
      <c r="L6" s="18" t="str">
        <f>"94,0550"</f>
        <v>94,0550</v>
      </c>
      <c r="M6" s="6" t="s">
        <v>420</v>
      </c>
    </row>
    <row r="7" spans="1:13" x14ac:dyDescent="0.25">
      <c r="A7" s="9" t="s">
        <v>508</v>
      </c>
      <c r="B7" s="9" t="s">
        <v>509</v>
      </c>
      <c r="C7" s="9" t="s">
        <v>510</v>
      </c>
      <c r="D7" s="9" t="str">
        <f>"0,7383"</f>
        <v>0,7383</v>
      </c>
      <c r="E7" s="9" t="s">
        <v>20</v>
      </c>
      <c r="F7" s="9" t="s">
        <v>46</v>
      </c>
      <c r="G7" s="10" t="s">
        <v>320</v>
      </c>
      <c r="H7" s="10" t="s">
        <v>338</v>
      </c>
      <c r="I7" s="10" t="s">
        <v>168</v>
      </c>
      <c r="J7" s="11"/>
      <c r="K7" s="19" t="str">
        <f>"95,0"</f>
        <v>95,0</v>
      </c>
      <c r="L7" s="20" t="str">
        <f>"117,9028"</f>
        <v>117,9028</v>
      </c>
      <c r="M7" s="9" t="s">
        <v>511</v>
      </c>
    </row>
    <row r="9" spans="1:13" ht="15.6" x14ac:dyDescent="0.3">
      <c r="A9" s="36" t="s">
        <v>163</v>
      </c>
      <c r="B9" s="36"/>
      <c r="C9" s="36"/>
      <c r="D9" s="36"/>
      <c r="E9" s="36"/>
      <c r="F9" s="36"/>
      <c r="G9" s="36"/>
      <c r="H9" s="36"/>
      <c r="I9" s="36"/>
      <c r="J9" s="36"/>
    </row>
    <row r="10" spans="1:13" x14ac:dyDescent="0.25">
      <c r="A10" s="28" t="s">
        <v>513</v>
      </c>
      <c r="B10" s="28" t="s">
        <v>514</v>
      </c>
      <c r="C10" s="28" t="s">
        <v>515</v>
      </c>
      <c r="D10" s="28" t="str">
        <f>"0,6739"</f>
        <v>0,6739</v>
      </c>
      <c r="E10" s="28" t="s">
        <v>20</v>
      </c>
      <c r="F10" s="28" t="s">
        <v>516</v>
      </c>
      <c r="G10" s="30" t="s">
        <v>180</v>
      </c>
      <c r="H10" s="30" t="s">
        <v>82</v>
      </c>
      <c r="I10" s="30" t="s">
        <v>178</v>
      </c>
      <c r="J10" s="31"/>
      <c r="K10" s="32" t="str">
        <f>"125,0"</f>
        <v>125,0</v>
      </c>
      <c r="L10" s="33" t="str">
        <f>"158,0296"</f>
        <v>158,0296</v>
      </c>
      <c r="M10" s="28" t="s">
        <v>120</v>
      </c>
    </row>
    <row r="12" spans="1:13" ht="15.6" x14ac:dyDescent="0.3">
      <c r="A12" s="36" t="s">
        <v>15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13" x14ac:dyDescent="0.25">
      <c r="A13" s="6" t="s">
        <v>518</v>
      </c>
      <c r="B13" s="6" t="s">
        <v>519</v>
      </c>
      <c r="C13" s="6" t="s">
        <v>520</v>
      </c>
      <c r="D13" s="6" t="str">
        <f>"0,6642"</f>
        <v>0,6642</v>
      </c>
      <c r="E13" s="6" t="s">
        <v>20</v>
      </c>
      <c r="F13" s="6" t="s">
        <v>46</v>
      </c>
      <c r="G13" s="7" t="s">
        <v>207</v>
      </c>
      <c r="H13" s="7" t="s">
        <v>180</v>
      </c>
      <c r="I13" s="7" t="s">
        <v>82</v>
      </c>
      <c r="J13" s="8"/>
      <c r="K13" s="17" t="str">
        <f>"122,5"</f>
        <v>122,5</v>
      </c>
      <c r="L13" s="18" t="str">
        <f>"81,3645"</f>
        <v>81,3645</v>
      </c>
      <c r="M13" s="6" t="s">
        <v>521</v>
      </c>
    </row>
    <row r="14" spans="1:13" x14ac:dyDescent="0.25">
      <c r="A14" s="12" t="s">
        <v>523</v>
      </c>
      <c r="B14" s="12" t="s">
        <v>524</v>
      </c>
      <c r="C14" s="12" t="s">
        <v>525</v>
      </c>
      <c r="D14" s="12" t="str">
        <f>"0,6417"</f>
        <v>0,6417</v>
      </c>
      <c r="E14" s="12" t="s">
        <v>20</v>
      </c>
      <c r="F14" s="12" t="s">
        <v>79</v>
      </c>
      <c r="G14" s="13" t="s">
        <v>37</v>
      </c>
      <c r="H14" s="13" t="s">
        <v>38</v>
      </c>
      <c r="I14" s="14" t="s">
        <v>26</v>
      </c>
      <c r="J14" s="14"/>
      <c r="K14" s="21" t="str">
        <f>"150,0"</f>
        <v>150,0</v>
      </c>
      <c r="L14" s="22" t="str">
        <f>"96,2550"</f>
        <v>96,2550</v>
      </c>
      <c r="M14" s="12" t="s">
        <v>526</v>
      </c>
    </row>
    <row r="15" spans="1:13" x14ac:dyDescent="0.25">
      <c r="A15" s="12" t="s">
        <v>528</v>
      </c>
      <c r="B15" s="12" t="s">
        <v>529</v>
      </c>
      <c r="C15" s="12" t="s">
        <v>530</v>
      </c>
      <c r="D15" s="12" t="str">
        <f>"0,6507"</f>
        <v>0,6507</v>
      </c>
      <c r="E15" s="12" t="s">
        <v>20</v>
      </c>
      <c r="F15" s="12" t="s">
        <v>46</v>
      </c>
      <c r="G15" s="13" t="s">
        <v>531</v>
      </c>
      <c r="H15" s="13" t="s">
        <v>38</v>
      </c>
      <c r="I15" s="14" t="s">
        <v>188</v>
      </c>
      <c r="J15" s="14"/>
      <c r="K15" s="21" t="str">
        <f>"150,0"</f>
        <v>150,0</v>
      </c>
      <c r="L15" s="22" t="str">
        <f>"97,6050"</f>
        <v>97,6050</v>
      </c>
      <c r="M15" s="12" t="s">
        <v>532</v>
      </c>
    </row>
    <row r="16" spans="1:13" x14ac:dyDescent="0.25">
      <c r="A16" s="12" t="s">
        <v>534</v>
      </c>
      <c r="B16" s="12" t="s">
        <v>535</v>
      </c>
      <c r="C16" s="12" t="s">
        <v>536</v>
      </c>
      <c r="D16" s="12" t="str">
        <f>"0,6479"</f>
        <v>0,6479</v>
      </c>
      <c r="E16" s="12" t="s">
        <v>20</v>
      </c>
      <c r="F16" s="12" t="s">
        <v>46</v>
      </c>
      <c r="G16" s="13" t="s">
        <v>395</v>
      </c>
      <c r="H16" s="14" t="s">
        <v>207</v>
      </c>
      <c r="I16" s="14" t="s">
        <v>81</v>
      </c>
      <c r="J16" s="14"/>
      <c r="K16" s="21" t="str">
        <f>"102,5"</f>
        <v>102,5</v>
      </c>
      <c r="L16" s="22" t="str">
        <f>"67,0738"</f>
        <v>67,0738</v>
      </c>
      <c r="M16" s="12" t="s">
        <v>120</v>
      </c>
    </row>
    <row r="17" spans="1:13" x14ac:dyDescent="0.25">
      <c r="A17" s="9" t="s">
        <v>538</v>
      </c>
      <c r="B17" s="9" t="s">
        <v>539</v>
      </c>
      <c r="C17" s="9" t="s">
        <v>540</v>
      </c>
      <c r="D17" s="9" t="str">
        <f>"0,6432"</f>
        <v>0,6432</v>
      </c>
      <c r="E17" s="9" t="s">
        <v>20</v>
      </c>
      <c r="F17" s="9" t="s">
        <v>46</v>
      </c>
      <c r="G17" s="10" t="s">
        <v>177</v>
      </c>
      <c r="H17" s="10" t="s">
        <v>179</v>
      </c>
      <c r="I17" s="11" t="s">
        <v>37</v>
      </c>
      <c r="J17" s="11"/>
      <c r="K17" s="19" t="str">
        <f>"130,0"</f>
        <v>130,0</v>
      </c>
      <c r="L17" s="20" t="str">
        <f>"143,6523"</f>
        <v>143,6523</v>
      </c>
      <c r="M17" s="9" t="s">
        <v>511</v>
      </c>
    </row>
    <row r="19" spans="1:13" ht="15.6" x14ac:dyDescent="0.3">
      <c r="A19" s="36" t="s">
        <v>41</v>
      </c>
      <c r="B19" s="36"/>
      <c r="C19" s="36"/>
      <c r="D19" s="36"/>
      <c r="E19" s="36"/>
      <c r="F19" s="36"/>
      <c r="G19" s="36"/>
      <c r="H19" s="36"/>
      <c r="I19" s="36"/>
      <c r="J19" s="36"/>
    </row>
    <row r="20" spans="1:13" x14ac:dyDescent="0.25">
      <c r="A20" s="6" t="s">
        <v>542</v>
      </c>
      <c r="B20" s="6" t="s">
        <v>543</v>
      </c>
      <c r="C20" s="6" t="s">
        <v>544</v>
      </c>
      <c r="D20" s="6" t="str">
        <f>"0,6129"</f>
        <v>0,6129</v>
      </c>
      <c r="E20" s="6" t="s">
        <v>20</v>
      </c>
      <c r="F20" s="6" t="s">
        <v>185</v>
      </c>
      <c r="G20" s="7" t="s">
        <v>411</v>
      </c>
      <c r="H20" s="7" t="s">
        <v>531</v>
      </c>
      <c r="I20" s="7" t="s">
        <v>38</v>
      </c>
      <c r="J20" s="8"/>
      <c r="K20" s="17" t="str">
        <f>"150,0"</f>
        <v>150,0</v>
      </c>
      <c r="L20" s="18" t="str">
        <f>"91,9350"</f>
        <v>91,9350</v>
      </c>
      <c r="M20" s="6" t="s">
        <v>435</v>
      </c>
    </row>
    <row r="21" spans="1:13" x14ac:dyDescent="0.25">
      <c r="A21" s="12" t="s">
        <v>546</v>
      </c>
      <c r="B21" s="12" t="s">
        <v>547</v>
      </c>
      <c r="C21" s="12" t="s">
        <v>548</v>
      </c>
      <c r="D21" s="12" t="str">
        <f>"0,6086"</f>
        <v>0,6086</v>
      </c>
      <c r="E21" s="12" t="s">
        <v>20</v>
      </c>
      <c r="F21" s="12" t="s">
        <v>549</v>
      </c>
      <c r="G21" s="13" t="s">
        <v>27</v>
      </c>
      <c r="H21" s="13" t="s">
        <v>63</v>
      </c>
      <c r="I21" s="14" t="s">
        <v>205</v>
      </c>
      <c r="J21" s="14"/>
      <c r="K21" s="21" t="str">
        <f>"170,0"</f>
        <v>170,0</v>
      </c>
      <c r="L21" s="22" t="str">
        <f>"107,9109"</f>
        <v>107,9109</v>
      </c>
      <c r="M21" s="12" t="s">
        <v>550</v>
      </c>
    </row>
    <row r="22" spans="1:13" x14ac:dyDescent="0.25">
      <c r="A22" s="9" t="s">
        <v>552</v>
      </c>
      <c r="B22" s="9" t="s">
        <v>553</v>
      </c>
      <c r="C22" s="9" t="s">
        <v>554</v>
      </c>
      <c r="D22" s="9" t="str">
        <f>"0,6116"</f>
        <v>0,6116</v>
      </c>
      <c r="E22" s="9" t="s">
        <v>20</v>
      </c>
      <c r="F22" s="9" t="s">
        <v>46</v>
      </c>
      <c r="G22" s="10" t="s">
        <v>205</v>
      </c>
      <c r="H22" s="11" t="s">
        <v>107</v>
      </c>
      <c r="I22" s="11" t="s">
        <v>107</v>
      </c>
      <c r="J22" s="11"/>
      <c r="K22" s="19" t="str">
        <f>"175,0"</f>
        <v>175,0</v>
      </c>
      <c r="L22" s="20" t="str">
        <f>"122,7634"</f>
        <v>122,7634</v>
      </c>
      <c r="M22" s="9" t="s">
        <v>555</v>
      </c>
    </row>
    <row r="24" spans="1:13" ht="15.6" x14ac:dyDescent="0.3">
      <c r="A24" s="36" t="s">
        <v>84</v>
      </c>
      <c r="B24" s="36"/>
      <c r="C24" s="36"/>
      <c r="D24" s="36"/>
      <c r="E24" s="36"/>
      <c r="F24" s="36"/>
      <c r="G24" s="36"/>
      <c r="H24" s="36"/>
      <c r="I24" s="36"/>
      <c r="J24" s="36"/>
    </row>
    <row r="25" spans="1:13" x14ac:dyDescent="0.25">
      <c r="A25" s="6" t="s">
        <v>557</v>
      </c>
      <c r="B25" s="6" t="s">
        <v>558</v>
      </c>
      <c r="C25" s="6" t="s">
        <v>559</v>
      </c>
      <c r="D25" s="6" t="str">
        <f>"0,5921"</f>
        <v>0,5921</v>
      </c>
      <c r="E25" s="6" t="s">
        <v>20</v>
      </c>
      <c r="F25" s="6" t="s">
        <v>560</v>
      </c>
      <c r="G25" s="8" t="s">
        <v>186</v>
      </c>
      <c r="H25" s="8" t="s">
        <v>561</v>
      </c>
      <c r="I25" s="7" t="s">
        <v>561</v>
      </c>
      <c r="J25" s="8"/>
      <c r="K25" s="17" t="str">
        <f>"207,5"</f>
        <v>207,5</v>
      </c>
      <c r="L25" s="18" t="str">
        <f>"122,8608"</f>
        <v>122,8608</v>
      </c>
      <c r="M25" s="6" t="s">
        <v>435</v>
      </c>
    </row>
    <row r="26" spans="1:13" x14ac:dyDescent="0.25">
      <c r="A26" s="12" t="s">
        <v>563</v>
      </c>
      <c r="B26" s="12" t="s">
        <v>564</v>
      </c>
      <c r="C26" s="12" t="s">
        <v>565</v>
      </c>
      <c r="D26" s="12" t="str">
        <f>"0,5897"</f>
        <v>0,5897</v>
      </c>
      <c r="E26" s="12" t="s">
        <v>20</v>
      </c>
      <c r="F26" s="12" t="s">
        <v>46</v>
      </c>
      <c r="G26" s="13" t="s">
        <v>22</v>
      </c>
      <c r="H26" s="13" t="s">
        <v>186</v>
      </c>
      <c r="I26" s="14" t="s">
        <v>71</v>
      </c>
      <c r="J26" s="14"/>
      <c r="K26" s="21" t="str">
        <f>"205,0"</f>
        <v>205,0</v>
      </c>
      <c r="L26" s="22" t="str">
        <f>"120,8885"</f>
        <v>120,8885</v>
      </c>
      <c r="M26" s="12" t="s">
        <v>120</v>
      </c>
    </row>
    <row r="27" spans="1:13" x14ac:dyDescent="0.25">
      <c r="A27" s="12" t="s">
        <v>567</v>
      </c>
      <c r="B27" s="12" t="s">
        <v>568</v>
      </c>
      <c r="C27" s="12" t="s">
        <v>569</v>
      </c>
      <c r="D27" s="12" t="str">
        <f>"0,5941"</f>
        <v>0,5941</v>
      </c>
      <c r="E27" s="12" t="s">
        <v>20</v>
      </c>
      <c r="F27" s="12" t="s">
        <v>46</v>
      </c>
      <c r="G27" s="13" t="s">
        <v>49</v>
      </c>
      <c r="H27" s="13" t="s">
        <v>50</v>
      </c>
      <c r="I27" s="13" t="s">
        <v>99</v>
      </c>
      <c r="J27" s="14"/>
      <c r="K27" s="21" t="str">
        <f>"195,0"</f>
        <v>195,0</v>
      </c>
      <c r="L27" s="22" t="str">
        <f>"115,8495"</f>
        <v>115,8495</v>
      </c>
      <c r="M27" s="12" t="s">
        <v>120</v>
      </c>
    </row>
    <row r="28" spans="1:13" x14ac:dyDescent="0.25">
      <c r="A28" s="12" t="s">
        <v>571</v>
      </c>
      <c r="B28" s="12" t="s">
        <v>572</v>
      </c>
      <c r="C28" s="12" t="s">
        <v>573</v>
      </c>
      <c r="D28" s="12" t="str">
        <f>"0,5945"</f>
        <v>0,5945</v>
      </c>
      <c r="E28" s="12" t="s">
        <v>20</v>
      </c>
      <c r="F28" s="12" t="s">
        <v>46</v>
      </c>
      <c r="G28" s="13" t="s">
        <v>62</v>
      </c>
      <c r="H28" s="13" t="s">
        <v>27</v>
      </c>
      <c r="I28" s="14" t="s">
        <v>63</v>
      </c>
      <c r="J28" s="14"/>
      <c r="K28" s="21" t="str">
        <f>"165,0"</f>
        <v>165,0</v>
      </c>
      <c r="L28" s="22" t="str">
        <f>"104,7628"</f>
        <v>104,7628</v>
      </c>
      <c r="M28" s="12" t="s">
        <v>574</v>
      </c>
    </row>
    <row r="29" spans="1:13" x14ac:dyDescent="0.25">
      <c r="A29" s="9" t="s">
        <v>576</v>
      </c>
      <c r="B29" s="9" t="s">
        <v>577</v>
      </c>
      <c r="C29" s="9" t="s">
        <v>578</v>
      </c>
      <c r="D29" s="9" t="str">
        <f>"0,5980"</f>
        <v>0,5980</v>
      </c>
      <c r="E29" s="9" t="s">
        <v>20</v>
      </c>
      <c r="F29" s="9" t="s">
        <v>46</v>
      </c>
      <c r="G29" s="10" t="s">
        <v>27</v>
      </c>
      <c r="H29" s="10" t="s">
        <v>63</v>
      </c>
      <c r="I29" s="11" t="s">
        <v>48</v>
      </c>
      <c r="J29" s="11"/>
      <c r="K29" s="19" t="str">
        <f>"170,0"</f>
        <v>170,0</v>
      </c>
      <c r="L29" s="20" t="str">
        <f>"116,6040"</f>
        <v>116,6040</v>
      </c>
      <c r="M29" s="9" t="s">
        <v>120</v>
      </c>
    </row>
    <row r="31" spans="1:13" ht="15.6" x14ac:dyDescent="0.3">
      <c r="A31" s="36" t="s">
        <v>579</v>
      </c>
      <c r="B31" s="36"/>
      <c r="C31" s="36"/>
      <c r="D31" s="36"/>
      <c r="E31" s="36"/>
      <c r="F31" s="36"/>
      <c r="G31" s="36"/>
      <c r="H31" s="36"/>
      <c r="I31" s="36"/>
      <c r="J31" s="36"/>
    </row>
    <row r="32" spans="1:13" x14ac:dyDescent="0.25">
      <c r="A32" s="28" t="s">
        <v>581</v>
      </c>
      <c r="B32" s="28" t="s">
        <v>582</v>
      </c>
      <c r="C32" s="28" t="s">
        <v>583</v>
      </c>
      <c r="D32" s="28" t="str">
        <f>"0,5594"</f>
        <v>0,5594</v>
      </c>
      <c r="E32" s="28" t="s">
        <v>20</v>
      </c>
      <c r="F32" s="28" t="s">
        <v>46</v>
      </c>
      <c r="G32" s="30" t="s">
        <v>50</v>
      </c>
      <c r="H32" s="30" t="s">
        <v>186</v>
      </c>
      <c r="I32" s="31" t="s">
        <v>80</v>
      </c>
      <c r="J32" s="31"/>
      <c r="K32" s="32" t="str">
        <f>"205,0"</f>
        <v>205,0</v>
      </c>
      <c r="L32" s="33" t="str">
        <f>"114,6770"</f>
        <v>114,6770</v>
      </c>
      <c r="M32" s="28" t="s">
        <v>30</v>
      </c>
    </row>
    <row r="34" spans="1:5" ht="15" x14ac:dyDescent="0.25">
      <c r="E34" s="15" t="s">
        <v>121</v>
      </c>
    </row>
    <row r="35" spans="1:5" ht="15" x14ac:dyDescent="0.25">
      <c r="E35" s="15" t="s">
        <v>122</v>
      </c>
    </row>
    <row r="36" spans="1:5" ht="15" x14ac:dyDescent="0.25">
      <c r="E36" s="15" t="s">
        <v>123</v>
      </c>
    </row>
    <row r="37" spans="1:5" ht="15" x14ac:dyDescent="0.25">
      <c r="E37" s="15" t="s">
        <v>124</v>
      </c>
    </row>
    <row r="38" spans="1:5" ht="15" x14ac:dyDescent="0.25">
      <c r="E38" s="15" t="s">
        <v>124</v>
      </c>
    </row>
    <row r="39" spans="1:5" ht="15" x14ac:dyDescent="0.25">
      <c r="E39" s="15" t="s">
        <v>125</v>
      </c>
    </row>
    <row r="40" spans="1:5" ht="15" x14ac:dyDescent="0.25">
      <c r="E40" s="15"/>
    </row>
    <row r="42" spans="1:5" ht="17.399999999999999" x14ac:dyDescent="0.3">
      <c r="A42" s="23" t="s">
        <v>126</v>
      </c>
      <c r="B42" s="23"/>
    </row>
    <row r="43" spans="1:5" ht="15.6" x14ac:dyDescent="0.3">
      <c r="A43" s="24" t="s">
        <v>127</v>
      </c>
      <c r="B43" s="24"/>
    </row>
    <row r="44" spans="1:5" ht="14.4" x14ac:dyDescent="0.3">
      <c r="A44" s="26"/>
      <c r="B44" s="27" t="s">
        <v>128</v>
      </c>
    </row>
    <row r="45" spans="1:5" ht="13.8" x14ac:dyDescent="0.25">
      <c r="A45" s="29" t="s">
        <v>129</v>
      </c>
      <c r="B45" s="29" t="s">
        <v>130</v>
      </c>
      <c r="C45" s="29" t="s">
        <v>131</v>
      </c>
      <c r="D45" s="29" t="s">
        <v>584</v>
      </c>
      <c r="E45" s="29" t="s">
        <v>133</v>
      </c>
    </row>
    <row r="46" spans="1:5" x14ac:dyDescent="0.25">
      <c r="A46" s="25" t="s">
        <v>517</v>
      </c>
      <c r="B46" s="4" t="s">
        <v>134</v>
      </c>
      <c r="C46" s="4" t="s">
        <v>150</v>
      </c>
      <c r="D46" s="4" t="s">
        <v>82</v>
      </c>
      <c r="E46" s="16" t="s">
        <v>585</v>
      </c>
    </row>
    <row r="48" spans="1:5" ht="14.4" x14ac:dyDescent="0.3">
      <c r="A48" s="26"/>
      <c r="B48" s="27" t="s">
        <v>138</v>
      </c>
    </row>
    <row r="49" spans="1:5" ht="13.8" x14ac:dyDescent="0.25">
      <c r="A49" s="29" t="s">
        <v>129</v>
      </c>
      <c r="B49" s="29" t="s">
        <v>130</v>
      </c>
      <c r="C49" s="29" t="s">
        <v>131</v>
      </c>
      <c r="D49" s="29" t="s">
        <v>584</v>
      </c>
      <c r="E49" s="29" t="s">
        <v>133</v>
      </c>
    </row>
    <row r="50" spans="1:5" x14ac:dyDescent="0.25">
      <c r="A50" s="25" t="s">
        <v>556</v>
      </c>
      <c r="B50" s="4" t="s">
        <v>138</v>
      </c>
      <c r="C50" s="4" t="s">
        <v>135</v>
      </c>
      <c r="D50" s="4" t="s">
        <v>561</v>
      </c>
      <c r="E50" s="16" t="s">
        <v>586</v>
      </c>
    </row>
    <row r="51" spans="1:5" x14ac:dyDescent="0.25">
      <c r="A51" s="25" t="s">
        <v>562</v>
      </c>
      <c r="B51" s="4" t="s">
        <v>138</v>
      </c>
      <c r="C51" s="4" t="s">
        <v>135</v>
      </c>
      <c r="D51" s="4" t="s">
        <v>186</v>
      </c>
      <c r="E51" s="16" t="s">
        <v>587</v>
      </c>
    </row>
    <row r="52" spans="1:5" x14ac:dyDescent="0.25">
      <c r="A52" s="25" t="s">
        <v>580</v>
      </c>
      <c r="B52" s="4" t="s">
        <v>138</v>
      </c>
      <c r="C52" s="4" t="s">
        <v>588</v>
      </c>
      <c r="D52" s="4" t="s">
        <v>186</v>
      </c>
      <c r="E52" s="16" t="s">
        <v>589</v>
      </c>
    </row>
    <row r="53" spans="1:5" x14ac:dyDescent="0.25">
      <c r="A53" s="25" t="s">
        <v>522</v>
      </c>
      <c r="B53" s="4" t="s">
        <v>138</v>
      </c>
      <c r="C53" s="4" t="s">
        <v>150</v>
      </c>
      <c r="D53" s="4" t="s">
        <v>38</v>
      </c>
      <c r="E53" s="16" t="s">
        <v>590</v>
      </c>
    </row>
    <row r="54" spans="1:5" x14ac:dyDescent="0.25">
      <c r="A54" s="25" t="s">
        <v>502</v>
      </c>
      <c r="B54" s="4" t="s">
        <v>138</v>
      </c>
      <c r="C54" s="4" t="s">
        <v>245</v>
      </c>
      <c r="D54" s="4" t="s">
        <v>179</v>
      </c>
      <c r="E54" s="16" t="s">
        <v>591</v>
      </c>
    </row>
    <row r="55" spans="1:5" x14ac:dyDescent="0.25">
      <c r="A55" s="25" t="s">
        <v>541</v>
      </c>
      <c r="B55" s="4" t="s">
        <v>138</v>
      </c>
      <c r="C55" s="4" t="s">
        <v>141</v>
      </c>
      <c r="D55" s="4" t="s">
        <v>38</v>
      </c>
      <c r="E55" s="16" t="s">
        <v>592</v>
      </c>
    </row>
    <row r="57" spans="1:5" ht="14.4" x14ac:dyDescent="0.3">
      <c r="A57" s="26"/>
      <c r="B57" s="27" t="s">
        <v>159</v>
      </c>
    </row>
    <row r="58" spans="1:5" ht="13.8" x14ac:dyDescent="0.25">
      <c r="A58" s="29" t="s">
        <v>129</v>
      </c>
      <c r="B58" s="29" t="s">
        <v>130</v>
      </c>
      <c r="C58" s="29" t="s">
        <v>131</v>
      </c>
      <c r="D58" s="29" t="s">
        <v>584</v>
      </c>
      <c r="E58" s="29" t="s">
        <v>133</v>
      </c>
    </row>
    <row r="59" spans="1:5" x14ac:dyDescent="0.25">
      <c r="A59" s="25" t="s">
        <v>512</v>
      </c>
      <c r="B59" s="4" t="s">
        <v>593</v>
      </c>
      <c r="C59" s="4" t="s">
        <v>234</v>
      </c>
      <c r="D59" s="4" t="s">
        <v>178</v>
      </c>
      <c r="E59" s="16" t="s">
        <v>594</v>
      </c>
    </row>
    <row r="60" spans="1:5" x14ac:dyDescent="0.25">
      <c r="A60" s="25" t="s">
        <v>537</v>
      </c>
      <c r="B60" s="4" t="s">
        <v>595</v>
      </c>
      <c r="C60" s="4" t="s">
        <v>150</v>
      </c>
      <c r="D60" s="4" t="s">
        <v>179</v>
      </c>
      <c r="E60" s="16" t="s">
        <v>596</v>
      </c>
    </row>
    <row r="61" spans="1:5" x14ac:dyDescent="0.25">
      <c r="A61" s="25" t="s">
        <v>551</v>
      </c>
      <c r="B61" s="4" t="s">
        <v>490</v>
      </c>
      <c r="C61" s="4" t="s">
        <v>141</v>
      </c>
      <c r="D61" s="4" t="s">
        <v>205</v>
      </c>
      <c r="E61" s="16" t="s">
        <v>597</v>
      </c>
    </row>
    <row r="62" spans="1:5" x14ac:dyDescent="0.25">
      <c r="A62" s="25" t="s">
        <v>507</v>
      </c>
      <c r="B62" s="4" t="s">
        <v>595</v>
      </c>
      <c r="C62" s="4" t="s">
        <v>245</v>
      </c>
      <c r="D62" s="4" t="s">
        <v>168</v>
      </c>
      <c r="E62" s="16" t="s">
        <v>598</v>
      </c>
    </row>
    <row r="63" spans="1:5" x14ac:dyDescent="0.25">
      <c r="A63" s="25" t="s">
        <v>575</v>
      </c>
      <c r="B63" s="4" t="s">
        <v>490</v>
      </c>
      <c r="C63" s="4" t="s">
        <v>135</v>
      </c>
      <c r="D63" s="4" t="s">
        <v>63</v>
      </c>
      <c r="E63" s="16" t="s">
        <v>599</v>
      </c>
    </row>
    <row r="64" spans="1:5" x14ac:dyDescent="0.25">
      <c r="A64" s="25" t="s">
        <v>566</v>
      </c>
      <c r="B64" s="4" t="s">
        <v>160</v>
      </c>
      <c r="C64" s="4" t="s">
        <v>135</v>
      </c>
      <c r="D64" s="4" t="s">
        <v>99</v>
      </c>
      <c r="E64" s="16" t="s">
        <v>600</v>
      </c>
    </row>
    <row r="65" spans="1:5" x14ac:dyDescent="0.25">
      <c r="A65" s="25" t="s">
        <v>545</v>
      </c>
      <c r="B65" s="4" t="s">
        <v>160</v>
      </c>
      <c r="C65" s="4" t="s">
        <v>141</v>
      </c>
      <c r="D65" s="4" t="s">
        <v>63</v>
      </c>
      <c r="E65" s="16" t="s">
        <v>601</v>
      </c>
    </row>
    <row r="66" spans="1:5" x14ac:dyDescent="0.25">
      <c r="A66" s="25" t="s">
        <v>570</v>
      </c>
      <c r="B66" s="4" t="s">
        <v>251</v>
      </c>
      <c r="C66" s="4" t="s">
        <v>135</v>
      </c>
      <c r="D66" s="4" t="s">
        <v>27</v>
      </c>
      <c r="E66" s="16" t="s">
        <v>602</v>
      </c>
    </row>
    <row r="67" spans="1:5" x14ac:dyDescent="0.25">
      <c r="A67" s="25" t="s">
        <v>527</v>
      </c>
      <c r="B67" s="4" t="s">
        <v>160</v>
      </c>
      <c r="C67" s="4" t="s">
        <v>150</v>
      </c>
      <c r="D67" s="4" t="s">
        <v>38</v>
      </c>
      <c r="E67" s="16" t="s">
        <v>603</v>
      </c>
    </row>
    <row r="68" spans="1:5" x14ac:dyDescent="0.25">
      <c r="A68" s="25" t="s">
        <v>533</v>
      </c>
      <c r="B68" s="4" t="s">
        <v>160</v>
      </c>
      <c r="C68" s="4" t="s">
        <v>150</v>
      </c>
      <c r="D68" s="4" t="s">
        <v>395</v>
      </c>
      <c r="E68" s="16" t="s">
        <v>604</v>
      </c>
    </row>
  </sheetData>
  <mergeCells count="17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9:J9"/>
    <mergeCell ref="A12:J12"/>
    <mergeCell ref="A19:J19"/>
    <mergeCell ref="A24:J24"/>
    <mergeCell ref="A31:J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A5" sqref="A5:J5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11.88671875" style="4" bestFit="1" customWidth="1"/>
    <col min="5" max="5" width="22.6640625" style="4" bestFit="1" customWidth="1"/>
    <col min="6" max="6" width="27.44140625" style="4" bestFit="1" customWidth="1"/>
    <col min="7" max="10" width="5.5546875" style="3" customWidth="1"/>
    <col min="11" max="11" width="11.33203125" style="16" bestFit="1" customWidth="1"/>
    <col min="12" max="12" width="8.5546875" style="2" bestFit="1" customWidth="1"/>
    <col min="13" max="13" width="23.6640625" style="4" bestFit="1" customWidth="1"/>
    <col min="14" max="16384" width="9.109375" style="3"/>
  </cols>
  <sheetData>
    <row r="1" spans="1:13" s="2" customFormat="1" ht="29.1" customHeight="1" x14ac:dyDescent="0.25">
      <c r="A1" s="39" t="s">
        <v>1364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1:13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14</v>
      </c>
      <c r="H3" s="37"/>
      <c r="I3" s="37"/>
      <c r="J3" s="37"/>
      <c r="K3" s="37" t="s">
        <v>605</v>
      </c>
      <c r="L3" s="37" t="s">
        <v>3</v>
      </c>
      <c r="M3" s="48" t="s">
        <v>2</v>
      </c>
    </row>
    <row r="4" spans="1:13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38"/>
      <c r="L4" s="38"/>
      <c r="M4" s="49"/>
    </row>
    <row r="5" spans="1:13" ht="15.6" x14ac:dyDescent="0.3">
      <c r="A5" s="34" t="s">
        <v>172</v>
      </c>
      <c r="B5" s="35"/>
      <c r="C5" s="35"/>
      <c r="D5" s="35"/>
      <c r="E5" s="35"/>
      <c r="F5" s="35"/>
      <c r="G5" s="35"/>
      <c r="H5" s="35"/>
      <c r="I5" s="35"/>
      <c r="J5" s="35"/>
    </row>
    <row r="6" spans="1:13" x14ac:dyDescent="0.25">
      <c r="A6" s="28" t="s">
        <v>986</v>
      </c>
      <c r="B6" s="28" t="s">
        <v>987</v>
      </c>
      <c r="C6" s="28" t="s">
        <v>694</v>
      </c>
      <c r="D6" s="28" t="str">
        <f>"0,9506"</f>
        <v>0,9506</v>
      </c>
      <c r="E6" s="28" t="s">
        <v>20</v>
      </c>
      <c r="F6" s="28" t="s">
        <v>79</v>
      </c>
      <c r="G6" s="30" t="s">
        <v>50</v>
      </c>
      <c r="H6" s="31" t="s">
        <v>22</v>
      </c>
      <c r="I6" s="30" t="s">
        <v>22</v>
      </c>
      <c r="J6" s="31"/>
      <c r="K6" s="32" t="str">
        <f>"200,0"</f>
        <v>200,0</v>
      </c>
      <c r="L6" s="33" t="str">
        <f>"190,1200"</f>
        <v>190,1200</v>
      </c>
      <c r="M6" s="28" t="s">
        <v>988</v>
      </c>
    </row>
    <row r="8" spans="1:13" ht="15.6" x14ac:dyDescent="0.3">
      <c r="A8" s="36" t="s">
        <v>41</v>
      </c>
      <c r="B8" s="36"/>
      <c r="C8" s="36"/>
      <c r="D8" s="36"/>
      <c r="E8" s="36"/>
      <c r="F8" s="36"/>
      <c r="G8" s="36"/>
      <c r="H8" s="36"/>
      <c r="I8" s="36"/>
      <c r="J8" s="36"/>
    </row>
    <row r="9" spans="1:13" x14ac:dyDescent="0.25">
      <c r="A9" s="6" t="s">
        <v>43</v>
      </c>
      <c r="B9" s="6" t="s">
        <v>44</v>
      </c>
      <c r="C9" s="6" t="s">
        <v>45</v>
      </c>
      <c r="D9" s="6" t="str">
        <f>"0,6113"</f>
        <v>0,6113</v>
      </c>
      <c r="E9" s="6" t="s">
        <v>20</v>
      </c>
      <c r="F9" s="6" t="s">
        <v>46</v>
      </c>
      <c r="G9" s="7" t="s">
        <v>51</v>
      </c>
      <c r="H9" s="7" t="s">
        <v>52</v>
      </c>
      <c r="I9" s="7" t="s">
        <v>53</v>
      </c>
      <c r="J9" s="8" t="s">
        <v>54</v>
      </c>
      <c r="K9" s="17" t="str">
        <f>"357,5"</f>
        <v>357,5</v>
      </c>
      <c r="L9" s="18" t="str">
        <f>"218,5397"</f>
        <v>218,5397</v>
      </c>
      <c r="M9" s="6" t="s">
        <v>55</v>
      </c>
    </row>
    <row r="10" spans="1:13" x14ac:dyDescent="0.25">
      <c r="A10" s="12" t="s">
        <v>990</v>
      </c>
      <c r="B10" s="12" t="s">
        <v>991</v>
      </c>
      <c r="C10" s="12" t="s">
        <v>992</v>
      </c>
      <c r="D10" s="12" t="str">
        <f>"0,6169"</f>
        <v>0,6169</v>
      </c>
      <c r="E10" s="12" t="s">
        <v>119</v>
      </c>
      <c r="F10" s="12" t="s">
        <v>46</v>
      </c>
      <c r="G10" s="13" t="s">
        <v>100</v>
      </c>
      <c r="H10" s="14" t="s">
        <v>993</v>
      </c>
      <c r="I10" s="14" t="s">
        <v>993</v>
      </c>
      <c r="J10" s="14"/>
      <c r="K10" s="21" t="str">
        <f>"350,0"</f>
        <v>350,0</v>
      </c>
      <c r="L10" s="22" t="str">
        <f>"215,9150"</f>
        <v>215,9150</v>
      </c>
      <c r="M10" s="12" t="s">
        <v>120</v>
      </c>
    </row>
    <row r="11" spans="1:13" x14ac:dyDescent="0.25">
      <c r="A11" s="12" t="s">
        <v>995</v>
      </c>
      <c r="B11" s="12" t="s">
        <v>996</v>
      </c>
      <c r="C11" s="12" t="s">
        <v>997</v>
      </c>
      <c r="D11" s="12" t="str">
        <f>"0,6139"</f>
        <v>0,6139</v>
      </c>
      <c r="E11" s="12" t="s">
        <v>20</v>
      </c>
      <c r="F11" s="12" t="s">
        <v>46</v>
      </c>
      <c r="G11" s="14" t="s">
        <v>96</v>
      </c>
      <c r="H11" s="13" t="s">
        <v>96</v>
      </c>
      <c r="I11" s="14" t="s">
        <v>998</v>
      </c>
      <c r="J11" s="14"/>
      <c r="K11" s="21" t="str">
        <f>"300,0"</f>
        <v>300,0</v>
      </c>
      <c r="L11" s="22" t="str">
        <f>"184,1700"</f>
        <v>184,1700</v>
      </c>
      <c r="M11" s="12" t="s">
        <v>999</v>
      </c>
    </row>
    <row r="12" spans="1:13" x14ac:dyDescent="0.25">
      <c r="A12" s="12" t="s">
        <v>1000</v>
      </c>
      <c r="B12" s="12" t="s">
        <v>1001</v>
      </c>
      <c r="C12" s="12" t="s">
        <v>548</v>
      </c>
      <c r="D12" s="12" t="str">
        <f>"0,6086"</f>
        <v>0,6086</v>
      </c>
      <c r="E12" s="12" t="s">
        <v>20</v>
      </c>
      <c r="F12" s="12" t="s">
        <v>549</v>
      </c>
      <c r="G12" s="13" t="s">
        <v>90</v>
      </c>
      <c r="H12" s="13" t="s">
        <v>39</v>
      </c>
      <c r="I12" s="13" t="s">
        <v>60</v>
      </c>
      <c r="J12" s="14"/>
      <c r="K12" s="21" t="str">
        <f>"260,0"</f>
        <v>260,0</v>
      </c>
      <c r="L12" s="22" t="str">
        <f>"158,2360"</f>
        <v>158,2360</v>
      </c>
      <c r="M12" s="12" t="s">
        <v>550</v>
      </c>
    </row>
    <row r="13" spans="1:13" x14ac:dyDescent="0.25">
      <c r="A13" s="9" t="s">
        <v>546</v>
      </c>
      <c r="B13" s="9" t="s">
        <v>547</v>
      </c>
      <c r="C13" s="9" t="s">
        <v>548</v>
      </c>
      <c r="D13" s="9" t="str">
        <f>"0,6086"</f>
        <v>0,6086</v>
      </c>
      <c r="E13" s="9" t="s">
        <v>20</v>
      </c>
      <c r="F13" s="9" t="s">
        <v>549</v>
      </c>
      <c r="G13" s="10" t="s">
        <v>90</v>
      </c>
      <c r="H13" s="10" t="s">
        <v>39</v>
      </c>
      <c r="I13" s="10" t="s">
        <v>60</v>
      </c>
      <c r="J13" s="11"/>
      <c r="K13" s="19" t="str">
        <f>"260,0"</f>
        <v>260,0</v>
      </c>
      <c r="L13" s="20" t="str">
        <f>"165,0402"</f>
        <v>165,0402</v>
      </c>
      <c r="M13" s="9" t="s">
        <v>550</v>
      </c>
    </row>
    <row r="15" spans="1:13" ht="15.6" x14ac:dyDescent="0.3">
      <c r="A15" s="36" t="s">
        <v>84</v>
      </c>
      <c r="B15" s="36"/>
      <c r="C15" s="36"/>
      <c r="D15" s="36"/>
      <c r="E15" s="36"/>
      <c r="F15" s="36"/>
      <c r="G15" s="36"/>
      <c r="H15" s="36"/>
      <c r="I15" s="36"/>
      <c r="J15" s="36"/>
    </row>
    <row r="16" spans="1:13" x14ac:dyDescent="0.25">
      <c r="A16" s="28" t="s">
        <v>1003</v>
      </c>
      <c r="B16" s="28" t="s">
        <v>1004</v>
      </c>
      <c r="C16" s="28" t="s">
        <v>1005</v>
      </c>
      <c r="D16" s="28" t="str">
        <f>"0,5950"</f>
        <v>0,5950</v>
      </c>
      <c r="E16" s="28" t="s">
        <v>20</v>
      </c>
      <c r="F16" s="28" t="s">
        <v>46</v>
      </c>
      <c r="G16" s="30" t="s">
        <v>213</v>
      </c>
      <c r="H16" s="30" t="s">
        <v>96</v>
      </c>
      <c r="I16" s="30" t="s">
        <v>1006</v>
      </c>
      <c r="J16" s="31"/>
      <c r="K16" s="32" t="str">
        <f>"310,0"</f>
        <v>310,0</v>
      </c>
      <c r="L16" s="33" t="str">
        <f>"184,4500"</f>
        <v>184,4500</v>
      </c>
      <c r="M16" s="28" t="s">
        <v>120</v>
      </c>
    </row>
    <row r="18" spans="1:5" ht="15" x14ac:dyDescent="0.25">
      <c r="E18" s="15" t="s">
        <v>121</v>
      </c>
    </row>
    <row r="19" spans="1:5" ht="15" x14ac:dyDescent="0.25">
      <c r="E19" s="15" t="s">
        <v>122</v>
      </c>
    </row>
    <row r="20" spans="1:5" ht="15" x14ac:dyDescent="0.25">
      <c r="E20" s="15" t="s">
        <v>123</v>
      </c>
    </row>
    <row r="21" spans="1:5" ht="15" x14ac:dyDescent="0.25">
      <c r="E21" s="15" t="s">
        <v>124</v>
      </c>
    </row>
    <row r="22" spans="1:5" ht="15" x14ac:dyDescent="0.25">
      <c r="E22" s="15" t="s">
        <v>124</v>
      </c>
    </row>
    <row r="23" spans="1:5" ht="15" x14ac:dyDescent="0.25">
      <c r="E23" s="15" t="s">
        <v>125</v>
      </c>
    </row>
    <row r="24" spans="1:5" ht="15" x14ac:dyDescent="0.25">
      <c r="E24" s="15"/>
    </row>
    <row r="26" spans="1:5" ht="17.399999999999999" x14ac:dyDescent="0.3">
      <c r="A26" s="23" t="s">
        <v>126</v>
      </c>
      <c r="B26" s="23"/>
    </row>
    <row r="27" spans="1:5" ht="15.6" x14ac:dyDescent="0.3">
      <c r="A27" s="24" t="s">
        <v>233</v>
      </c>
      <c r="B27" s="24"/>
    </row>
    <row r="28" spans="1:5" ht="14.4" x14ac:dyDescent="0.3">
      <c r="A28" s="26"/>
      <c r="B28" s="27" t="s">
        <v>138</v>
      </c>
    </row>
    <row r="29" spans="1:5" ht="13.8" x14ac:dyDescent="0.25">
      <c r="A29" s="29" t="s">
        <v>129</v>
      </c>
      <c r="B29" s="29" t="s">
        <v>130</v>
      </c>
      <c r="C29" s="29" t="s">
        <v>131</v>
      </c>
      <c r="D29" s="29" t="s">
        <v>584</v>
      </c>
      <c r="E29" s="29" t="s">
        <v>133</v>
      </c>
    </row>
    <row r="30" spans="1:5" x14ac:dyDescent="0.25">
      <c r="A30" s="25" t="s">
        <v>985</v>
      </c>
      <c r="B30" s="4" t="s">
        <v>138</v>
      </c>
      <c r="C30" s="4" t="s">
        <v>245</v>
      </c>
      <c r="D30" s="4" t="s">
        <v>22</v>
      </c>
      <c r="E30" s="16" t="s">
        <v>1007</v>
      </c>
    </row>
    <row r="33" spans="1:5" ht="15.6" x14ac:dyDescent="0.3">
      <c r="A33" s="24" t="s">
        <v>127</v>
      </c>
      <c r="B33" s="24"/>
    </row>
    <row r="34" spans="1:5" ht="14.4" x14ac:dyDescent="0.3">
      <c r="A34" s="26"/>
      <c r="B34" s="27" t="s">
        <v>138</v>
      </c>
    </row>
    <row r="35" spans="1:5" ht="13.8" x14ac:dyDescent="0.25">
      <c r="A35" s="29" t="s">
        <v>129</v>
      </c>
      <c r="B35" s="29" t="s">
        <v>130</v>
      </c>
      <c r="C35" s="29" t="s">
        <v>131</v>
      </c>
      <c r="D35" s="29" t="s">
        <v>584</v>
      </c>
      <c r="E35" s="29" t="s">
        <v>133</v>
      </c>
    </row>
    <row r="36" spans="1:5" x14ac:dyDescent="0.25">
      <c r="A36" s="25" t="s">
        <v>42</v>
      </c>
      <c r="B36" s="4" t="s">
        <v>138</v>
      </c>
      <c r="C36" s="4" t="s">
        <v>141</v>
      </c>
      <c r="D36" s="4" t="s">
        <v>53</v>
      </c>
      <c r="E36" s="16" t="s">
        <v>1008</v>
      </c>
    </row>
    <row r="37" spans="1:5" x14ac:dyDescent="0.25">
      <c r="A37" s="25" t="s">
        <v>989</v>
      </c>
      <c r="B37" s="4" t="s">
        <v>138</v>
      </c>
      <c r="C37" s="4" t="s">
        <v>141</v>
      </c>
      <c r="D37" s="4" t="s">
        <v>100</v>
      </c>
      <c r="E37" s="16" t="s">
        <v>1009</v>
      </c>
    </row>
    <row r="38" spans="1:5" x14ac:dyDescent="0.25">
      <c r="A38" s="25" t="s">
        <v>1002</v>
      </c>
      <c r="B38" s="4" t="s">
        <v>138</v>
      </c>
      <c r="C38" s="4" t="s">
        <v>135</v>
      </c>
      <c r="D38" s="4" t="s">
        <v>1006</v>
      </c>
      <c r="E38" s="16" t="s">
        <v>1010</v>
      </c>
    </row>
    <row r="39" spans="1:5" x14ac:dyDescent="0.25">
      <c r="A39" s="25" t="s">
        <v>994</v>
      </c>
      <c r="B39" s="4" t="s">
        <v>138</v>
      </c>
      <c r="C39" s="4" t="s">
        <v>141</v>
      </c>
      <c r="D39" s="4" t="s">
        <v>96</v>
      </c>
      <c r="E39" s="16" t="s">
        <v>1011</v>
      </c>
    </row>
    <row r="40" spans="1:5" x14ac:dyDescent="0.25">
      <c r="A40" s="25" t="s">
        <v>545</v>
      </c>
      <c r="B40" s="4" t="s">
        <v>138</v>
      </c>
      <c r="C40" s="4" t="s">
        <v>141</v>
      </c>
      <c r="D40" s="4" t="s">
        <v>60</v>
      </c>
      <c r="E40" s="16" t="s">
        <v>1012</v>
      </c>
    </row>
    <row r="42" spans="1:5" ht="14.4" x14ac:dyDescent="0.3">
      <c r="A42" s="26"/>
      <c r="B42" s="27" t="s">
        <v>159</v>
      </c>
    </row>
    <row r="43" spans="1:5" ht="13.8" x14ac:dyDescent="0.25">
      <c r="A43" s="29" t="s">
        <v>129</v>
      </c>
      <c r="B43" s="29" t="s">
        <v>130</v>
      </c>
      <c r="C43" s="29" t="s">
        <v>131</v>
      </c>
      <c r="D43" s="29" t="s">
        <v>584</v>
      </c>
      <c r="E43" s="29" t="s">
        <v>133</v>
      </c>
    </row>
    <row r="44" spans="1:5" x14ac:dyDescent="0.25">
      <c r="A44" s="25" t="s">
        <v>545</v>
      </c>
      <c r="B44" s="4" t="s">
        <v>160</v>
      </c>
      <c r="C44" s="4" t="s">
        <v>141</v>
      </c>
      <c r="D44" s="4" t="s">
        <v>60</v>
      </c>
      <c r="E44" s="16" t="s">
        <v>1013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A15:J15"/>
    <mergeCell ref="K3:K4"/>
    <mergeCell ref="L3:L4"/>
    <mergeCell ref="M3:M4"/>
    <mergeCell ref="A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7" workbookViewId="0">
      <selection activeCell="A23" sqref="A23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11.88671875" style="4" bestFit="1" customWidth="1"/>
    <col min="5" max="5" width="22.6640625" style="4" bestFit="1" customWidth="1"/>
    <col min="6" max="6" width="32.88671875" style="4" bestFit="1" customWidth="1"/>
    <col min="7" max="7" width="12.6640625" style="3" customWidth="1"/>
    <col min="8" max="8" width="14.109375" style="3" customWidth="1"/>
    <col min="9" max="9" width="9.21875" style="16" customWidth="1"/>
    <col min="10" max="10" width="9.5546875" style="2" bestFit="1" customWidth="1"/>
    <col min="11" max="11" width="28.44140625" style="4" bestFit="1" customWidth="1"/>
    <col min="12" max="16384" width="9.109375" style="3"/>
  </cols>
  <sheetData>
    <row r="1" spans="1:11" s="2" customFormat="1" ht="29.1" customHeight="1" x14ac:dyDescent="0.25">
      <c r="A1" s="39" t="s">
        <v>1365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1171</v>
      </c>
      <c r="E3" s="37" t="s">
        <v>4</v>
      </c>
      <c r="F3" s="37" t="s">
        <v>7</v>
      </c>
      <c r="G3" s="37" t="s">
        <v>1366</v>
      </c>
      <c r="H3" s="37"/>
      <c r="I3" s="37" t="s">
        <v>1237</v>
      </c>
      <c r="J3" s="37" t="s">
        <v>3</v>
      </c>
      <c r="K3" s="48" t="s">
        <v>2</v>
      </c>
    </row>
    <row r="4" spans="1:11" s="1" customFormat="1" ht="21" customHeight="1" thickBot="1" x14ac:dyDescent="0.3">
      <c r="A4" s="46"/>
      <c r="B4" s="38"/>
      <c r="C4" s="38"/>
      <c r="D4" s="38"/>
      <c r="E4" s="38"/>
      <c r="F4" s="38"/>
      <c r="G4" s="5" t="s">
        <v>8</v>
      </c>
      <c r="H4" s="5" t="s">
        <v>9</v>
      </c>
      <c r="I4" s="38"/>
      <c r="J4" s="38"/>
      <c r="K4" s="49"/>
    </row>
    <row r="5" spans="1:11" ht="15.6" x14ac:dyDescent="0.3">
      <c r="A5" s="34" t="s">
        <v>258</v>
      </c>
      <c r="B5" s="35"/>
      <c r="C5" s="35"/>
      <c r="D5" s="35"/>
      <c r="E5" s="35"/>
      <c r="F5" s="35"/>
      <c r="G5" s="35"/>
      <c r="H5" s="35"/>
    </row>
    <row r="6" spans="1:11" x14ac:dyDescent="0.25">
      <c r="A6" s="28" t="s">
        <v>1173</v>
      </c>
      <c r="B6" s="28" t="s">
        <v>1174</v>
      </c>
      <c r="C6" s="28" t="s">
        <v>1175</v>
      </c>
      <c r="D6" s="28" t="str">
        <f>"0,9876"</f>
        <v>0,9876</v>
      </c>
      <c r="E6" s="28" t="s">
        <v>20</v>
      </c>
      <c r="F6" s="28" t="s">
        <v>1176</v>
      </c>
      <c r="G6" s="30" t="s">
        <v>330</v>
      </c>
      <c r="H6" s="30" t="s">
        <v>1177</v>
      </c>
      <c r="I6" s="32" t="str">
        <f>"540,0"</f>
        <v>540,0</v>
      </c>
      <c r="J6" s="33" t="str">
        <f>"533,3040"</f>
        <v>533,3040</v>
      </c>
      <c r="K6" s="28" t="s">
        <v>1178</v>
      </c>
    </row>
    <row r="8" spans="1:11" ht="15.6" x14ac:dyDescent="0.3">
      <c r="A8" s="36" t="s">
        <v>356</v>
      </c>
      <c r="B8" s="36"/>
      <c r="C8" s="36"/>
      <c r="D8" s="36"/>
      <c r="E8" s="36"/>
      <c r="F8" s="36"/>
      <c r="G8" s="36"/>
      <c r="H8" s="36"/>
    </row>
    <row r="9" spans="1:11" x14ac:dyDescent="0.25">
      <c r="A9" s="28" t="s">
        <v>1180</v>
      </c>
      <c r="B9" s="28" t="s">
        <v>1181</v>
      </c>
      <c r="C9" s="28" t="s">
        <v>1182</v>
      </c>
      <c r="D9" s="28" t="str">
        <f>"0,7829"</f>
        <v>0,7829</v>
      </c>
      <c r="E9" s="28" t="s">
        <v>20</v>
      </c>
      <c r="F9" s="28" t="s">
        <v>644</v>
      </c>
      <c r="G9" s="30" t="s">
        <v>332</v>
      </c>
      <c r="H9" s="30" t="s">
        <v>1183</v>
      </c>
      <c r="I9" s="32" t="str">
        <f>"910,0"</f>
        <v>910,0</v>
      </c>
      <c r="J9" s="33" t="str">
        <f>"712,4845"</f>
        <v>712,4845</v>
      </c>
      <c r="K9" s="28" t="s">
        <v>645</v>
      </c>
    </row>
    <row r="11" spans="1:11" ht="15.6" x14ac:dyDescent="0.3">
      <c r="A11" s="36" t="s">
        <v>163</v>
      </c>
      <c r="B11" s="36"/>
      <c r="C11" s="36"/>
      <c r="D11" s="36"/>
      <c r="E11" s="36"/>
      <c r="F11" s="36"/>
      <c r="G11" s="36"/>
      <c r="H11" s="36"/>
    </row>
    <row r="12" spans="1:11" x14ac:dyDescent="0.25">
      <c r="A12" s="28" t="s">
        <v>1185</v>
      </c>
      <c r="B12" s="28" t="s">
        <v>1186</v>
      </c>
      <c r="C12" s="28" t="s">
        <v>1187</v>
      </c>
      <c r="D12" s="28" t="str">
        <f>"0,6492"</f>
        <v>0,6492</v>
      </c>
      <c r="E12" s="28" t="s">
        <v>20</v>
      </c>
      <c r="F12" s="28" t="s">
        <v>689</v>
      </c>
      <c r="G12" s="30" t="s">
        <v>319</v>
      </c>
      <c r="H12" s="30" t="s">
        <v>1188</v>
      </c>
      <c r="I12" s="32" t="str">
        <f>"3052,5"</f>
        <v>3052,5</v>
      </c>
      <c r="J12" s="33" t="str">
        <f>"2021,4722"</f>
        <v>2021,4722</v>
      </c>
      <c r="K12" s="28" t="s">
        <v>1189</v>
      </c>
    </row>
    <row r="14" spans="1:11" ht="15.6" x14ac:dyDescent="0.3">
      <c r="A14" s="36" t="s">
        <v>15</v>
      </c>
      <c r="B14" s="36"/>
      <c r="C14" s="36"/>
      <c r="D14" s="36"/>
      <c r="E14" s="36"/>
      <c r="F14" s="36"/>
      <c r="G14" s="36"/>
      <c r="H14" s="36"/>
    </row>
    <row r="15" spans="1:11" x14ac:dyDescent="0.25">
      <c r="A15" s="28" t="s">
        <v>1191</v>
      </c>
      <c r="B15" s="28" t="s">
        <v>1192</v>
      </c>
      <c r="C15" s="28" t="s">
        <v>746</v>
      </c>
      <c r="D15" s="28" t="str">
        <f>"0,6119"</f>
        <v>0,6119</v>
      </c>
      <c r="E15" s="28" t="s">
        <v>20</v>
      </c>
      <c r="F15" s="28" t="s">
        <v>549</v>
      </c>
      <c r="G15" s="30" t="s">
        <v>338</v>
      </c>
      <c r="H15" s="30" t="s">
        <v>1193</v>
      </c>
      <c r="I15" s="32" t="str">
        <f>"7020,0"</f>
        <v>7020,0</v>
      </c>
      <c r="J15" s="33" t="str">
        <f>"4295,1872"</f>
        <v>4295,1872</v>
      </c>
      <c r="K15" s="28" t="s">
        <v>1194</v>
      </c>
    </row>
    <row r="17" spans="1:11" ht="15.6" x14ac:dyDescent="0.3">
      <c r="A17" s="36" t="s">
        <v>41</v>
      </c>
      <c r="B17" s="36"/>
      <c r="C17" s="36"/>
      <c r="D17" s="36"/>
      <c r="E17" s="36"/>
      <c r="F17" s="36"/>
      <c r="G17" s="36"/>
      <c r="H17" s="36"/>
    </row>
    <row r="18" spans="1:11" x14ac:dyDescent="0.25">
      <c r="A18" s="6" t="s">
        <v>1196</v>
      </c>
      <c r="B18" s="6" t="s">
        <v>1197</v>
      </c>
      <c r="C18" s="6" t="s">
        <v>434</v>
      </c>
      <c r="D18" s="6" t="str">
        <f>"0,6033"</f>
        <v>0,6033</v>
      </c>
      <c r="E18" s="6" t="s">
        <v>20</v>
      </c>
      <c r="F18" s="6" t="s">
        <v>867</v>
      </c>
      <c r="G18" s="7" t="s">
        <v>499</v>
      </c>
      <c r="H18" s="7" t="s">
        <v>1198</v>
      </c>
      <c r="I18" s="17" t="str">
        <f>"2497,5"</f>
        <v>2497,5</v>
      </c>
      <c r="J18" s="18" t="str">
        <f>"1506,7417"</f>
        <v>1506,7417</v>
      </c>
      <c r="K18" s="6" t="s">
        <v>1035</v>
      </c>
    </row>
    <row r="19" spans="1:11" x14ac:dyDescent="0.25">
      <c r="A19" s="9" t="s">
        <v>1200</v>
      </c>
      <c r="B19" s="9" t="s">
        <v>1201</v>
      </c>
      <c r="C19" s="9" t="s">
        <v>1202</v>
      </c>
      <c r="D19" s="9" t="str">
        <f>"0,5935"</f>
        <v>0,5935</v>
      </c>
      <c r="E19" s="9" t="s">
        <v>20</v>
      </c>
      <c r="F19" s="9" t="s">
        <v>46</v>
      </c>
      <c r="G19" s="10" t="s">
        <v>394</v>
      </c>
      <c r="H19" s="10" t="s">
        <v>1183</v>
      </c>
      <c r="I19" s="19" t="str">
        <f>"1365,0"</f>
        <v>1365,0</v>
      </c>
      <c r="J19" s="20" t="str">
        <f>"1009,3338"</f>
        <v>1009,3338</v>
      </c>
      <c r="K19" s="9" t="s">
        <v>1203</v>
      </c>
    </row>
    <row r="21" spans="1:11" ht="15.6" x14ac:dyDescent="0.3">
      <c r="A21" s="36" t="s">
        <v>84</v>
      </c>
      <c r="B21" s="36"/>
      <c r="C21" s="36"/>
      <c r="D21" s="36"/>
      <c r="E21" s="36"/>
      <c r="F21" s="36"/>
      <c r="G21" s="36"/>
      <c r="H21" s="36"/>
    </row>
    <row r="22" spans="1:11" x14ac:dyDescent="0.25">
      <c r="A22" s="6" t="s">
        <v>1204</v>
      </c>
      <c r="B22" s="6" t="s">
        <v>564</v>
      </c>
      <c r="C22" s="6" t="s">
        <v>565</v>
      </c>
      <c r="D22" s="6" t="str">
        <f>"0,5635"</f>
        <v>0,5635</v>
      </c>
      <c r="E22" s="6" t="s">
        <v>20</v>
      </c>
      <c r="F22" s="6" t="s">
        <v>46</v>
      </c>
      <c r="G22" s="7" t="s">
        <v>170</v>
      </c>
      <c r="H22" s="7" t="s">
        <v>1205</v>
      </c>
      <c r="I22" s="17" t="str">
        <f>"2530,0"</f>
        <v>2530,0</v>
      </c>
      <c r="J22" s="18" t="str">
        <f>"1425,6550"</f>
        <v>1425,6550</v>
      </c>
      <c r="K22" s="6" t="s">
        <v>120</v>
      </c>
    </row>
    <row r="23" spans="1:11" x14ac:dyDescent="0.25">
      <c r="A23" s="12" t="s">
        <v>1207</v>
      </c>
      <c r="B23" s="12" t="s">
        <v>1208</v>
      </c>
      <c r="C23" s="12" t="s">
        <v>1209</v>
      </c>
      <c r="D23" s="12" t="str">
        <f>"0,5806"</f>
        <v>0,5806</v>
      </c>
      <c r="E23" s="12" t="s">
        <v>20</v>
      </c>
      <c r="F23" s="12" t="s">
        <v>1176</v>
      </c>
      <c r="G23" s="13" t="s">
        <v>395</v>
      </c>
      <c r="H23" s="13" t="s">
        <v>1210</v>
      </c>
      <c r="I23" s="21" t="str">
        <f>"2972,5"</f>
        <v>2972,5</v>
      </c>
      <c r="J23" s="22" t="str">
        <f>"1820,7544"</f>
        <v>1820,7544</v>
      </c>
      <c r="K23" s="12" t="s">
        <v>1211</v>
      </c>
    </row>
    <row r="24" spans="1:11" x14ac:dyDescent="0.25">
      <c r="A24" s="9" t="s">
        <v>1213</v>
      </c>
      <c r="B24" s="9" t="s">
        <v>1214</v>
      </c>
      <c r="C24" s="9" t="s">
        <v>1215</v>
      </c>
      <c r="D24" s="9" t="str">
        <f>"0,5720"</f>
        <v>0,5720</v>
      </c>
      <c r="E24" s="9" t="s">
        <v>20</v>
      </c>
      <c r="F24" s="9" t="s">
        <v>46</v>
      </c>
      <c r="G24" s="10" t="s">
        <v>169</v>
      </c>
      <c r="H24" s="10" t="s">
        <v>1216</v>
      </c>
      <c r="I24" s="19" t="str">
        <f>"2100,0"</f>
        <v>2100,0</v>
      </c>
      <c r="J24" s="20" t="str">
        <f>"1496,6953"</f>
        <v>1496,6953</v>
      </c>
      <c r="K24" s="9" t="s">
        <v>1217</v>
      </c>
    </row>
    <row r="26" spans="1:11" ht="15" x14ac:dyDescent="0.25">
      <c r="E26" s="15" t="s">
        <v>121</v>
      </c>
    </row>
    <row r="27" spans="1:11" ht="15" x14ac:dyDescent="0.25">
      <c r="E27" s="15" t="s">
        <v>122</v>
      </c>
    </row>
    <row r="28" spans="1:11" ht="15" x14ac:dyDescent="0.25">
      <c r="E28" s="15" t="s">
        <v>123</v>
      </c>
    </row>
    <row r="29" spans="1:11" ht="15" x14ac:dyDescent="0.25">
      <c r="E29" s="15" t="s">
        <v>124</v>
      </c>
    </row>
    <row r="30" spans="1:11" ht="15" x14ac:dyDescent="0.25">
      <c r="E30" s="15" t="s">
        <v>124</v>
      </c>
    </row>
    <row r="31" spans="1:11" ht="15" x14ac:dyDescent="0.25">
      <c r="E31" s="15" t="s">
        <v>125</v>
      </c>
    </row>
    <row r="32" spans="1:11" ht="15" x14ac:dyDescent="0.25">
      <c r="E32" s="15"/>
    </row>
    <row r="34" spans="1:5" ht="17.399999999999999" x14ac:dyDescent="0.3">
      <c r="A34" s="23" t="s">
        <v>126</v>
      </c>
      <c r="B34" s="23"/>
    </row>
    <row r="35" spans="1:5" ht="15.6" x14ac:dyDescent="0.3">
      <c r="A35" s="24" t="s">
        <v>233</v>
      </c>
      <c r="B35" s="24"/>
    </row>
    <row r="36" spans="1:5" ht="14.4" x14ac:dyDescent="0.3">
      <c r="A36" s="26"/>
      <c r="B36" s="27" t="s">
        <v>138</v>
      </c>
    </row>
    <row r="37" spans="1:5" ht="13.8" x14ac:dyDescent="0.25">
      <c r="A37" s="29" t="s">
        <v>129</v>
      </c>
      <c r="B37" s="29" t="s">
        <v>130</v>
      </c>
      <c r="C37" s="29" t="s">
        <v>131</v>
      </c>
      <c r="D37" s="29" t="s">
        <v>584</v>
      </c>
      <c r="E37" s="29" t="s">
        <v>1218</v>
      </c>
    </row>
    <row r="38" spans="1:5" x14ac:dyDescent="0.25">
      <c r="A38" s="25" t="s">
        <v>1172</v>
      </c>
      <c r="B38" s="4" t="s">
        <v>138</v>
      </c>
      <c r="C38" s="4" t="s">
        <v>297</v>
      </c>
      <c r="D38" s="4" t="s">
        <v>1219</v>
      </c>
      <c r="E38" s="16" t="s">
        <v>1220</v>
      </c>
    </row>
    <row r="41" spans="1:5" ht="15.6" x14ac:dyDescent="0.3">
      <c r="A41" s="24" t="s">
        <v>127</v>
      </c>
      <c r="B41" s="24"/>
    </row>
    <row r="42" spans="1:5" ht="14.4" x14ac:dyDescent="0.3">
      <c r="A42" s="26"/>
      <c r="B42" s="27" t="s">
        <v>468</v>
      </c>
    </row>
    <row r="43" spans="1:5" ht="13.8" x14ac:dyDescent="0.25">
      <c r="A43" s="29" t="s">
        <v>129</v>
      </c>
      <c r="B43" s="29" t="s">
        <v>130</v>
      </c>
      <c r="C43" s="29" t="s">
        <v>131</v>
      </c>
      <c r="D43" s="29" t="s">
        <v>584</v>
      </c>
      <c r="E43" s="29" t="s">
        <v>1218</v>
      </c>
    </row>
    <row r="44" spans="1:5" x14ac:dyDescent="0.25">
      <c r="A44" s="25" t="s">
        <v>1179</v>
      </c>
      <c r="B44" s="4" t="s">
        <v>450</v>
      </c>
      <c r="C44" s="4" t="s">
        <v>453</v>
      </c>
      <c r="D44" s="4" t="s">
        <v>1221</v>
      </c>
      <c r="E44" s="16" t="s">
        <v>1222</v>
      </c>
    </row>
    <row r="46" spans="1:5" ht="14.4" x14ac:dyDescent="0.3">
      <c r="A46" s="26"/>
      <c r="B46" s="27" t="s">
        <v>138</v>
      </c>
    </row>
    <row r="47" spans="1:5" ht="13.8" x14ac:dyDescent="0.25">
      <c r="A47" s="29" t="s">
        <v>129</v>
      </c>
      <c r="B47" s="29" t="s">
        <v>130</v>
      </c>
      <c r="C47" s="29" t="s">
        <v>131</v>
      </c>
      <c r="D47" s="29" t="s">
        <v>584</v>
      </c>
      <c r="E47" s="29" t="s">
        <v>1218</v>
      </c>
    </row>
    <row r="48" spans="1:5" x14ac:dyDescent="0.25">
      <c r="A48" s="25" t="s">
        <v>1190</v>
      </c>
      <c r="B48" s="4" t="s">
        <v>138</v>
      </c>
      <c r="C48" s="4" t="s">
        <v>150</v>
      </c>
      <c r="D48" s="4" t="s">
        <v>1223</v>
      </c>
      <c r="E48" s="16" t="s">
        <v>1224</v>
      </c>
    </row>
    <row r="49" spans="1:5" x14ac:dyDescent="0.25">
      <c r="A49" s="25" t="s">
        <v>562</v>
      </c>
      <c r="B49" s="4" t="s">
        <v>138</v>
      </c>
      <c r="C49" s="4" t="s">
        <v>135</v>
      </c>
      <c r="D49" s="4" t="s">
        <v>1225</v>
      </c>
      <c r="E49" s="16" t="s">
        <v>1226</v>
      </c>
    </row>
    <row r="51" spans="1:5" ht="14.4" x14ac:dyDescent="0.3">
      <c r="A51" s="26"/>
      <c r="B51" s="27" t="s">
        <v>159</v>
      </c>
    </row>
    <row r="52" spans="1:5" ht="13.8" x14ac:dyDescent="0.25">
      <c r="A52" s="29" t="s">
        <v>129</v>
      </c>
      <c r="B52" s="29" t="s">
        <v>130</v>
      </c>
      <c r="C52" s="29" t="s">
        <v>131</v>
      </c>
      <c r="D52" s="29" t="s">
        <v>584</v>
      </c>
      <c r="E52" s="29" t="s">
        <v>1218</v>
      </c>
    </row>
    <row r="53" spans="1:5" x14ac:dyDescent="0.25">
      <c r="A53" s="25" t="s">
        <v>1184</v>
      </c>
      <c r="B53" s="4" t="s">
        <v>160</v>
      </c>
      <c r="C53" s="4" t="s">
        <v>234</v>
      </c>
      <c r="D53" s="4" t="s">
        <v>1227</v>
      </c>
      <c r="E53" s="16" t="s">
        <v>1228</v>
      </c>
    </row>
    <row r="54" spans="1:5" x14ac:dyDescent="0.25">
      <c r="A54" s="25" t="s">
        <v>1206</v>
      </c>
      <c r="B54" s="4" t="s">
        <v>251</v>
      </c>
      <c r="C54" s="4" t="s">
        <v>135</v>
      </c>
      <c r="D54" s="4" t="s">
        <v>1229</v>
      </c>
      <c r="E54" s="16" t="s">
        <v>1230</v>
      </c>
    </row>
    <row r="55" spans="1:5" x14ac:dyDescent="0.25">
      <c r="A55" s="25" t="s">
        <v>1195</v>
      </c>
      <c r="B55" s="4" t="s">
        <v>160</v>
      </c>
      <c r="C55" s="4" t="s">
        <v>141</v>
      </c>
      <c r="D55" s="4" t="s">
        <v>1231</v>
      </c>
      <c r="E55" s="16" t="s">
        <v>1232</v>
      </c>
    </row>
    <row r="56" spans="1:5" x14ac:dyDescent="0.25">
      <c r="A56" s="25" t="s">
        <v>1212</v>
      </c>
      <c r="B56" s="4" t="s">
        <v>485</v>
      </c>
      <c r="C56" s="4" t="s">
        <v>135</v>
      </c>
      <c r="D56" s="4" t="s">
        <v>1233</v>
      </c>
      <c r="E56" s="16" t="s">
        <v>1234</v>
      </c>
    </row>
    <row r="57" spans="1:5" x14ac:dyDescent="0.25">
      <c r="A57" s="25" t="s">
        <v>1199</v>
      </c>
      <c r="B57" s="4" t="s">
        <v>485</v>
      </c>
      <c r="C57" s="4" t="s">
        <v>141</v>
      </c>
      <c r="D57" s="4" t="s">
        <v>1235</v>
      </c>
      <c r="E57" s="16" t="s">
        <v>1236</v>
      </c>
    </row>
  </sheetData>
  <mergeCells count="17"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K3:K4"/>
    <mergeCell ref="A21:H21"/>
    <mergeCell ref="A5:H5"/>
    <mergeCell ref="A8:H8"/>
    <mergeCell ref="A11:H11"/>
    <mergeCell ref="A14:H14"/>
    <mergeCell ref="A17:H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F10" sqref="F10"/>
    </sheetView>
  </sheetViews>
  <sheetFormatPr defaultColWidth="9.109375" defaultRowHeight="13.2" x14ac:dyDescent="0.25"/>
  <cols>
    <col min="1" max="1" width="26" style="4" bestFit="1" customWidth="1"/>
    <col min="2" max="2" width="27.88671875" style="4" customWidth="1"/>
    <col min="3" max="3" width="15.5546875" style="4" bestFit="1" customWidth="1"/>
    <col min="4" max="4" width="8.44140625" style="4" bestFit="1" customWidth="1"/>
    <col min="5" max="5" width="22.6640625" style="4" bestFit="1" customWidth="1"/>
    <col min="6" max="6" width="33.5546875" style="4" bestFit="1" customWidth="1"/>
    <col min="7" max="9" width="5.5546875" style="3" customWidth="1"/>
    <col min="10" max="10" width="4.88671875" style="3" customWidth="1"/>
    <col min="11" max="13" width="4.5546875" style="3" customWidth="1"/>
    <col min="14" max="14" width="4.88671875" style="3" customWidth="1"/>
    <col min="15" max="17" width="5.5546875" style="3" customWidth="1"/>
    <col min="18" max="18" width="4.88671875" style="3" customWidth="1"/>
    <col min="19" max="19" width="7.88671875" style="16" bestFit="1" customWidth="1"/>
    <col min="20" max="20" width="8.5546875" style="2" bestFit="1" customWidth="1"/>
    <col min="21" max="21" width="11.44140625" style="4" bestFit="1" customWidth="1"/>
    <col min="22" max="16384" width="9.109375" style="3"/>
  </cols>
  <sheetData>
    <row r="1" spans="1:21" s="2" customFormat="1" ht="29.1" customHeight="1" x14ac:dyDescent="0.25">
      <c r="A1" s="39" t="s">
        <v>1367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12</v>
      </c>
      <c r="H3" s="37"/>
      <c r="I3" s="37"/>
      <c r="J3" s="37"/>
      <c r="K3" s="37" t="s">
        <v>13</v>
      </c>
      <c r="L3" s="37"/>
      <c r="M3" s="37"/>
      <c r="N3" s="37"/>
      <c r="O3" s="37" t="s">
        <v>14</v>
      </c>
      <c r="P3" s="37"/>
      <c r="Q3" s="37"/>
      <c r="R3" s="37"/>
      <c r="S3" s="37" t="s">
        <v>1</v>
      </c>
      <c r="T3" s="37" t="s">
        <v>3</v>
      </c>
      <c r="U3" s="48" t="s">
        <v>2</v>
      </c>
    </row>
    <row r="4" spans="1:21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8"/>
      <c r="T4" s="38"/>
      <c r="U4" s="49"/>
    </row>
    <row r="5" spans="1:21" ht="15.6" x14ac:dyDescent="0.3">
      <c r="A5" s="34" t="s">
        <v>356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 x14ac:dyDescent="0.25">
      <c r="A6" s="28" t="s">
        <v>494</v>
      </c>
      <c r="B6" s="28" t="s">
        <v>495</v>
      </c>
      <c r="C6" s="28" t="s">
        <v>496</v>
      </c>
      <c r="D6" s="28" t="str">
        <f>"1,0576"</f>
        <v>1,0576</v>
      </c>
      <c r="E6" s="28" t="s">
        <v>20</v>
      </c>
      <c r="F6" s="28" t="s">
        <v>497</v>
      </c>
      <c r="G6" s="31" t="s">
        <v>324</v>
      </c>
      <c r="H6" s="30" t="s">
        <v>324</v>
      </c>
      <c r="I6" s="31" t="s">
        <v>83</v>
      </c>
      <c r="J6" s="31"/>
      <c r="K6" s="30" t="s">
        <v>498</v>
      </c>
      <c r="L6" s="31" t="s">
        <v>499</v>
      </c>
      <c r="M6" s="31" t="s">
        <v>499</v>
      </c>
      <c r="N6" s="31"/>
      <c r="O6" s="31" t="s">
        <v>207</v>
      </c>
      <c r="P6" s="31" t="s">
        <v>207</v>
      </c>
      <c r="Q6" s="30" t="s">
        <v>207</v>
      </c>
      <c r="R6" s="31"/>
      <c r="S6" s="32" t="str">
        <f>"312,5"</f>
        <v>312,5</v>
      </c>
      <c r="T6" s="33" t="str">
        <f>"330,5000"</f>
        <v>330,5000</v>
      </c>
      <c r="U6" s="28" t="s">
        <v>500</v>
      </c>
    </row>
    <row r="8" spans="1:21" ht="15" x14ac:dyDescent="0.25">
      <c r="E8" s="15" t="s">
        <v>121</v>
      </c>
    </row>
    <row r="9" spans="1:21" ht="15" x14ac:dyDescent="0.25">
      <c r="E9" s="15" t="s">
        <v>122</v>
      </c>
    </row>
    <row r="10" spans="1:21" ht="15" x14ac:dyDescent="0.25">
      <c r="E10" s="15" t="s">
        <v>123</v>
      </c>
    </row>
    <row r="11" spans="1:21" ht="15" x14ac:dyDescent="0.25">
      <c r="E11" s="15" t="s">
        <v>124</v>
      </c>
    </row>
    <row r="12" spans="1:21" ht="15" x14ac:dyDescent="0.25">
      <c r="E12" s="15" t="s">
        <v>124</v>
      </c>
    </row>
    <row r="13" spans="1:21" ht="15" x14ac:dyDescent="0.25">
      <c r="E13" s="15" t="s">
        <v>125</v>
      </c>
    </row>
    <row r="14" spans="1:21" ht="15" x14ac:dyDescent="0.25">
      <c r="E14" s="15"/>
    </row>
    <row r="16" spans="1:21" ht="17.399999999999999" x14ac:dyDescent="0.3">
      <c r="A16" s="23" t="s">
        <v>126</v>
      </c>
      <c r="B16" s="23"/>
    </row>
    <row r="17" spans="1:5" ht="15.6" x14ac:dyDescent="0.3">
      <c r="A17" s="24" t="s">
        <v>233</v>
      </c>
      <c r="B17" s="24"/>
    </row>
    <row r="18" spans="1:5" ht="14.4" x14ac:dyDescent="0.3">
      <c r="A18" s="26"/>
      <c r="B18" s="27" t="s">
        <v>449</v>
      </c>
    </row>
    <row r="19" spans="1:5" ht="13.8" x14ac:dyDescent="0.25">
      <c r="A19" s="29" t="s">
        <v>129</v>
      </c>
      <c r="B19" s="29" t="s">
        <v>130</v>
      </c>
      <c r="C19" s="29" t="s">
        <v>131</v>
      </c>
      <c r="D19" s="29" t="s">
        <v>132</v>
      </c>
      <c r="E19" s="29" t="s">
        <v>133</v>
      </c>
    </row>
    <row r="20" spans="1:5" x14ac:dyDescent="0.25">
      <c r="A20" s="25" t="s">
        <v>493</v>
      </c>
      <c r="B20" s="4" t="s">
        <v>450</v>
      </c>
      <c r="C20" s="4" t="s">
        <v>453</v>
      </c>
      <c r="D20" s="4" t="s">
        <v>109</v>
      </c>
      <c r="E20" s="16" t="s">
        <v>501</v>
      </c>
    </row>
  </sheetData>
  <mergeCells count="1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sqref="A1:U2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8.44140625" style="4" bestFit="1" customWidth="1"/>
    <col min="5" max="5" width="22.6640625" style="4" bestFit="1" customWidth="1"/>
    <col min="6" max="6" width="31.44140625" style="4" bestFit="1" customWidth="1"/>
    <col min="7" max="9" width="5.5546875" style="3" customWidth="1"/>
    <col min="10" max="10" width="4.88671875" style="3" customWidth="1"/>
    <col min="11" max="13" width="5.5546875" style="3" customWidth="1"/>
    <col min="14" max="14" width="4.88671875" style="3" customWidth="1"/>
    <col min="15" max="17" width="5.5546875" style="3" customWidth="1"/>
    <col min="18" max="18" width="4.88671875" style="3" customWidth="1"/>
    <col min="19" max="19" width="7.88671875" style="16" bestFit="1" customWidth="1"/>
    <col min="20" max="20" width="8.5546875" style="2" bestFit="1" customWidth="1"/>
    <col min="21" max="21" width="14.109375" style="4" bestFit="1" customWidth="1"/>
    <col min="22" max="16384" width="9.109375" style="3"/>
  </cols>
  <sheetData>
    <row r="1" spans="1:21" s="2" customFormat="1" ht="29.1" customHeight="1" x14ac:dyDescent="0.25">
      <c r="A1" s="39" t="s">
        <v>1368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12</v>
      </c>
      <c r="H3" s="37"/>
      <c r="I3" s="37"/>
      <c r="J3" s="37"/>
      <c r="K3" s="37" t="s">
        <v>13</v>
      </c>
      <c r="L3" s="37"/>
      <c r="M3" s="37"/>
      <c r="N3" s="37"/>
      <c r="O3" s="37" t="s">
        <v>14</v>
      </c>
      <c r="P3" s="37"/>
      <c r="Q3" s="37"/>
      <c r="R3" s="37"/>
      <c r="S3" s="37" t="s">
        <v>1</v>
      </c>
      <c r="T3" s="37" t="s">
        <v>3</v>
      </c>
      <c r="U3" s="48" t="s">
        <v>2</v>
      </c>
    </row>
    <row r="4" spans="1:21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8"/>
      <c r="T4" s="38"/>
      <c r="U4" s="49"/>
    </row>
    <row r="5" spans="1:21" ht="15.6" x14ac:dyDescent="0.3">
      <c r="A5" s="34" t="s">
        <v>258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 x14ac:dyDescent="0.25">
      <c r="A6" s="28" t="s">
        <v>260</v>
      </c>
      <c r="B6" s="28" t="s">
        <v>261</v>
      </c>
      <c r="C6" s="28" t="s">
        <v>262</v>
      </c>
      <c r="D6" s="28" t="str">
        <f>"1,1340"</f>
        <v>1,1340</v>
      </c>
      <c r="E6" s="28" t="s">
        <v>20</v>
      </c>
      <c r="F6" s="28" t="s">
        <v>46</v>
      </c>
      <c r="G6" s="30" t="s">
        <v>37</v>
      </c>
      <c r="H6" s="30" t="s">
        <v>38</v>
      </c>
      <c r="I6" s="30" t="s">
        <v>188</v>
      </c>
      <c r="J6" s="31"/>
      <c r="K6" s="30" t="s">
        <v>263</v>
      </c>
      <c r="L6" s="30" t="s">
        <v>264</v>
      </c>
      <c r="M6" s="31"/>
      <c r="N6" s="31"/>
      <c r="O6" s="30" t="s">
        <v>179</v>
      </c>
      <c r="P6" s="30" t="s">
        <v>37</v>
      </c>
      <c r="Q6" s="30" t="s">
        <v>25</v>
      </c>
      <c r="R6" s="31"/>
      <c r="S6" s="32" t="str">
        <f>"375,0"</f>
        <v>375,0</v>
      </c>
      <c r="T6" s="33" t="str">
        <f>"425,2500"</f>
        <v>425,2500</v>
      </c>
      <c r="U6" s="28" t="s">
        <v>265</v>
      </c>
    </row>
    <row r="8" spans="1:21" ht="15.6" x14ac:dyDescent="0.3">
      <c r="A8" s="36" t="s">
        <v>15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1" x14ac:dyDescent="0.25">
      <c r="A9" s="6" t="s">
        <v>267</v>
      </c>
      <c r="B9" s="6" t="s">
        <v>268</v>
      </c>
      <c r="C9" s="6" t="s">
        <v>269</v>
      </c>
      <c r="D9" s="6" t="str">
        <f>"0,6467"</f>
        <v>0,6467</v>
      </c>
      <c r="E9" s="6" t="s">
        <v>20</v>
      </c>
      <c r="F9" s="6" t="s">
        <v>270</v>
      </c>
      <c r="G9" s="7" t="s">
        <v>199</v>
      </c>
      <c r="H9" s="7" t="s">
        <v>28</v>
      </c>
      <c r="I9" s="8"/>
      <c r="J9" s="8"/>
      <c r="K9" s="7" t="s">
        <v>178</v>
      </c>
      <c r="L9" s="8" t="s">
        <v>179</v>
      </c>
      <c r="M9" s="8"/>
      <c r="N9" s="8"/>
      <c r="O9" s="7" t="s">
        <v>36</v>
      </c>
      <c r="P9" s="7" t="s">
        <v>39</v>
      </c>
      <c r="Q9" s="8" t="s">
        <v>60</v>
      </c>
      <c r="R9" s="8"/>
      <c r="S9" s="17" t="str">
        <f>"620,0"</f>
        <v>620,0</v>
      </c>
      <c r="T9" s="18" t="str">
        <f>"400,9540"</f>
        <v>400,9540</v>
      </c>
      <c r="U9" s="6" t="s">
        <v>271</v>
      </c>
    </row>
    <row r="10" spans="1:21" x14ac:dyDescent="0.25">
      <c r="A10" s="9" t="s">
        <v>273</v>
      </c>
      <c r="B10" s="9" t="s">
        <v>274</v>
      </c>
      <c r="C10" s="9" t="s">
        <v>34</v>
      </c>
      <c r="D10" s="9" t="str">
        <f>"0,6455"</f>
        <v>0,6455</v>
      </c>
      <c r="E10" s="9" t="s">
        <v>20</v>
      </c>
      <c r="F10" s="9" t="s">
        <v>275</v>
      </c>
      <c r="G10" s="10" t="s">
        <v>187</v>
      </c>
      <c r="H10" s="10" t="s">
        <v>25</v>
      </c>
      <c r="I10" s="10" t="s">
        <v>26</v>
      </c>
      <c r="J10" s="11"/>
      <c r="K10" s="10" t="s">
        <v>25</v>
      </c>
      <c r="L10" s="10" t="s">
        <v>38</v>
      </c>
      <c r="M10" s="11" t="s">
        <v>26</v>
      </c>
      <c r="N10" s="11"/>
      <c r="O10" s="10" t="s">
        <v>205</v>
      </c>
      <c r="P10" s="10" t="s">
        <v>50</v>
      </c>
      <c r="Q10" s="10" t="s">
        <v>22</v>
      </c>
      <c r="R10" s="11"/>
      <c r="S10" s="19" t="str">
        <f>"505,0"</f>
        <v>505,0</v>
      </c>
      <c r="T10" s="20" t="str">
        <f>"325,9775"</f>
        <v>325,9775</v>
      </c>
      <c r="U10" s="9" t="s">
        <v>120</v>
      </c>
    </row>
    <row r="12" spans="1:21" ht="15.6" x14ac:dyDescent="0.3">
      <c r="A12" s="36" t="s">
        <v>41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21" x14ac:dyDescent="0.25">
      <c r="A13" s="28" t="s">
        <v>277</v>
      </c>
      <c r="B13" s="28" t="s">
        <v>278</v>
      </c>
      <c r="C13" s="28" t="s">
        <v>279</v>
      </c>
      <c r="D13" s="28" t="str">
        <f>"0,6150"</f>
        <v>0,6150</v>
      </c>
      <c r="E13" s="28" t="s">
        <v>280</v>
      </c>
      <c r="F13" s="28" t="s">
        <v>270</v>
      </c>
      <c r="G13" s="31" t="s">
        <v>71</v>
      </c>
      <c r="H13" s="30" t="s">
        <v>23</v>
      </c>
      <c r="I13" s="31"/>
      <c r="J13" s="31"/>
      <c r="K13" s="30" t="s">
        <v>62</v>
      </c>
      <c r="L13" s="31" t="s">
        <v>63</v>
      </c>
      <c r="M13" s="31"/>
      <c r="N13" s="31"/>
      <c r="O13" s="30" t="s">
        <v>28</v>
      </c>
      <c r="P13" s="30" t="s">
        <v>90</v>
      </c>
      <c r="Q13" s="30" t="s">
        <v>60</v>
      </c>
      <c r="R13" s="31"/>
      <c r="S13" s="32" t="str">
        <f>"640,0"</f>
        <v>640,0</v>
      </c>
      <c r="T13" s="33" t="str">
        <f>"393,6000"</f>
        <v>393,6000</v>
      </c>
      <c r="U13" s="28" t="s">
        <v>271</v>
      </c>
    </row>
    <row r="15" spans="1:21" ht="15.6" x14ac:dyDescent="0.3">
      <c r="A15" s="36" t="s">
        <v>281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21" x14ac:dyDescent="0.25">
      <c r="A16" s="6" t="s">
        <v>283</v>
      </c>
      <c r="B16" s="6" t="s">
        <v>284</v>
      </c>
      <c r="C16" s="6" t="s">
        <v>285</v>
      </c>
      <c r="D16" s="6" t="str">
        <f>"0,5791"</f>
        <v>0,5791</v>
      </c>
      <c r="E16" s="6" t="s">
        <v>20</v>
      </c>
      <c r="F16" s="6" t="s">
        <v>286</v>
      </c>
      <c r="G16" s="7" t="s">
        <v>29</v>
      </c>
      <c r="H16" s="7" t="s">
        <v>213</v>
      </c>
      <c r="I16" s="8" t="s">
        <v>108</v>
      </c>
      <c r="J16" s="8"/>
      <c r="K16" s="7" t="s">
        <v>27</v>
      </c>
      <c r="L16" s="7" t="s">
        <v>205</v>
      </c>
      <c r="M16" s="7" t="s">
        <v>49</v>
      </c>
      <c r="N16" s="8"/>
      <c r="O16" s="7" t="s">
        <v>90</v>
      </c>
      <c r="P16" s="7" t="s">
        <v>29</v>
      </c>
      <c r="Q16" s="7" t="s">
        <v>47</v>
      </c>
      <c r="R16" s="8"/>
      <c r="S16" s="17" t="str">
        <f>"750,0"</f>
        <v>750,0</v>
      </c>
      <c r="T16" s="18" t="str">
        <f>"434,3250"</f>
        <v>434,3250</v>
      </c>
      <c r="U16" s="6" t="s">
        <v>287</v>
      </c>
    </row>
    <row r="17" spans="1:21" x14ac:dyDescent="0.25">
      <c r="A17" s="12" t="s">
        <v>289</v>
      </c>
      <c r="B17" s="12" t="s">
        <v>290</v>
      </c>
      <c r="C17" s="12" t="s">
        <v>291</v>
      </c>
      <c r="D17" s="12" t="str">
        <f>"0,5728"</f>
        <v>0,5728</v>
      </c>
      <c r="E17" s="12" t="s">
        <v>20</v>
      </c>
      <c r="F17" s="12" t="s">
        <v>292</v>
      </c>
      <c r="G17" s="13" t="s">
        <v>60</v>
      </c>
      <c r="H17" s="13" t="s">
        <v>47</v>
      </c>
      <c r="I17" s="14" t="s">
        <v>96</v>
      </c>
      <c r="J17" s="14"/>
      <c r="K17" s="13" t="s">
        <v>62</v>
      </c>
      <c r="L17" s="14" t="s">
        <v>63</v>
      </c>
      <c r="M17" s="14" t="s">
        <v>63</v>
      </c>
      <c r="N17" s="14"/>
      <c r="O17" s="13" t="s">
        <v>39</v>
      </c>
      <c r="P17" s="13" t="s">
        <v>29</v>
      </c>
      <c r="Q17" s="14" t="s">
        <v>219</v>
      </c>
      <c r="R17" s="14"/>
      <c r="S17" s="21" t="str">
        <f>"705,0"</f>
        <v>705,0</v>
      </c>
      <c r="T17" s="22" t="str">
        <f>"403,8240"</f>
        <v>403,8240</v>
      </c>
      <c r="U17" s="12" t="s">
        <v>293</v>
      </c>
    </row>
    <row r="18" spans="1:21" x14ac:dyDescent="0.25">
      <c r="A18" s="12" t="s">
        <v>283</v>
      </c>
      <c r="B18" s="12" t="s">
        <v>294</v>
      </c>
      <c r="C18" s="12" t="s">
        <v>285</v>
      </c>
      <c r="D18" s="12" t="str">
        <f>"0,5791"</f>
        <v>0,5791</v>
      </c>
      <c r="E18" s="12" t="s">
        <v>20</v>
      </c>
      <c r="F18" s="12" t="s">
        <v>286</v>
      </c>
      <c r="G18" s="13" t="s">
        <v>29</v>
      </c>
      <c r="H18" s="13" t="s">
        <v>213</v>
      </c>
      <c r="I18" s="14" t="s">
        <v>108</v>
      </c>
      <c r="J18" s="14"/>
      <c r="K18" s="13" t="s">
        <v>27</v>
      </c>
      <c r="L18" s="13" t="s">
        <v>205</v>
      </c>
      <c r="M18" s="13" t="s">
        <v>49</v>
      </c>
      <c r="N18" s="14"/>
      <c r="O18" s="13" t="s">
        <v>90</v>
      </c>
      <c r="P18" s="13" t="s">
        <v>29</v>
      </c>
      <c r="Q18" s="13" t="s">
        <v>47</v>
      </c>
      <c r="R18" s="14"/>
      <c r="S18" s="21" t="str">
        <f>"750,0"</f>
        <v>750,0</v>
      </c>
      <c r="T18" s="22" t="str">
        <f>"447,7891"</f>
        <v>447,7891</v>
      </c>
      <c r="U18" s="12" t="s">
        <v>287</v>
      </c>
    </row>
    <row r="19" spans="1:21" x14ac:dyDescent="0.25">
      <c r="A19" s="9" t="s">
        <v>295</v>
      </c>
      <c r="B19" s="9" t="s">
        <v>296</v>
      </c>
      <c r="C19" s="9" t="s">
        <v>291</v>
      </c>
      <c r="D19" s="9" t="str">
        <f>"0,5728"</f>
        <v>0,5728</v>
      </c>
      <c r="E19" s="9" t="s">
        <v>20</v>
      </c>
      <c r="F19" s="9" t="s">
        <v>292</v>
      </c>
      <c r="G19" s="10" t="s">
        <v>60</v>
      </c>
      <c r="H19" s="10" t="s">
        <v>47</v>
      </c>
      <c r="I19" s="11" t="s">
        <v>96</v>
      </c>
      <c r="J19" s="11"/>
      <c r="K19" s="10" t="s">
        <v>62</v>
      </c>
      <c r="L19" s="11" t="s">
        <v>63</v>
      </c>
      <c r="M19" s="11" t="s">
        <v>63</v>
      </c>
      <c r="N19" s="11"/>
      <c r="O19" s="10" t="s">
        <v>39</v>
      </c>
      <c r="P19" s="10" t="s">
        <v>29</v>
      </c>
      <c r="Q19" s="11" t="s">
        <v>219</v>
      </c>
      <c r="R19" s="11"/>
      <c r="S19" s="19" t="str">
        <f>"705,0"</f>
        <v>705,0</v>
      </c>
      <c r="T19" s="20" t="str">
        <f>"431,2840"</f>
        <v>431,2840</v>
      </c>
      <c r="U19" s="9" t="s">
        <v>293</v>
      </c>
    </row>
    <row r="21" spans="1:21" ht="15" x14ac:dyDescent="0.25">
      <c r="E21" s="15" t="s">
        <v>121</v>
      </c>
    </row>
    <row r="22" spans="1:21" ht="15" x14ac:dyDescent="0.25">
      <c r="E22" s="15" t="s">
        <v>122</v>
      </c>
    </row>
    <row r="23" spans="1:21" ht="15" x14ac:dyDescent="0.25">
      <c r="E23" s="15" t="s">
        <v>123</v>
      </c>
    </row>
    <row r="24" spans="1:21" ht="15" x14ac:dyDescent="0.25">
      <c r="E24" s="15" t="s">
        <v>124</v>
      </c>
    </row>
    <row r="25" spans="1:21" ht="15" x14ac:dyDescent="0.25">
      <c r="E25" s="15" t="s">
        <v>124</v>
      </c>
    </row>
    <row r="26" spans="1:21" ht="15" x14ac:dyDescent="0.25">
      <c r="E26" s="15" t="s">
        <v>125</v>
      </c>
    </row>
    <row r="27" spans="1:21" ht="15" x14ac:dyDescent="0.25">
      <c r="E27" s="15"/>
    </row>
    <row r="29" spans="1:21" ht="17.399999999999999" x14ac:dyDescent="0.3">
      <c r="A29" s="23" t="s">
        <v>126</v>
      </c>
      <c r="B29" s="23"/>
    </row>
    <row r="30" spans="1:21" ht="15.6" x14ac:dyDescent="0.3">
      <c r="A30" s="24" t="s">
        <v>233</v>
      </c>
      <c r="B30" s="24"/>
    </row>
    <row r="31" spans="1:21" ht="14.4" x14ac:dyDescent="0.3">
      <c r="A31" s="26"/>
      <c r="B31" s="27" t="s">
        <v>138</v>
      </c>
    </row>
    <row r="32" spans="1:21" ht="13.8" x14ac:dyDescent="0.25">
      <c r="A32" s="29" t="s">
        <v>129</v>
      </c>
      <c r="B32" s="29" t="s">
        <v>130</v>
      </c>
      <c r="C32" s="29" t="s">
        <v>131</v>
      </c>
      <c r="D32" s="29" t="s">
        <v>132</v>
      </c>
      <c r="E32" s="29" t="s">
        <v>133</v>
      </c>
    </row>
    <row r="33" spans="1:5" x14ac:dyDescent="0.25">
      <c r="A33" s="25" t="s">
        <v>259</v>
      </c>
      <c r="B33" s="4" t="s">
        <v>138</v>
      </c>
      <c r="C33" s="4" t="s">
        <v>297</v>
      </c>
      <c r="D33" s="4" t="s">
        <v>298</v>
      </c>
      <c r="E33" s="16" t="s">
        <v>299</v>
      </c>
    </row>
    <row r="36" spans="1:5" ht="15.6" x14ac:dyDescent="0.3">
      <c r="A36" s="24" t="s">
        <v>127</v>
      </c>
      <c r="B36" s="24"/>
    </row>
    <row r="37" spans="1:5" ht="14.4" x14ac:dyDescent="0.3">
      <c r="A37" s="26"/>
      <c r="B37" s="27" t="s">
        <v>138</v>
      </c>
    </row>
    <row r="38" spans="1:5" ht="13.8" x14ac:dyDescent="0.25">
      <c r="A38" s="29" t="s">
        <v>129</v>
      </c>
      <c r="B38" s="29" t="s">
        <v>130</v>
      </c>
      <c r="C38" s="29" t="s">
        <v>131</v>
      </c>
      <c r="D38" s="29" t="s">
        <v>132</v>
      </c>
      <c r="E38" s="29" t="s">
        <v>133</v>
      </c>
    </row>
    <row r="39" spans="1:5" x14ac:dyDescent="0.25">
      <c r="A39" s="25" t="s">
        <v>282</v>
      </c>
      <c r="B39" s="4" t="s">
        <v>138</v>
      </c>
      <c r="C39" s="4" t="s">
        <v>300</v>
      </c>
      <c r="D39" s="4" t="s">
        <v>301</v>
      </c>
      <c r="E39" s="16" t="s">
        <v>302</v>
      </c>
    </row>
    <row r="40" spans="1:5" x14ac:dyDescent="0.25">
      <c r="A40" s="25" t="s">
        <v>288</v>
      </c>
      <c r="B40" s="4" t="s">
        <v>138</v>
      </c>
      <c r="C40" s="4" t="s">
        <v>300</v>
      </c>
      <c r="D40" s="4" t="s">
        <v>303</v>
      </c>
      <c r="E40" s="16" t="s">
        <v>304</v>
      </c>
    </row>
    <row r="41" spans="1:5" x14ac:dyDescent="0.25">
      <c r="A41" s="25" t="s">
        <v>266</v>
      </c>
      <c r="B41" s="4" t="s">
        <v>138</v>
      </c>
      <c r="C41" s="4" t="s">
        <v>150</v>
      </c>
      <c r="D41" s="4" t="s">
        <v>305</v>
      </c>
      <c r="E41" s="16" t="s">
        <v>306</v>
      </c>
    </row>
    <row r="42" spans="1:5" x14ac:dyDescent="0.25">
      <c r="A42" s="25" t="s">
        <v>276</v>
      </c>
      <c r="B42" s="4" t="s">
        <v>138</v>
      </c>
      <c r="C42" s="4" t="s">
        <v>141</v>
      </c>
      <c r="D42" s="4" t="s">
        <v>307</v>
      </c>
      <c r="E42" s="16" t="s">
        <v>308</v>
      </c>
    </row>
    <row r="43" spans="1:5" x14ac:dyDescent="0.25">
      <c r="A43" s="25" t="s">
        <v>272</v>
      </c>
      <c r="B43" s="4" t="s">
        <v>138</v>
      </c>
      <c r="C43" s="4" t="s">
        <v>150</v>
      </c>
      <c r="D43" s="4" t="s">
        <v>309</v>
      </c>
      <c r="E43" s="16" t="s">
        <v>310</v>
      </c>
    </row>
    <row r="45" spans="1:5" ht="14.4" x14ac:dyDescent="0.3">
      <c r="A45" s="26"/>
      <c r="B45" s="27" t="s">
        <v>159</v>
      </c>
    </row>
    <row r="46" spans="1:5" ht="13.8" x14ac:dyDescent="0.25">
      <c r="A46" s="29" t="s">
        <v>129</v>
      </c>
      <c r="B46" s="29" t="s">
        <v>130</v>
      </c>
      <c r="C46" s="29" t="s">
        <v>131</v>
      </c>
      <c r="D46" s="29" t="s">
        <v>132</v>
      </c>
      <c r="E46" s="29" t="s">
        <v>133</v>
      </c>
    </row>
    <row r="47" spans="1:5" x14ac:dyDescent="0.25">
      <c r="A47" s="25" t="s">
        <v>282</v>
      </c>
      <c r="B47" s="4" t="s">
        <v>160</v>
      </c>
      <c r="C47" s="4" t="s">
        <v>300</v>
      </c>
      <c r="D47" s="4" t="s">
        <v>301</v>
      </c>
      <c r="E47" s="16" t="s">
        <v>311</v>
      </c>
    </row>
    <row r="48" spans="1:5" x14ac:dyDescent="0.25">
      <c r="A48" s="25" t="s">
        <v>288</v>
      </c>
      <c r="B48" s="4" t="s">
        <v>251</v>
      </c>
      <c r="C48" s="4" t="s">
        <v>300</v>
      </c>
      <c r="D48" s="4" t="s">
        <v>303</v>
      </c>
      <c r="E48" s="16" t="s">
        <v>312</v>
      </c>
    </row>
  </sheetData>
  <mergeCells count="17"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8:R8"/>
    <mergeCell ref="A12:R12"/>
    <mergeCell ref="A15:R15"/>
    <mergeCell ref="S3:S4"/>
    <mergeCell ref="T3:T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workbookViewId="0">
      <selection activeCell="L10" sqref="L10"/>
    </sheetView>
  </sheetViews>
  <sheetFormatPr defaultColWidth="9.109375" defaultRowHeight="13.2" x14ac:dyDescent="0.25"/>
  <cols>
    <col min="1" max="1" width="26" style="4" bestFit="1" customWidth="1"/>
    <col min="2" max="2" width="29.6640625" style="4" bestFit="1" customWidth="1"/>
    <col min="3" max="3" width="15.5546875" style="4" bestFit="1" customWidth="1"/>
    <col min="4" max="4" width="8.44140625" style="4" bestFit="1" customWidth="1"/>
    <col min="5" max="5" width="22.6640625" style="4" bestFit="1" customWidth="1"/>
    <col min="6" max="6" width="29.109375" style="4" bestFit="1" customWidth="1"/>
    <col min="7" max="9" width="5.5546875" style="3" customWidth="1"/>
    <col min="10" max="10" width="4.88671875" style="3" customWidth="1"/>
    <col min="11" max="13" width="5.5546875" style="3" customWidth="1"/>
    <col min="14" max="14" width="4.88671875" style="3" customWidth="1"/>
    <col min="15" max="17" width="5.5546875" style="3" customWidth="1"/>
    <col min="18" max="18" width="4.88671875" style="3" customWidth="1"/>
    <col min="19" max="19" width="7.88671875" style="16" bestFit="1" customWidth="1"/>
    <col min="20" max="20" width="8.5546875" style="2" bestFit="1" customWidth="1"/>
    <col min="21" max="21" width="28.88671875" style="4" bestFit="1" customWidth="1"/>
    <col min="22" max="16384" width="9.109375" style="3"/>
  </cols>
  <sheetData>
    <row r="1" spans="1:21" s="2" customFormat="1" ht="29.1" customHeight="1" x14ac:dyDescent="0.25">
      <c r="A1" s="39" t="s">
        <v>1369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s="2" customFormat="1" ht="62.1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s="1" customFormat="1" ht="12.75" customHeight="1" x14ac:dyDescent="0.25">
      <c r="A3" s="45" t="s">
        <v>0</v>
      </c>
      <c r="B3" s="47" t="s">
        <v>6</v>
      </c>
      <c r="C3" s="47" t="s">
        <v>10</v>
      </c>
      <c r="D3" s="37" t="s">
        <v>11</v>
      </c>
      <c r="E3" s="37" t="s">
        <v>4</v>
      </c>
      <c r="F3" s="37" t="s">
        <v>7</v>
      </c>
      <c r="G3" s="37" t="s">
        <v>12</v>
      </c>
      <c r="H3" s="37"/>
      <c r="I3" s="37"/>
      <c r="J3" s="37"/>
      <c r="K3" s="37" t="s">
        <v>13</v>
      </c>
      <c r="L3" s="37"/>
      <c r="M3" s="37"/>
      <c r="N3" s="37"/>
      <c r="O3" s="37" t="s">
        <v>14</v>
      </c>
      <c r="P3" s="37"/>
      <c r="Q3" s="37"/>
      <c r="R3" s="37"/>
      <c r="S3" s="37" t="s">
        <v>1</v>
      </c>
      <c r="T3" s="37" t="s">
        <v>3</v>
      </c>
      <c r="U3" s="48" t="s">
        <v>2</v>
      </c>
    </row>
    <row r="4" spans="1:21" s="1" customFormat="1" ht="21" customHeight="1" thickBot="1" x14ac:dyDescent="0.3">
      <c r="A4" s="46"/>
      <c r="B4" s="38"/>
      <c r="C4" s="38"/>
      <c r="D4" s="38"/>
      <c r="E4" s="38"/>
      <c r="F4" s="38"/>
      <c r="G4" s="5">
        <v>1</v>
      </c>
      <c r="H4" s="5">
        <v>2</v>
      </c>
      <c r="I4" s="5">
        <v>3</v>
      </c>
      <c r="J4" s="5" t="s">
        <v>5</v>
      </c>
      <c r="K4" s="5">
        <v>1</v>
      </c>
      <c r="L4" s="5">
        <v>2</v>
      </c>
      <c r="M4" s="5">
        <v>3</v>
      </c>
      <c r="N4" s="5" t="s">
        <v>5</v>
      </c>
      <c r="O4" s="5">
        <v>1</v>
      </c>
      <c r="P4" s="5">
        <v>2</v>
      </c>
      <c r="Q4" s="5">
        <v>3</v>
      </c>
      <c r="R4" s="5" t="s">
        <v>5</v>
      </c>
      <c r="S4" s="38"/>
      <c r="T4" s="38"/>
      <c r="U4" s="49"/>
    </row>
    <row r="5" spans="1:21" ht="15.6" x14ac:dyDescent="0.3">
      <c r="A5" s="34" t="s">
        <v>313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21" x14ac:dyDescent="0.25">
      <c r="A6" s="28" t="s">
        <v>315</v>
      </c>
      <c r="B6" s="28" t="s">
        <v>316</v>
      </c>
      <c r="C6" s="28" t="s">
        <v>317</v>
      </c>
      <c r="D6" s="28" t="str">
        <f>"1,3594"</f>
        <v>1,3594</v>
      </c>
      <c r="E6" s="28" t="s">
        <v>20</v>
      </c>
      <c r="F6" s="28" t="s">
        <v>46</v>
      </c>
      <c r="G6" s="30" t="s">
        <v>318</v>
      </c>
      <c r="H6" s="30" t="s">
        <v>319</v>
      </c>
      <c r="I6" s="31" t="s">
        <v>320</v>
      </c>
      <c r="J6" s="31"/>
      <c r="K6" s="30" t="s">
        <v>321</v>
      </c>
      <c r="L6" s="30" t="s">
        <v>322</v>
      </c>
      <c r="M6" s="31" t="s">
        <v>323</v>
      </c>
      <c r="N6" s="31"/>
      <c r="O6" s="30" t="s">
        <v>170</v>
      </c>
      <c r="P6" s="31" t="s">
        <v>324</v>
      </c>
      <c r="Q6" s="31" t="s">
        <v>324</v>
      </c>
      <c r="R6" s="31"/>
      <c r="S6" s="32" t="str">
        <f>"237,5"</f>
        <v>237,5</v>
      </c>
      <c r="T6" s="33" t="str">
        <f>"322,8575"</f>
        <v>322,8575</v>
      </c>
      <c r="U6" s="28" t="s">
        <v>220</v>
      </c>
    </row>
    <row r="8" spans="1:21" ht="15.6" x14ac:dyDescent="0.3">
      <c r="A8" s="36" t="s">
        <v>325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1" x14ac:dyDescent="0.25">
      <c r="A9" s="6" t="s">
        <v>327</v>
      </c>
      <c r="B9" s="6" t="s">
        <v>328</v>
      </c>
      <c r="C9" s="6" t="s">
        <v>329</v>
      </c>
      <c r="D9" s="6" t="str">
        <f>"1,2597"</f>
        <v>1,2597</v>
      </c>
      <c r="E9" s="6" t="s">
        <v>20</v>
      </c>
      <c r="F9" s="6" t="s">
        <v>46</v>
      </c>
      <c r="G9" s="7" t="s">
        <v>168</v>
      </c>
      <c r="H9" s="7" t="s">
        <v>206</v>
      </c>
      <c r="I9" s="7" t="s">
        <v>169</v>
      </c>
      <c r="J9" s="8"/>
      <c r="K9" s="7" t="s">
        <v>330</v>
      </c>
      <c r="L9" s="7" t="s">
        <v>331</v>
      </c>
      <c r="M9" s="7" t="s">
        <v>332</v>
      </c>
      <c r="N9" s="8"/>
      <c r="O9" s="7" t="s">
        <v>180</v>
      </c>
      <c r="P9" s="7" t="s">
        <v>177</v>
      </c>
      <c r="Q9" s="8" t="s">
        <v>178</v>
      </c>
      <c r="R9" s="8"/>
      <c r="S9" s="17" t="str">
        <f>"290,0"</f>
        <v>290,0</v>
      </c>
      <c r="T9" s="18" t="str">
        <f>"365,3130"</f>
        <v>365,3130</v>
      </c>
      <c r="U9" s="6" t="s">
        <v>333</v>
      </c>
    </row>
    <row r="10" spans="1:21" x14ac:dyDescent="0.25">
      <c r="A10" s="9" t="s">
        <v>335</v>
      </c>
      <c r="B10" s="9" t="s">
        <v>336</v>
      </c>
      <c r="C10" s="9" t="s">
        <v>337</v>
      </c>
      <c r="D10" s="9" t="str">
        <f>"1,2654"</f>
        <v>1,2654</v>
      </c>
      <c r="E10" s="9" t="s">
        <v>20</v>
      </c>
      <c r="F10" s="9" t="s">
        <v>46</v>
      </c>
      <c r="G10" s="10" t="s">
        <v>320</v>
      </c>
      <c r="H10" s="10" t="s">
        <v>338</v>
      </c>
      <c r="I10" s="11" t="s">
        <v>168</v>
      </c>
      <c r="J10" s="11"/>
      <c r="K10" s="10" t="s">
        <v>323</v>
      </c>
      <c r="L10" s="10" t="s">
        <v>339</v>
      </c>
      <c r="M10" s="11" t="s">
        <v>340</v>
      </c>
      <c r="N10" s="11"/>
      <c r="O10" s="10" t="s">
        <v>180</v>
      </c>
      <c r="P10" s="10" t="s">
        <v>82</v>
      </c>
      <c r="Q10" s="11" t="s">
        <v>83</v>
      </c>
      <c r="R10" s="11"/>
      <c r="S10" s="19" t="str">
        <f>"262,5"</f>
        <v>262,5</v>
      </c>
      <c r="T10" s="20" t="str">
        <f>"332,1675"</f>
        <v>332,1675</v>
      </c>
      <c r="U10" s="9" t="s">
        <v>341</v>
      </c>
    </row>
    <row r="12" spans="1:21" ht="15.6" x14ac:dyDescent="0.3">
      <c r="A12" s="36" t="s">
        <v>258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21" x14ac:dyDescent="0.25">
      <c r="A13" s="6" t="s">
        <v>343</v>
      </c>
      <c r="B13" s="6" t="s">
        <v>344</v>
      </c>
      <c r="C13" s="6" t="s">
        <v>345</v>
      </c>
      <c r="D13" s="6" t="str">
        <f>"1,1463"</f>
        <v>1,1463</v>
      </c>
      <c r="E13" s="6" t="s">
        <v>20</v>
      </c>
      <c r="F13" s="6" t="s">
        <v>46</v>
      </c>
      <c r="G13" s="7" t="s">
        <v>169</v>
      </c>
      <c r="H13" s="7" t="s">
        <v>170</v>
      </c>
      <c r="I13" s="8" t="s">
        <v>177</v>
      </c>
      <c r="J13" s="8"/>
      <c r="K13" s="7" t="s">
        <v>322</v>
      </c>
      <c r="L13" s="7" t="s">
        <v>339</v>
      </c>
      <c r="M13" s="8" t="s">
        <v>346</v>
      </c>
      <c r="N13" s="8"/>
      <c r="O13" s="7" t="s">
        <v>170</v>
      </c>
      <c r="P13" s="7" t="s">
        <v>177</v>
      </c>
      <c r="Q13" s="7" t="s">
        <v>179</v>
      </c>
      <c r="R13" s="8"/>
      <c r="S13" s="17" t="str">
        <f>"290,0"</f>
        <v>290,0</v>
      </c>
      <c r="T13" s="18" t="str">
        <f>"332,4270"</f>
        <v>332,4270</v>
      </c>
      <c r="U13" s="6" t="s">
        <v>347</v>
      </c>
    </row>
    <row r="14" spans="1:21" x14ac:dyDescent="0.25">
      <c r="A14" s="9" t="s">
        <v>349</v>
      </c>
      <c r="B14" s="9" t="s">
        <v>350</v>
      </c>
      <c r="C14" s="9" t="s">
        <v>351</v>
      </c>
      <c r="D14" s="9" t="str">
        <f>"1,1266"</f>
        <v>1,1266</v>
      </c>
      <c r="E14" s="9" t="s">
        <v>20</v>
      </c>
      <c r="F14" s="9" t="s">
        <v>46</v>
      </c>
      <c r="G14" s="10" t="s">
        <v>332</v>
      </c>
      <c r="H14" s="11" t="s">
        <v>352</v>
      </c>
      <c r="I14" s="11" t="s">
        <v>352</v>
      </c>
      <c r="J14" s="11"/>
      <c r="K14" s="10" t="s">
        <v>353</v>
      </c>
      <c r="L14" s="11" t="s">
        <v>354</v>
      </c>
      <c r="M14" s="11" t="s">
        <v>354</v>
      </c>
      <c r="N14" s="11"/>
      <c r="O14" s="11" t="s">
        <v>320</v>
      </c>
      <c r="P14" s="10" t="s">
        <v>320</v>
      </c>
      <c r="Q14" s="10" t="s">
        <v>206</v>
      </c>
      <c r="R14" s="11"/>
      <c r="S14" s="19" t="str">
        <f>"202,5"</f>
        <v>202,5</v>
      </c>
      <c r="T14" s="20" t="str">
        <f>"228,1365"</f>
        <v>228,1365</v>
      </c>
      <c r="U14" s="9" t="s">
        <v>355</v>
      </c>
    </row>
    <row r="16" spans="1:21" ht="15.6" x14ac:dyDescent="0.3">
      <c r="A16" s="36" t="s">
        <v>356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21" x14ac:dyDescent="0.25">
      <c r="A17" s="6" t="s">
        <v>358</v>
      </c>
      <c r="B17" s="6" t="s">
        <v>359</v>
      </c>
      <c r="C17" s="6" t="s">
        <v>360</v>
      </c>
      <c r="D17" s="6" t="str">
        <f>"1,0792"</f>
        <v>1,0792</v>
      </c>
      <c r="E17" s="6" t="s">
        <v>20</v>
      </c>
      <c r="F17" s="6" t="s">
        <v>46</v>
      </c>
      <c r="G17" s="8" t="s">
        <v>346</v>
      </c>
      <c r="H17" s="7" t="s">
        <v>346</v>
      </c>
      <c r="I17" s="7" t="s">
        <v>332</v>
      </c>
      <c r="J17" s="8"/>
      <c r="K17" s="8" t="s">
        <v>361</v>
      </c>
      <c r="L17" s="7" t="s">
        <v>361</v>
      </c>
      <c r="M17" s="8" t="s">
        <v>354</v>
      </c>
      <c r="N17" s="8"/>
      <c r="O17" s="7" t="s">
        <v>332</v>
      </c>
      <c r="P17" s="7" t="s">
        <v>263</v>
      </c>
      <c r="Q17" s="8" t="s">
        <v>338</v>
      </c>
      <c r="R17" s="8"/>
      <c r="S17" s="17" t="str">
        <f>"172,5"</f>
        <v>172,5</v>
      </c>
      <c r="T17" s="18" t="str">
        <f>"186,1620"</f>
        <v>186,1620</v>
      </c>
      <c r="U17" s="6" t="s">
        <v>362</v>
      </c>
    </row>
    <row r="18" spans="1:21" x14ac:dyDescent="0.25">
      <c r="A18" s="12" t="s">
        <v>364</v>
      </c>
      <c r="B18" s="12" t="s">
        <v>365</v>
      </c>
      <c r="C18" s="12" t="s">
        <v>366</v>
      </c>
      <c r="D18" s="12" t="str">
        <f>"1,0831"</f>
        <v>1,0831</v>
      </c>
      <c r="E18" s="12" t="s">
        <v>20</v>
      </c>
      <c r="F18" s="12" t="s">
        <v>35</v>
      </c>
      <c r="G18" s="13" t="s">
        <v>169</v>
      </c>
      <c r="H18" s="14" t="s">
        <v>180</v>
      </c>
      <c r="I18" s="13" t="s">
        <v>180</v>
      </c>
      <c r="J18" s="14"/>
      <c r="K18" s="13" t="s">
        <v>330</v>
      </c>
      <c r="L18" s="13" t="s">
        <v>332</v>
      </c>
      <c r="M18" s="14" t="s">
        <v>367</v>
      </c>
      <c r="N18" s="14"/>
      <c r="O18" s="13" t="s">
        <v>170</v>
      </c>
      <c r="P18" s="13" t="s">
        <v>177</v>
      </c>
      <c r="Q18" s="14" t="s">
        <v>178</v>
      </c>
      <c r="R18" s="14"/>
      <c r="S18" s="21" t="str">
        <f>"300,0"</f>
        <v>300,0</v>
      </c>
      <c r="T18" s="22" t="str">
        <f>"324,9300"</f>
        <v>324,9300</v>
      </c>
      <c r="U18" s="12" t="s">
        <v>40</v>
      </c>
    </row>
    <row r="19" spans="1:21" x14ac:dyDescent="0.25">
      <c r="A19" s="9" t="s">
        <v>369</v>
      </c>
      <c r="B19" s="9" t="s">
        <v>370</v>
      </c>
      <c r="C19" s="9" t="s">
        <v>371</v>
      </c>
      <c r="D19" s="9" t="str">
        <f>"1,0994"</f>
        <v>1,0994</v>
      </c>
      <c r="E19" s="9" t="s">
        <v>20</v>
      </c>
      <c r="F19" s="9" t="s">
        <v>46</v>
      </c>
      <c r="G19" s="11" t="s">
        <v>339</v>
      </c>
      <c r="H19" s="11" t="s">
        <v>339</v>
      </c>
      <c r="I19" s="10" t="s">
        <v>339</v>
      </c>
      <c r="J19" s="11"/>
      <c r="K19" s="10" t="s">
        <v>354</v>
      </c>
      <c r="L19" s="11" t="s">
        <v>322</v>
      </c>
      <c r="M19" s="11" t="s">
        <v>322</v>
      </c>
      <c r="N19" s="11"/>
      <c r="O19" s="10" t="s">
        <v>318</v>
      </c>
      <c r="P19" s="10" t="s">
        <v>168</v>
      </c>
      <c r="Q19" s="11" t="s">
        <v>170</v>
      </c>
      <c r="R19" s="11"/>
      <c r="S19" s="19" t="str">
        <f>"185,0"</f>
        <v>185,0</v>
      </c>
      <c r="T19" s="20" t="str">
        <f>"203,3890"</f>
        <v>203,3890</v>
      </c>
      <c r="U19" s="9" t="s">
        <v>362</v>
      </c>
    </row>
    <row r="21" spans="1:21" ht="15.6" x14ac:dyDescent="0.3">
      <c r="A21" s="36" t="s">
        <v>172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</row>
    <row r="22" spans="1:21" x14ac:dyDescent="0.25">
      <c r="A22" s="28" t="s">
        <v>373</v>
      </c>
      <c r="B22" s="28" t="s">
        <v>374</v>
      </c>
      <c r="C22" s="28" t="s">
        <v>375</v>
      </c>
      <c r="D22" s="28" t="str">
        <f>"0,9698"</f>
        <v>0,9698</v>
      </c>
      <c r="E22" s="28" t="s">
        <v>20</v>
      </c>
      <c r="F22" s="28" t="s">
        <v>376</v>
      </c>
      <c r="G22" s="30" t="s">
        <v>169</v>
      </c>
      <c r="H22" s="30" t="s">
        <v>180</v>
      </c>
      <c r="I22" s="31" t="s">
        <v>82</v>
      </c>
      <c r="J22" s="31"/>
      <c r="K22" s="30" t="s">
        <v>377</v>
      </c>
      <c r="L22" s="31" t="s">
        <v>330</v>
      </c>
      <c r="M22" s="31" t="s">
        <v>330</v>
      </c>
      <c r="N22" s="31"/>
      <c r="O22" s="30" t="s">
        <v>206</v>
      </c>
      <c r="P22" s="30" t="s">
        <v>169</v>
      </c>
      <c r="Q22" s="30" t="s">
        <v>170</v>
      </c>
      <c r="R22" s="31"/>
      <c r="S22" s="32" t="str">
        <f>"282,5"</f>
        <v>282,5</v>
      </c>
      <c r="T22" s="33" t="str">
        <f>"273,9685"</f>
        <v>273,9685</v>
      </c>
      <c r="U22" s="28" t="s">
        <v>378</v>
      </c>
    </row>
    <row r="24" spans="1:21" ht="15.6" x14ac:dyDescent="0.3">
      <c r="A24" s="36" t="s">
        <v>356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21" x14ac:dyDescent="0.25">
      <c r="A25" s="28" t="s">
        <v>379</v>
      </c>
      <c r="B25" s="28" t="s">
        <v>380</v>
      </c>
      <c r="C25" s="28" t="s">
        <v>381</v>
      </c>
      <c r="D25" s="28" t="str">
        <f>"0,7852"</f>
        <v>0,7852</v>
      </c>
      <c r="E25" s="28" t="s">
        <v>20</v>
      </c>
      <c r="F25" s="28" t="s">
        <v>382</v>
      </c>
      <c r="G25" s="31" t="s">
        <v>206</v>
      </c>
      <c r="H25" s="31" t="s">
        <v>206</v>
      </c>
      <c r="I25" s="31" t="s">
        <v>206</v>
      </c>
      <c r="J25" s="31"/>
      <c r="K25" s="31" t="s">
        <v>383</v>
      </c>
      <c r="L25" s="31"/>
      <c r="M25" s="31"/>
      <c r="N25" s="31"/>
      <c r="O25" s="31" t="s">
        <v>177</v>
      </c>
      <c r="P25" s="31"/>
      <c r="Q25" s="31"/>
      <c r="R25" s="31"/>
      <c r="S25" s="32" t="str">
        <f>"0.00"</f>
        <v>0.00</v>
      </c>
      <c r="T25" s="33" t="str">
        <f>"0,0000"</f>
        <v>0,0000</v>
      </c>
      <c r="U25" s="28" t="s">
        <v>362</v>
      </c>
    </row>
    <row r="27" spans="1:21" ht="15.6" x14ac:dyDescent="0.3">
      <c r="A27" s="36" t="s">
        <v>172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21" x14ac:dyDescent="0.25">
      <c r="A28" s="28" t="s">
        <v>385</v>
      </c>
      <c r="B28" s="28" t="s">
        <v>386</v>
      </c>
      <c r="C28" s="28" t="s">
        <v>387</v>
      </c>
      <c r="D28" s="28" t="str">
        <f>"0,7375"</f>
        <v>0,7375</v>
      </c>
      <c r="E28" s="28" t="s">
        <v>20</v>
      </c>
      <c r="F28" s="28" t="s">
        <v>79</v>
      </c>
      <c r="G28" s="30" t="s">
        <v>180</v>
      </c>
      <c r="H28" s="30" t="s">
        <v>82</v>
      </c>
      <c r="I28" s="30" t="s">
        <v>179</v>
      </c>
      <c r="J28" s="31"/>
      <c r="K28" s="30" t="s">
        <v>318</v>
      </c>
      <c r="L28" s="30" t="s">
        <v>388</v>
      </c>
      <c r="M28" s="30" t="s">
        <v>338</v>
      </c>
      <c r="N28" s="31"/>
      <c r="O28" s="30" t="s">
        <v>179</v>
      </c>
      <c r="P28" s="30" t="s">
        <v>37</v>
      </c>
      <c r="Q28" s="31" t="s">
        <v>38</v>
      </c>
      <c r="R28" s="31"/>
      <c r="S28" s="32" t="str">
        <f>"360,0"</f>
        <v>360,0</v>
      </c>
      <c r="T28" s="33" t="str">
        <f>"265,5000"</f>
        <v>265,5000</v>
      </c>
      <c r="U28" s="28" t="s">
        <v>389</v>
      </c>
    </row>
    <row r="30" spans="1:21" ht="15.6" x14ac:dyDescent="0.3">
      <c r="A30" s="36" t="s">
        <v>163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21" x14ac:dyDescent="0.25">
      <c r="A31" s="6" t="s">
        <v>391</v>
      </c>
      <c r="B31" s="6" t="s">
        <v>392</v>
      </c>
      <c r="C31" s="6" t="s">
        <v>393</v>
      </c>
      <c r="D31" s="6" t="str">
        <f>"0,6888"</f>
        <v>0,6888</v>
      </c>
      <c r="E31" s="6" t="s">
        <v>20</v>
      </c>
      <c r="F31" s="6" t="s">
        <v>46</v>
      </c>
      <c r="G31" s="7" t="s">
        <v>178</v>
      </c>
      <c r="H31" s="7" t="s">
        <v>37</v>
      </c>
      <c r="I31" s="7" t="s">
        <v>38</v>
      </c>
      <c r="J31" s="8"/>
      <c r="K31" s="7" t="s">
        <v>338</v>
      </c>
      <c r="L31" s="7" t="s">
        <v>394</v>
      </c>
      <c r="M31" s="8" t="s">
        <v>395</v>
      </c>
      <c r="N31" s="8"/>
      <c r="O31" s="7" t="s">
        <v>48</v>
      </c>
      <c r="P31" s="8" t="s">
        <v>50</v>
      </c>
      <c r="Q31" s="8"/>
      <c r="R31" s="8"/>
      <c r="S31" s="17" t="str">
        <f>"427,5"</f>
        <v>427,5</v>
      </c>
      <c r="T31" s="18" t="str">
        <f>"294,4620"</f>
        <v>294,4620</v>
      </c>
      <c r="U31" s="6" t="s">
        <v>396</v>
      </c>
    </row>
    <row r="32" spans="1:21" x14ac:dyDescent="0.25">
      <c r="A32" s="12" t="s">
        <v>391</v>
      </c>
      <c r="B32" s="12" t="s">
        <v>397</v>
      </c>
      <c r="C32" s="12" t="s">
        <v>393</v>
      </c>
      <c r="D32" s="12" t="str">
        <f>"0,6888"</f>
        <v>0,6888</v>
      </c>
      <c r="E32" s="12" t="s">
        <v>20</v>
      </c>
      <c r="F32" s="12" t="s">
        <v>46</v>
      </c>
      <c r="G32" s="13" t="s">
        <v>178</v>
      </c>
      <c r="H32" s="13" t="s">
        <v>37</v>
      </c>
      <c r="I32" s="13" t="s">
        <v>38</v>
      </c>
      <c r="J32" s="14"/>
      <c r="K32" s="13" t="s">
        <v>338</v>
      </c>
      <c r="L32" s="13" t="s">
        <v>394</v>
      </c>
      <c r="M32" s="14" t="s">
        <v>395</v>
      </c>
      <c r="N32" s="14"/>
      <c r="O32" s="13" t="s">
        <v>48</v>
      </c>
      <c r="P32" s="14" t="s">
        <v>50</v>
      </c>
      <c r="Q32" s="14"/>
      <c r="R32" s="14"/>
      <c r="S32" s="21" t="str">
        <f>"427,5"</f>
        <v>427,5</v>
      </c>
      <c r="T32" s="22" t="str">
        <f>"294,4620"</f>
        <v>294,4620</v>
      </c>
      <c r="U32" s="12" t="s">
        <v>396</v>
      </c>
    </row>
    <row r="33" spans="1:21" x14ac:dyDescent="0.25">
      <c r="A33" s="12" t="s">
        <v>399</v>
      </c>
      <c r="B33" s="12" t="s">
        <v>400</v>
      </c>
      <c r="C33" s="12" t="s">
        <v>401</v>
      </c>
      <c r="D33" s="12" t="str">
        <f>"0,6774"</f>
        <v>0,6774</v>
      </c>
      <c r="E33" s="12" t="s">
        <v>20</v>
      </c>
      <c r="F33" s="12" t="s">
        <v>46</v>
      </c>
      <c r="G33" s="13" t="s">
        <v>177</v>
      </c>
      <c r="H33" s="13" t="s">
        <v>179</v>
      </c>
      <c r="I33" s="14" t="s">
        <v>187</v>
      </c>
      <c r="J33" s="14"/>
      <c r="K33" s="13" t="s">
        <v>402</v>
      </c>
      <c r="L33" s="13" t="s">
        <v>179</v>
      </c>
      <c r="M33" s="14" t="s">
        <v>403</v>
      </c>
      <c r="N33" s="14"/>
      <c r="O33" s="13" t="s">
        <v>64</v>
      </c>
      <c r="P33" s="14" t="s">
        <v>404</v>
      </c>
      <c r="Q33" s="14" t="s">
        <v>405</v>
      </c>
      <c r="R33" s="14"/>
      <c r="S33" s="21" t="str">
        <f>"432,5"</f>
        <v>432,5</v>
      </c>
      <c r="T33" s="22" t="str">
        <f>"336,0429"</f>
        <v>336,0429</v>
      </c>
      <c r="U33" s="12" t="s">
        <v>406</v>
      </c>
    </row>
    <row r="34" spans="1:21" x14ac:dyDescent="0.25">
      <c r="A34" s="9" t="s">
        <v>408</v>
      </c>
      <c r="B34" s="9" t="s">
        <v>409</v>
      </c>
      <c r="C34" s="9" t="s">
        <v>410</v>
      </c>
      <c r="D34" s="9" t="str">
        <f>"0,6827"</f>
        <v>0,6827</v>
      </c>
      <c r="E34" s="9" t="s">
        <v>20</v>
      </c>
      <c r="F34" s="9" t="s">
        <v>35</v>
      </c>
      <c r="G34" s="10" t="s">
        <v>319</v>
      </c>
      <c r="H34" s="11" t="s">
        <v>37</v>
      </c>
      <c r="I34" s="10" t="s">
        <v>37</v>
      </c>
      <c r="J34" s="11"/>
      <c r="K34" s="10" t="s">
        <v>187</v>
      </c>
      <c r="L34" s="10" t="s">
        <v>37</v>
      </c>
      <c r="M34" s="10" t="s">
        <v>411</v>
      </c>
      <c r="N34" s="11"/>
      <c r="O34" s="10" t="s">
        <v>48</v>
      </c>
      <c r="P34" s="10" t="s">
        <v>50</v>
      </c>
      <c r="Q34" s="11" t="s">
        <v>22</v>
      </c>
      <c r="R34" s="11"/>
      <c r="S34" s="19" t="str">
        <f>"472,5"</f>
        <v>472,5</v>
      </c>
      <c r="T34" s="20" t="str">
        <f>"401,9294"</f>
        <v>401,9294</v>
      </c>
      <c r="U34" s="9" t="s">
        <v>412</v>
      </c>
    </row>
    <row r="36" spans="1:21" ht="15.6" x14ac:dyDescent="0.3">
      <c r="A36" s="36" t="s">
        <v>15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21" x14ac:dyDescent="0.25">
      <c r="A37" s="6" t="s">
        <v>414</v>
      </c>
      <c r="B37" s="6" t="s">
        <v>415</v>
      </c>
      <c r="C37" s="6" t="s">
        <v>416</v>
      </c>
      <c r="D37" s="6" t="str">
        <f>"0,6436"</f>
        <v>0,6436</v>
      </c>
      <c r="E37" s="6" t="s">
        <v>20</v>
      </c>
      <c r="F37" s="6" t="s">
        <v>46</v>
      </c>
      <c r="G37" s="7" t="s">
        <v>22</v>
      </c>
      <c r="H37" s="7" t="s">
        <v>80</v>
      </c>
      <c r="I37" s="7" t="s">
        <v>72</v>
      </c>
      <c r="J37" s="8"/>
      <c r="K37" s="7" t="s">
        <v>25</v>
      </c>
      <c r="L37" s="7" t="s">
        <v>38</v>
      </c>
      <c r="M37" s="8" t="s">
        <v>26</v>
      </c>
      <c r="N37" s="8"/>
      <c r="O37" s="7" t="s">
        <v>90</v>
      </c>
      <c r="P37" s="7" t="s">
        <v>60</v>
      </c>
      <c r="Q37" s="8"/>
      <c r="R37" s="8"/>
      <c r="S37" s="17" t="str">
        <f>"635,0"</f>
        <v>635,0</v>
      </c>
      <c r="T37" s="18" t="str">
        <f>"408,6860"</f>
        <v>408,6860</v>
      </c>
      <c r="U37" s="6" t="s">
        <v>120</v>
      </c>
    </row>
    <row r="38" spans="1:21" x14ac:dyDescent="0.25">
      <c r="A38" s="12" t="s">
        <v>418</v>
      </c>
      <c r="B38" s="12" t="s">
        <v>419</v>
      </c>
      <c r="C38" s="12" t="s">
        <v>184</v>
      </c>
      <c r="D38" s="12" t="str">
        <f>"0,6428"</f>
        <v>0,6428</v>
      </c>
      <c r="E38" s="12" t="s">
        <v>20</v>
      </c>
      <c r="F38" s="12" t="s">
        <v>46</v>
      </c>
      <c r="G38" s="14" t="s">
        <v>23</v>
      </c>
      <c r="H38" s="13" t="s">
        <v>23</v>
      </c>
      <c r="I38" s="14" t="s">
        <v>72</v>
      </c>
      <c r="J38" s="14"/>
      <c r="K38" s="13" t="s">
        <v>37</v>
      </c>
      <c r="L38" s="13" t="s">
        <v>38</v>
      </c>
      <c r="M38" s="14" t="s">
        <v>26</v>
      </c>
      <c r="N38" s="14"/>
      <c r="O38" s="13" t="s">
        <v>23</v>
      </c>
      <c r="P38" s="13" t="s">
        <v>24</v>
      </c>
      <c r="Q38" s="14" t="s">
        <v>28</v>
      </c>
      <c r="R38" s="14"/>
      <c r="S38" s="21" t="str">
        <f>"600,0"</f>
        <v>600,0</v>
      </c>
      <c r="T38" s="22" t="str">
        <f>"385,6800"</f>
        <v>385,6800</v>
      </c>
      <c r="U38" s="12" t="s">
        <v>420</v>
      </c>
    </row>
    <row r="39" spans="1:21" x14ac:dyDescent="0.25">
      <c r="A39" s="9" t="s">
        <v>422</v>
      </c>
      <c r="B39" s="9" t="s">
        <v>423</v>
      </c>
      <c r="C39" s="9" t="s">
        <v>424</v>
      </c>
      <c r="D39" s="9" t="str">
        <f>"0,6471"</f>
        <v>0,6471</v>
      </c>
      <c r="E39" s="9" t="s">
        <v>20</v>
      </c>
      <c r="F39" s="9" t="s">
        <v>292</v>
      </c>
      <c r="G39" s="11" t="s">
        <v>178</v>
      </c>
      <c r="H39" s="10" t="s">
        <v>179</v>
      </c>
      <c r="I39" s="10" t="s">
        <v>25</v>
      </c>
      <c r="J39" s="11"/>
      <c r="K39" s="10" t="s">
        <v>338</v>
      </c>
      <c r="L39" s="10" t="s">
        <v>394</v>
      </c>
      <c r="M39" s="10" t="s">
        <v>169</v>
      </c>
      <c r="N39" s="11"/>
      <c r="O39" s="10" t="s">
        <v>25</v>
      </c>
      <c r="P39" s="10" t="s">
        <v>26</v>
      </c>
      <c r="Q39" s="10" t="s">
        <v>27</v>
      </c>
      <c r="R39" s="11"/>
      <c r="S39" s="19" t="str">
        <f>"415,0"</f>
        <v>415,0</v>
      </c>
      <c r="T39" s="20" t="str">
        <f>"268,5465"</f>
        <v>268,5465</v>
      </c>
      <c r="U39" s="9" t="s">
        <v>425</v>
      </c>
    </row>
    <row r="41" spans="1:21" ht="15.6" x14ac:dyDescent="0.3">
      <c r="A41" s="36" t="s">
        <v>41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21" x14ac:dyDescent="0.25">
      <c r="A42" s="6" t="s">
        <v>427</v>
      </c>
      <c r="B42" s="6" t="s">
        <v>428</v>
      </c>
      <c r="C42" s="6" t="s">
        <v>429</v>
      </c>
      <c r="D42" s="6" t="str">
        <f>"0,6172"</f>
        <v>0,6172</v>
      </c>
      <c r="E42" s="6" t="s">
        <v>20</v>
      </c>
      <c r="F42" s="6" t="s">
        <v>46</v>
      </c>
      <c r="G42" s="7" t="s">
        <v>338</v>
      </c>
      <c r="H42" s="7" t="s">
        <v>169</v>
      </c>
      <c r="I42" s="8" t="s">
        <v>180</v>
      </c>
      <c r="J42" s="8"/>
      <c r="K42" s="7" t="s">
        <v>377</v>
      </c>
      <c r="L42" s="8" t="s">
        <v>331</v>
      </c>
      <c r="M42" s="7" t="s">
        <v>331</v>
      </c>
      <c r="N42" s="8"/>
      <c r="O42" s="7" t="s">
        <v>179</v>
      </c>
      <c r="P42" s="7" t="s">
        <v>37</v>
      </c>
      <c r="Q42" s="8" t="s">
        <v>25</v>
      </c>
      <c r="R42" s="8"/>
      <c r="S42" s="17" t="str">
        <f>"307,5"</f>
        <v>307,5</v>
      </c>
      <c r="T42" s="18" t="str">
        <f>"189,7890"</f>
        <v>189,7890</v>
      </c>
      <c r="U42" s="6" t="s">
        <v>430</v>
      </c>
    </row>
    <row r="43" spans="1:21" x14ac:dyDescent="0.25">
      <c r="A43" s="12" t="s">
        <v>432</v>
      </c>
      <c r="B43" s="12" t="s">
        <v>433</v>
      </c>
      <c r="C43" s="12" t="s">
        <v>434</v>
      </c>
      <c r="D43" s="12" t="str">
        <f>"0,6301"</f>
        <v>0,6301</v>
      </c>
      <c r="E43" s="12" t="s">
        <v>20</v>
      </c>
      <c r="F43" s="12" t="s">
        <v>46</v>
      </c>
      <c r="G43" s="14" t="s">
        <v>186</v>
      </c>
      <c r="H43" s="13" t="s">
        <v>186</v>
      </c>
      <c r="I43" s="14" t="s">
        <v>71</v>
      </c>
      <c r="J43" s="14"/>
      <c r="K43" s="13" t="s">
        <v>38</v>
      </c>
      <c r="L43" s="13" t="s">
        <v>73</v>
      </c>
      <c r="M43" s="13" t="s">
        <v>62</v>
      </c>
      <c r="N43" s="14"/>
      <c r="O43" s="13" t="s">
        <v>24</v>
      </c>
      <c r="P43" s="13" t="s">
        <v>36</v>
      </c>
      <c r="Q43" s="13" t="s">
        <v>90</v>
      </c>
      <c r="R43" s="14"/>
      <c r="S43" s="21" t="str">
        <f>"615,0"</f>
        <v>615,0</v>
      </c>
      <c r="T43" s="22" t="str">
        <f>"387,5115"</f>
        <v>387,5115</v>
      </c>
      <c r="U43" s="12" t="s">
        <v>435</v>
      </c>
    </row>
    <row r="44" spans="1:21" x14ac:dyDescent="0.25">
      <c r="A44" s="12" t="s">
        <v>437</v>
      </c>
      <c r="B44" s="12" t="s">
        <v>438</v>
      </c>
      <c r="C44" s="12" t="s">
        <v>230</v>
      </c>
      <c r="D44" s="12" t="str">
        <f>"0,6276"</f>
        <v>0,6276</v>
      </c>
      <c r="E44" s="12" t="s">
        <v>20</v>
      </c>
      <c r="F44" s="12" t="s">
        <v>439</v>
      </c>
      <c r="G44" s="13" t="s">
        <v>22</v>
      </c>
      <c r="H44" s="13" t="s">
        <v>186</v>
      </c>
      <c r="I44" s="13" t="s">
        <v>71</v>
      </c>
      <c r="J44" s="14"/>
      <c r="K44" s="13" t="s">
        <v>38</v>
      </c>
      <c r="L44" s="13" t="s">
        <v>26</v>
      </c>
      <c r="M44" s="13" t="s">
        <v>73</v>
      </c>
      <c r="N44" s="14"/>
      <c r="O44" s="13" t="s">
        <v>24</v>
      </c>
      <c r="P44" s="13" t="s">
        <v>28</v>
      </c>
      <c r="Q44" s="13" t="s">
        <v>36</v>
      </c>
      <c r="R44" s="14"/>
      <c r="S44" s="21" t="str">
        <f>"612,5"</f>
        <v>612,5</v>
      </c>
      <c r="T44" s="22" t="str">
        <f>"384,4050"</f>
        <v>384,4050</v>
      </c>
      <c r="U44" s="12" t="s">
        <v>440</v>
      </c>
    </row>
    <row r="45" spans="1:21" x14ac:dyDescent="0.25">
      <c r="A45" s="9" t="s">
        <v>442</v>
      </c>
      <c r="B45" s="9" t="s">
        <v>443</v>
      </c>
      <c r="C45" s="9" t="s">
        <v>444</v>
      </c>
      <c r="D45" s="9" t="str">
        <f>"0,6235"</f>
        <v>0,6235</v>
      </c>
      <c r="E45" s="9" t="s">
        <v>20</v>
      </c>
      <c r="F45" s="9" t="s">
        <v>439</v>
      </c>
      <c r="G45" s="10" t="s">
        <v>48</v>
      </c>
      <c r="H45" s="10" t="s">
        <v>50</v>
      </c>
      <c r="I45" s="10" t="s">
        <v>22</v>
      </c>
      <c r="J45" s="11"/>
      <c r="K45" s="10" t="s">
        <v>62</v>
      </c>
      <c r="L45" s="10" t="s">
        <v>63</v>
      </c>
      <c r="M45" s="11" t="s">
        <v>48</v>
      </c>
      <c r="N45" s="11"/>
      <c r="O45" s="10" t="s">
        <v>50</v>
      </c>
      <c r="P45" s="10" t="s">
        <v>22</v>
      </c>
      <c r="Q45" s="10" t="s">
        <v>23</v>
      </c>
      <c r="R45" s="11"/>
      <c r="S45" s="19" t="str">
        <f>"590,0"</f>
        <v>590,0</v>
      </c>
      <c r="T45" s="20" t="str">
        <f>"371,5436"</f>
        <v>371,5436</v>
      </c>
      <c r="U45" s="9" t="s">
        <v>440</v>
      </c>
    </row>
    <row r="47" spans="1:21" ht="15.6" x14ac:dyDescent="0.3">
      <c r="A47" s="36" t="s">
        <v>281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21" x14ac:dyDescent="0.25">
      <c r="A48" s="28" t="s">
        <v>446</v>
      </c>
      <c r="B48" s="28" t="s">
        <v>447</v>
      </c>
      <c r="C48" s="28" t="s">
        <v>448</v>
      </c>
      <c r="D48" s="28" t="str">
        <f>"0,5762"</f>
        <v>0,5762</v>
      </c>
      <c r="E48" s="28" t="s">
        <v>20</v>
      </c>
      <c r="F48" s="28" t="s">
        <v>46</v>
      </c>
      <c r="G48" s="30" t="s">
        <v>205</v>
      </c>
      <c r="H48" s="30" t="s">
        <v>404</v>
      </c>
      <c r="I48" s="30" t="s">
        <v>49</v>
      </c>
      <c r="J48" s="31"/>
      <c r="K48" s="30" t="s">
        <v>63</v>
      </c>
      <c r="L48" s="30" t="s">
        <v>107</v>
      </c>
      <c r="M48" s="31" t="s">
        <v>48</v>
      </c>
      <c r="N48" s="31"/>
      <c r="O48" s="30" t="s">
        <v>22</v>
      </c>
      <c r="P48" s="30" t="s">
        <v>71</v>
      </c>
      <c r="Q48" s="30" t="s">
        <v>80</v>
      </c>
      <c r="R48" s="31"/>
      <c r="S48" s="32" t="str">
        <f>"577,5"</f>
        <v>577,5</v>
      </c>
      <c r="T48" s="33" t="str">
        <f>"332,7555"</f>
        <v>332,7555</v>
      </c>
      <c r="U48" s="28" t="s">
        <v>120</v>
      </c>
    </row>
    <row r="50" spans="1:5" ht="15" x14ac:dyDescent="0.25">
      <c r="E50" s="15" t="s">
        <v>121</v>
      </c>
    </row>
    <row r="51" spans="1:5" ht="15" x14ac:dyDescent="0.25">
      <c r="E51" s="15" t="s">
        <v>122</v>
      </c>
    </row>
    <row r="52" spans="1:5" ht="15" x14ac:dyDescent="0.25">
      <c r="E52" s="15" t="s">
        <v>123</v>
      </c>
    </row>
    <row r="53" spans="1:5" ht="15" x14ac:dyDescent="0.25">
      <c r="E53" s="15" t="s">
        <v>124</v>
      </c>
    </row>
    <row r="54" spans="1:5" ht="15" x14ac:dyDescent="0.25">
      <c r="E54" s="15" t="s">
        <v>124</v>
      </c>
    </row>
    <row r="55" spans="1:5" ht="15" x14ac:dyDescent="0.25">
      <c r="E55" s="15" t="s">
        <v>125</v>
      </c>
    </row>
    <row r="56" spans="1:5" ht="15" x14ac:dyDescent="0.25">
      <c r="E56" s="15"/>
    </row>
    <row r="58" spans="1:5" ht="17.399999999999999" x14ac:dyDescent="0.3">
      <c r="A58" s="23" t="s">
        <v>126</v>
      </c>
      <c r="B58" s="23"/>
    </row>
    <row r="59" spans="1:5" ht="15.6" x14ac:dyDescent="0.3">
      <c r="A59" s="24" t="s">
        <v>233</v>
      </c>
      <c r="B59" s="24"/>
    </row>
    <row r="60" spans="1:5" ht="14.4" x14ac:dyDescent="0.3">
      <c r="A60" s="26"/>
      <c r="B60" s="27" t="s">
        <v>449</v>
      </c>
    </row>
    <row r="61" spans="1:5" ht="13.8" x14ac:dyDescent="0.25">
      <c r="A61" s="29" t="s">
        <v>129</v>
      </c>
      <c r="B61" s="29" t="s">
        <v>130</v>
      </c>
      <c r="C61" s="29" t="s">
        <v>131</v>
      </c>
      <c r="D61" s="29" t="s">
        <v>132</v>
      </c>
      <c r="E61" s="29" t="s">
        <v>133</v>
      </c>
    </row>
    <row r="62" spans="1:5" x14ac:dyDescent="0.25">
      <c r="A62" s="25" t="s">
        <v>372</v>
      </c>
      <c r="B62" s="4" t="s">
        <v>450</v>
      </c>
      <c r="C62" s="4" t="s">
        <v>245</v>
      </c>
      <c r="D62" s="4" t="s">
        <v>451</v>
      </c>
      <c r="E62" s="16" t="s">
        <v>452</v>
      </c>
    </row>
    <row r="63" spans="1:5" x14ac:dyDescent="0.25">
      <c r="A63" s="25" t="s">
        <v>357</v>
      </c>
      <c r="B63" s="4" t="s">
        <v>450</v>
      </c>
      <c r="C63" s="4" t="s">
        <v>453</v>
      </c>
      <c r="D63" s="4" t="s">
        <v>64</v>
      </c>
      <c r="E63" s="16" t="s">
        <v>454</v>
      </c>
    </row>
    <row r="65" spans="1:5" ht="14.4" x14ac:dyDescent="0.3">
      <c r="A65" s="26"/>
      <c r="B65" s="27" t="s">
        <v>455</v>
      </c>
    </row>
    <row r="66" spans="1:5" ht="13.8" x14ac:dyDescent="0.25">
      <c r="A66" s="29" t="s">
        <v>129</v>
      </c>
      <c r="B66" s="29" t="s">
        <v>130</v>
      </c>
      <c r="C66" s="29" t="s">
        <v>131</v>
      </c>
      <c r="D66" s="29" t="s">
        <v>132</v>
      </c>
      <c r="E66" s="29" t="s">
        <v>133</v>
      </c>
    </row>
    <row r="67" spans="1:5" x14ac:dyDescent="0.25">
      <c r="A67" s="25" t="s">
        <v>314</v>
      </c>
      <c r="B67" s="4" t="s">
        <v>134</v>
      </c>
      <c r="C67" s="4" t="s">
        <v>456</v>
      </c>
      <c r="D67" s="4" t="s">
        <v>457</v>
      </c>
      <c r="E67" s="16" t="s">
        <v>458</v>
      </c>
    </row>
    <row r="69" spans="1:5" ht="14.4" x14ac:dyDescent="0.3">
      <c r="A69" s="26"/>
      <c r="B69" s="27" t="s">
        <v>138</v>
      </c>
    </row>
    <row r="70" spans="1:5" ht="13.8" x14ac:dyDescent="0.25">
      <c r="A70" s="29" t="s">
        <v>129</v>
      </c>
      <c r="B70" s="29" t="s">
        <v>130</v>
      </c>
      <c r="C70" s="29" t="s">
        <v>131</v>
      </c>
      <c r="D70" s="29" t="s">
        <v>132</v>
      </c>
      <c r="E70" s="29" t="s">
        <v>133</v>
      </c>
    </row>
    <row r="71" spans="1:5" x14ac:dyDescent="0.25">
      <c r="A71" s="25" t="s">
        <v>326</v>
      </c>
      <c r="B71" s="4" t="s">
        <v>138</v>
      </c>
      <c r="C71" s="4" t="s">
        <v>459</v>
      </c>
      <c r="D71" s="4" t="s">
        <v>65</v>
      </c>
      <c r="E71" s="16" t="s">
        <v>460</v>
      </c>
    </row>
    <row r="72" spans="1:5" x14ac:dyDescent="0.25">
      <c r="A72" s="25" t="s">
        <v>342</v>
      </c>
      <c r="B72" s="4" t="s">
        <v>138</v>
      </c>
      <c r="C72" s="4" t="s">
        <v>297</v>
      </c>
      <c r="D72" s="4" t="s">
        <v>65</v>
      </c>
      <c r="E72" s="16" t="s">
        <v>461</v>
      </c>
    </row>
    <row r="73" spans="1:5" x14ac:dyDescent="0.25">
      <c r="A73" s="25" t="s">
        <v>334</v>
      </c>
      <c r="B73" s="4" t="s">
        <v>138</v>
      </c>
      <c r="C73" s="4" t="s">
        <v>459</v>
      </c>
      <c r="D73" s="4" t="s">
        <v>462</v>
      </c>
      <c r="E73" s="16" t="s">
        <v>463</v>
      </c>
    </row>
    <row r="74" spans="1:5" x14ac:dyDescent="0.25">
      <c r="A74" s="25" t="s">
        <v>363</v>
      </c>
      <c r="B74" s="4" t="s">
        <v>138</v>
      </c>
      <c r="C74" s="4" t="s">
        <v>453</v>
      </c>
      <c r="D74" s="4" t="s">
        <v>96</v>
      </c>
      <c r="E74" s="16" t="s">
        <v>464</v>
      </c>
    </row>
    <row r="75" spans="1:5" x14ac:dyDescent="0.25">
      <c r="A75" s="25" t="s">
        <v>348</v>
      </c>
      <c r="B75" s="4" t="s">
        <v>138</v>
      </c>
      <c r="C75" s="4" t="s">
        <v>297</v>
      </c>
      <c r="D75" s="4" t="s">
        <v>465</v>
      </c>
      <c r="E75" s="16" t="s">
        <v>466</v>
      </c>
    </row>
    <row r="76" spans="1:5" x14ac:dyDescent="0.25">
      <c r="A76" s="25" t="s">
        <v>368</v>
      </c>
      <c r="B76" s="4" t="s">
        <v>138</v>
      </c>
      <c r="C76" s="4" t="s">
        <v>453</v>
      </c>
      <c r="D76" s="4" t="s">
        <v>49</v>
      </c>
      <c r="E76" s="16" t="s">
        <v>467</v>
      </c>
    </row>
    <row r="79" spans="1:5" ht="15.6" x14ac:dyDescent="0.3">
      <c r="A79" s="24" t="s">
        <v>127</v>
      </c>
      <c r="B79" s="24"/>
    </row>
    <row r="80" spans="1:5" ht="14.4" x14ac:dyDescent="0.3">
      <c r="A80" s="26"/>
      <c r="B80" s="27" t="s">
        <v>468</v>
      </c>
    </row>
    <row r="81" spans="1:5" ht="13.8" x14ac:dyDescent="0.25">
      <c r="A81" s="29" t="s">
        <v>129</v>
      </c>
      <c r="B81" s="29" t="s">
        <v>130</v>
      </c>
      <c r="C81" s="29" t="s">
        <v>131</v>
      </c>
      <c r="D81" s="29" t="s">
        <v>132</v>
      </c>
      <c r="E81" s="29" t="s">
        <v>133</v>
      </c>
    </row>
    <row r="82" spans="1:5" x14ac:dyDescent="0.25">
      <c r="A82" s="25" t="s">
        <v>390</v>
      </c>
      <c r="B82" s="4" t="s">
        <v>450</v>
      </c>
      <c r="C82" s="4" t="s">
        <v>234</v>
      </c>
      <c r="D82" s="4" t="s">
        <v>469</v>
      </c>
      <c r="E82" s="16" t="s">
        <v>470</v>
      </c>
    </row>
    <row r="83" spans="1:5" x14ac:dyDescent="0.25">
      <c r="A83" s="25" t="s">
        <v>384</v>
      </c>
      <c r="B83" s="4" t="s">
        <v>450</v>
      </c>
      <c r="C83" s="4" t="s">
        <v>245</v>
      </c>
      <c r="D83" s="4" t="s">
        <v>471</v>
      </c>
      <c r="E83" s="16" t="s">
        <v>472</v>
      </c>
    </row>
    <row r="84" spans="1:5" x14ac:dyDescent="0.25">
      <c r="A84" s="25" t="s">
        <v>426</v>
      </c>
      <c r="B84" s="4" t="s">
        <v>450</v>
      </c>
      <c r="C84" s="4" t="s">
        <v>141</v>
      </c>
      <c r="D84" s="4" t="s">
        <v>473</v>
      </c>
      <c r="E84" s="16" t="s">
        <v>474</v>
      </c>
    </row>
    <row r="86" spans="1:5" ht="14.4" x14ac:dyDescent="0.3">
      <c r="A86" s="26"/>
      <c r="B86" s="27" t="s">
        <v>138</v>
      </c>
    </row>
    <row r="87" spans="1:5" ht="13.8" x14ac:dyDescent="0.25">
      <c r="A87" s="29" t="s">
        <v>129</v>
      </c>
      <c r="B87" s="29" t="s">
        <v>130</v>
      </c>
      <c r="C87" s="29" t="s">
        <v>131</v>
      </c>
      <c r="D87" s="29" t="s">
        <v>132</v>
      </c>
      <c r="E87" s="29" t="s">
        <v>133</v>
      </c>
    </row>
    <row r="88" spans="1:5" x14ac:dyDescent="0.25">
      <c r="A88" s="25" t="s">
        <v>413</v>
      </c>
      <c r="B88" s="4" t="s">
        <v>138</v>
      </c>
      <c r="C88" s="4" t="s">
        <v>150</v>
      </c>
      <c r="D88" s="4" t="s">
        <v>153</v>
      </c>
      <c r="E88" s="16" t="s">
        <v>475</v>
      </c>
    </row>
    <row r="89" spans="1:5" x14ac:dyDescent="0.25">
      <c r="A89" s="25" t="s">
        <v>431</v>
      </c>
      <c r="B89" s="4" t="s">
        <v>138</v>
      </c>
      <c r="C89" s="4" t="s">
        <v>141</v>
      </c>
      <c r="D89" s="4" t="s">
        <v>476</v>
      </c>
      <c r="E89" s="16" t="s">
        <v>477</v>
      </c>
    </row>
    <row r="90" spans="1:5" x14ac:dyDescent="0.25">
      <c r="A90" s="25" t="s">
        <v>417</v>
      </c>
      <c r="B90" s="4" t="s">
        <v>138</v>
      </c>
      <c r="C90" s="4" t="s">
        <v>150</v>
      </c>
      <c r="D90" s="4" t="s">
        <v>256</v>
      </c>
      <c r="E90" s="16" t="s">
        <v>478</v>
      </c>
    </row>
    <row r="91" spans="1:5" x14ac:dyDescent="0.25">
      <c r="A91" s="25" t="s">
        <v>436</v>
      </c>
      <c r="B91" s="4" t="s">
        <v>138</v>
      </c>
      <c r="C91" s="4" t="s">
        <v>141</v>
      </c>
      <c r="D91" s="4" t="s">
        <v>479</v>
      </c>
      <c r="E91" s="16" t="s">
        <v>480</v>
      </c>
    </row>
    <row r="92" spans="1:5" x14ac:dyDescent="0.25">
      <c r="A92" s="25" t="s">
        <v>445</v>
      </c>
      <c r="B92" s="4" t="s">
        <v>138</v>
      </c>
      <c r="C92" s="4" t="s">
        <v>300</v>
      </c>
      <c r="D92" s="4" t="s">
        <v>481</v>
      </c>
      <c r="E92" s="16" t="s">
        <v>482</v>
      </c>
    </row>
    <row r="93" spans="1:5" x14ac:dyDescent="0.25">
      <c r="A93" s="25" t="s">
        <v>390</v>
      </c>
      <c r="B93" s="4" t="s">
        <v>138</v>
      </c>
      <c r="C93" s="4" t="s">
        <v>234</v>
      </c>
      <c r="D93" s="4" t="s">
        <v>469</v>
      </c>
      <c r="E93" s="16" t="s">
        <v>470</v>
      </c>
    </row>
    <row r="94" spans="1:5" x14ac:dyDescent="0.25">
      <c r="A94" s="25" t="s">
        <v>421</v>
      </c>
      <c r="B94" s="4" t="s">
        <v>138</v>
      </c>
      <c r="C94" s="4" t="s">
        <v>150</v>
      </c>
      <c r="D94" s="4" t="s">
        <v>483</v>
      </c>
      <c r="E94" s="16" t="s">
        <v>484</v>
      </c>
    </row>
    <row r="96" spans="1:5" ht="14.4" x14ac:dyDescent="0.3">
      <c r="A96" s="26"/>
      <c r="B96" s="27" t="s">
        <v>159</v>
      </c>
    </row>
    <row r="97" spans="1:5" ht="13.8" x14ac:dyDescent="0.25">
      <c r="A97" s="29" t="s">
        <v>129</v>
      </c>
      <c r="B97" s="29" t="s">
        <v>130</v>
      </c>
      <c r="C97" s="29" t="s">
        <v>131</v>
      </c>
      <c r="D97" s="29" t="s">
        <v>132</v>
      </c>
      <c r="E97" s="29" t="s">
        <v>133</v>
      </c>
    </row>
    <row r="98" spans="1:5" x14ac:dyDescent="0.25">
      <c r="A98" s="25" t="s">
        <v>407</v>
      </c>
      <c r="B98" s="4" t="s">
        <v>485</v>
      </c>
      <c r="C98" s="4" t="s">
        <v>234</v>
      </c>
      <c r="D98" s="4" t="s">
        <v>486</v>
      </c>
      <c r="E98" s="16" t="s">
        <v>487</v>
      </c>
    </row>
    <row r="99" spans="1:5" x14ac:dyDescent="0.25">
      <c r="A99" s="25" t="s">
        <v>441</v>
      </c>
      <c r="B99" s="4" t="s">
        <v>160</v>
      </c>
      <c r="C99" s="4" t="s">
        <v>141</v>
      </c>
      <c r="D99" s="4" t="s">
        <v>488</v>
      </c>
      <c r="E99" s="16" t="s">
        <v>489</v>
      </c>
    </row>
    <row r="100" spans="1:5" x14ac:dyDescent="0.25">
      <c r="A100" s="25" t="s">
        <v>398</v>
      </c>
      <c r="B100" s="4" t="s">
        <v>490</v>
      </c>
      <c r="C100" s="4" t="s">
        <v>234</v>
      </c>
      <c r="D100" s="4" t="s">
        <v>491</v>
      </c>
      <c r="E100" s="16" t="s">
        <v>492</v>
      </c>
    </row>
  </sheetData>
  <mergeCells count="24">
    <mergeCell ref="S3:S4"/>
    <mergeCell ref="T3:T4"/>
    <mergeCell ref="U3:U4"/>
    <mergeCell ref="A5:R5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A30:R30"/>
    <mergeCell ref="A36:R36"/>
    <mergeCell ref="A41:R41"/>
    <mergeCell ref="A47:R47"/>
    <mergeCell ref="A8:R8"/>
    <mergeCell ref="A12:R12"/>
    <mergeCell ref="A16:R16"/>
    <mergeCell ref="A21:R21"/>
    <mergeCell ref="A24:R24"/>
    <mergeCell ref="A27:R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WPF PRO ПЛ классич.</vt:lpstr>
      <vt:lpstr>WPF PRO ПЛ безэк.</vt:lpstr>
      <vt:lpstr>WPF PRO Жим в 1-сл. эк.</vt:lpstr>
      <vt:lpstr>WPF PRO Жим безэк.</vt:lpstr>
      <vt:lpstr>WPF PRO Тяга безэк.</vt:lpstr>
      <vt:lpstr>WPF PRO МПЖ 1 вес</vt:lpstr>
      <vt:lpstr>WPF AM ПЛ в 1-сл. эк.</vt:lpstr>
      <vt:lpstr>WPF AM ПЛ классич.</vt:lpstr>
      <vt:lpstr>WPF AM ПЛ безэк.</vt:lpstr>
      <vt:lpstr>WPF AM Жим в 1-сл. эк.</vt:lpstr>
      <vt:lpstr>WPF AM Жим безэк.</vt:lpstr>
      <vt:lpstr>WPF AM Тяга безэк.</vt:lpstr>
      <vt:lpstr>WPF AM МПЖ 1 вес</vt:lpstr>
      <vt:lpstr>WPF AM МПЖ 1_2 вес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Игорь Соловьёв</cp:lastModifiedBy>
  <cp:lastPrinted>2015-07-16T19:10:53Z</cp:lastPrinted>
  <dcterms:created xsi:type="dcterms:W3CDTF">2002-06-16T13:36:44Z</dcterms:created>
  <dcterms:modified xsi:type="dcterms:W3CDTF">2021-03-01T18:26:34Z</dcterms:modified>
</cp:coreProperties>
</file>